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1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isa1\isa_VP_FinanzasCorporativas\ISA_RelaciónInversionistas\15. Kit Valoración\KIt Español\"/>
    </mc:Choice>
  </mc:AlternateContent>
  <xr:revisionPtr revIDLastSave="0" documentId="13_ncr:1_{CE39D7C7-3344-43F0-872C-4CA481D2FBDE}" xr6:coauthVersionLast="45" xr6:coauthVersionMax="45" xr10:uidLastSave="{00000000-0000-0000-0000-000000000000}"/>
  <bookViews>
    <workbookView xWindow="-110" yWindow="-110" windowWidth="19420" windowHeight="10420" tabRatio="599" firstSheet="9" activeTab="12"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hi" sheetId="6" r:id="rId8"/>
    <sheet name="Deuda_Consolidada Créditos" sheetId="20" r:id="rId9"/>
    <sheet name="Deuda_Consolidada Bonos" sheetId="18" r:id="rId10"/>
    <sheet name="CAPEX" sheetId="8" r:id="rId11"/>
    <sheet name="Regulación TE" sheetId="9" r:id="rId12"/>
    <sheet name="Dividendos" sheetId="16" r:id="rId13"/>
    <sheet name="Proyectos" sheetId="1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8" hidden="1">'Deuda_Consolidada Créditos'!$B$6:$L$24</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'[6]Dados Perdas RAA'!$A$19:$N$25</definedName>
    <definedName name="Adicionada_Meta">'[6]Dados Perdas RAA'!$A$76:$N$82</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[7]ELEGIR!$D$8</definedName>
    <definedName name="Ano_Vigente">[8]Tabela!$B$12</definedName>
    <definedName name="ANOUNO" localSheetId="2">#REF!</definedName>
    <definedName name="ANOUNO" localSheetId="5">#REF!</definedName>
    <definedName name="ANOUNO">#REF!</definedName>
    <definedName name="AOM_STE">'[4]aom reg'!$U$29:$AG$46</definedName>
    <definedName name="AOMC">[7]ELEGIR!$D$6</definedName>
    <definedName name="AOMI">[7]ELEGIR!$D$5</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_xlnm.Print_Area" localSheetId="8">'Deuda_Consolidada Créditos'!$B$6:$N$211</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2">#REF!</definedName>
    <definedName name="_xlnm.Database" localSheetId="5">#REF!</definedName>
    <definedName name="_xlnm.Database">#REF!</definedName>
    <definedName name="BASIS_EUR">'[10]#¡REF'!$C$52:$D$58</definedName>
    <definedName name="BASIS_JPY">'[10]#¡REF'!$E$52:$F$58</definedName>
    <definedName name="BC" localSheetId="2">#REF!</definedName>
    <definedName name="BC" localSheetId="5">#REF!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2">#REF!</definedName>
    <definedName name="BDI" localSheetId="5">#REF!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2">#REF!</definedName>
    <definedName name="BuiltIn_Print_Area___0___0" localSheetId="5">#REF!</definedName>
    <definedName name="BuiltIn_Print_Area___0___0">#REF!</definedName>
    <definedName name="C.M.">'[12]#¡REF'!$B$27</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'[13]BASES GENERALES'!#REF!</definedName>
    <definedName name="cajainver" localSheetId="5">'[13]BASES GENERALES'!#REF!</definedName>
    <definedName name="cajainver">'[13]BASES GENERALES'!#REF!</definedName>
    <definedName name="CALCULAR" localSheetId="2">#REF!</definedName>
    <definedName name="CALCULAR" localSheetId="5">#REF!</definedName>
    <definedName name="CALCULAR">#REF!</definedName>
    <definedName name="calculo_dividendos">[4]Dividendos!$G$32</definedName>
    <definedName name="cambiar" localSheetId="2">#REF!</definedName>
    <definedName name="cambiar" localSheetId="5">#REF!</definedName>
    <definedName name="cambiar">#REF!</definedName>
    <definedName name="CAPITAL_MESES">[6]Capitalização!$F$41:$AC$49</definedName>
    <definedName name="CARACTERISTICAS" localSheetId="2">#REF!</definedName>
    <definedName name="CARACTERISTICAS" localSheetId="5">#REF!</definedName>
    <definedName name="CARACTERISTICAS">#REF!</definedName>
    <definedName name="causinver" localSheetId="2">'[13]BASES GENERALES'!#REF!</definedName>
    <definedName name="causinver">'[13]BASES GENERALES'!#REF!</definedName>
    <definedName name="ccioespecial" localSheetId="2">#REF!</definedName>
    <definedName name="ccioespecial" localSheetId="5">#REF!</definedName>
    <definedName name="ccioespecial">#REF!</definedName>
    <definedName name="CDEC">'[5]Dados DEC e FEC'!$CI$6:$CT$69</definedName>
    <definedName name="CECOS">'[10]#¡REF'!$C$2:$K$90</definedName>
    <definedName name="CFEC">'[5]Dados DEC e FEC'!$CI$80:$CT$143</definedName>
    <definedName name="CFJDHFD" localSheetId="2" hidden="1">{"'EST.RDOS(INT)'!$A$5:$E$58"}</definedName>
    <definedName name="CFJDHFD" localSheetId="5" hidden="1">{"'EST.RDOS(INT)'!$A$5:$E$58"}</definedName>
    <definedName name="CFJDHFD" hidden="1">{"'EST.RDOS(INT)'!$A$5:$E$58"}</definedName>
    <definedName name="CHF">[3]Lista!#REF!</definedName>
    <definedName name="CINT">#REF!</definedName>
    <definedName name="CLASSIF_DEP">#REF!</definedName>
    <definedName name="CLASSIFICAÇÃO">[14]ANALITICO!#REF!</definedName>
    <definedName name="CLAUSULA" localSheetId="2">#REF!</definedName>
    <definedName name="CLAUSULA" localSheetId="5">#REF!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2">#REF!</definedName>
    <definedName name="CND" localSheetId="5">#REF!</definedName>
    <definedName name="CND">#REF!</definedName>
    <definedName name="COBERTURA_INVERSION">'[12]#¡REF'!$B$36</definedName>
    <definedName name="cobertura_serv">'[15]graf indi'!$J$31</definedName>
    <definedName name="COBERTURA_SERVICIO_DEUDA">'[12]#¡REF'!$B$35</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'[4]Flujo año 00-01-02'!$K$63</definedName>
    <definedName name="CONEX" localSheetId="2">#REF!</definedName>
    <definedName name="CONEX" localSheetId="5">#REF!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2">#REF!</definedName>
    <definedName name="CONTRIBUCIONES_IMPUESTOS" localSheetId="5">#REF!</definedName>
    <definedName name="CONTRIBUCIONES_IMPUESTOS">#REF!</definedName>
    <definedName name="CORT3E4">[5]Dados_Perdas!$C$49:$O$60</definedName>
    <definedName name="Costo_Ventas">'[12]#¡REF'!$B$16</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'[6]Dados ISO 9001'!$C$24:$D$30</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#REF!</definedName>
    <definedName name="ctak">#REF!</definedName>
    <definedName name="CVALUE">'[5]Dados RiscoEnergia'!$E$6:$Q$17</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[4]historia!$A$115:$IV$183</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2">#REF!</definedName>
    <definedName name="DECI" localSheetId="5">#REF!</definedName>
    <definedName name="DECI">#REF!</definedName>
    <definedName name="deprecia">'[4]aom reg'!$W$7:$AB$12</definedName>
    <definedName name="Depreciaciones_y_Amort.">'[12]#¡REF'!$B$17</definedName>
    <definedName name="DEPRECIATION" localSheetId="2">#REF!</definedName>
    <definedName name="DEPRECIATION" localSheetId="5">#REF!</definedName>
    <definedName name="DEPRECIATION">#REF!</definedName>
    <definedName name="DEPT____GN_D" localSheetId="2">[14]ANALITICO!#REF!</definedName>
    <definedName name="DEPT____GN_D">[14]ANALITICO!#REF!</definedName>
    <definedName name="DESFALT" localSheetId="2">#REF!</definedName>
    <definedName name="DESFALT" localSheetId="5">#REF!</definedName>
    <definedName name="DESFALT">#REF!</definedName>
    <definedName name="DESPESAS">'[5]Dados Inadimplência'!$C$49:$O$62</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2" hidden="1">{"'EST.RDOS(INT)'!$A$5:$E$58"}</definedName>
    <definedName name="dfjdlñfj" localSheetId="5"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2">#REF!</definedName>
    <definedName name="DSDSD" localSheetId="5">#REF!</definedName>
    <definedName name="DSDSD">#REF!</definedName>
    <definedName name="DSO">'[5]Dados Inadimplência'!$C$66:$O$69</definedName>
    <definedName name="DUFF" localSheetId="2" hidden="1">{"'EST.RDOS(INT)'!$A$5:$E$58"}</definedName>
    <definedName name="DUFF" localSheetId="5" hidden="1">{"'EST.RDOS(INT)'!$A$5:$E$58"}</definedName>
    <definedName name="DUFF"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'[12]#¡REF'!$B$39</definedName>
    <definedName name="ENDEUDAMIENTO_L.P.">'[12]#¡REF'!$B$38</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[9]HESREGRF!$A$16:$G$46</definedName>
    <definedName name="Estados_Resultados_Datos">[9]ESRES!$A$1:$G$40</definedName>
    <definedName name="ESTITLE" localSheetId="2">#REF!</definedName>
    <definedName name="ESTITLE" localSheetId="5">#REF!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2">#REF!</definedName>
    <definedName name="Extract_MI" localSheetId="5">#REF!</definedName>
    <definedName name="Extract_MI">#REF!</definedName>
    <definedName name="EYD" localSheetId="2">#REF!</definedName>
    <definedName name="EYD">#REF!</definedName>
    <definedName name="factor">'[7]c.u. vigentes'!$B$26</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[5]DadosSeguranc!$G$390:$R$395</definedName>
    <definedName name="FCRA" localSheetId="2">#REF!</definedName>
    <definedName name="FCRA" localSheetId="5">#REF!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2">#REF!</definedName>
    <definedName name="FFSDFSD" localSheetId="5">#REF!</definedName>
    <definedName name="FFSDFSD">#REF!</definedName>
    <definedName name="fg" localSheetId="2" hidden="1">{"'EST.RDOS(INT)'!$A$5:$E$58"}</definedName>
    <definedName name="fg" localSheetId="5" hidden="1">{"'EST.RDOS(INT)'!$A$5:$E$58"}</definedName>
    <definedName name="fg" hidden="1">{"'EST.RDOS(INT)'!$A$5:$E$58"}</definedName>
    <definedName name="Financiación">'[12]#¡REF'!$B$7</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2">#REF!</definedName>
    <definedName name="FORDIV" localSheetId="5">#REF!</definedName>
    <definedName name="FORDIV">#REF!</definedName>
    <definedName name="FRANOM">[5]Dados_Perdas!$C$18:$O$29</definedName>
    <definedName name="Fraude_CSPE">'[6]Dados Ouvidoria II'!$C$70:$O$76</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'[4]aom reg'!$AG$61</definedName>
    <definedName name="GRAVE">[5]DadosSeguranc!$G$398:$R$403</definedName>
    <definedName name="Header" localSheetId="2">#REF!</definedName>
    <definedName name="Header" localSheetId="5">#REF!</definedName>
    <definedName name="Header">#REF!</definedName>
    <definedName name="hhhhhhhhhhhh">'[12]#¡REF'!$B$6</definedName>
    <definedName name="HHT">'[17]Dados Work'!#REF!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'[12]#¡REF'!$B$6</definedName>
    <definedName name="IM_10MIL">'[6]Dados Faturamento'!$C$71:$N$77</definedName>
    <definedName name="IM_IRC">'[6]Dados Faturamento'!$C$102:$N$108</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'[12]#¡REF'!$B$28</definedName>
    <definedName name="increm_eva">'[15]graf indi'!$J$11</definedName>
    <definedName name="Incremento_mensual_Dev.">'[12]#¡REF'!$B$3</definedName>
    <definedName name="INCSTMT_DETAIL" localSheetId="2">#REF!</definedName>
    <definedName name="INCSTMT_DETAIL" localSheetId="5">#REF!</definedName>
    <definedName name="INCSTMT_DETAIL">#REF!</definedName>
    <definedName name="indi">[18]Datos!$D$129</definedName>
    <definedName name="INDICA" localSheetId="2">#REF!</definedName>
    <definedName name="INDICA" localSheetId="5">#REF!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2">#REF!</definedName>
    <definedName name="ingles" localSheetId="5">#REF!</definedName>
    <definedName name="ingles">#REF!</definedName>
    <definedName name="ingregastoconextele" localSheetId="2">'[4]PyG Año 00-01-02'!#REF!</definedName>
    <definedName name="ingregastoconextele">'[4]PyG Año 00-01-02'!#REF!</definedName>
    <definedName name="ingregastoconextrans">'[4]PyG Año 00-01-02'!$A$353</definedName>
    <definedName name="INGREGASTOSTELE">'[4]PyG Año 00-01-02'!$A$269:$H$274</definedName>
    <definedName name="ingresos" localSheetId="2">#REF!</definedName>
    <definedName name="ingresos" localSheetId="5">#REF!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[3]Lista!#REF!</definedName>
    <definedName name="INPUT1" localSheetId="5">[3]Lista!#REF!</definedName>
    <definedName name="INPUT1">[3]Lista!#REF!</definedName>
    <definedName name="INPUT2" localSheetId="2">[3]Lista!#REF!</definedName>
    <definedName name="INPUT2" localSheetId="5">[3]Lista!#REF!</definedName>
    <definedName name="INPUT2">[3]Lista!#REF!</definedName>
    <definedName name="INPUT3" localSheetId="2">[3]Lista!#REF!</definedName>
    <definedName name="INPUT3">[3]Lista!#REF!</definedName>
    <definedName name="INPUT4" localSheetId="2">[3]Lista!#REF!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2">#REF!</definedName>
    <definedName name="interconexión" localSheetId="5">#REF!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2">#REF!</definedName>
    <definedName name="invext" localSheetId="5">#REF!</definedName>
    <definedName name="invext">#REF!</definedName>
    <definedName name="IPP" localSheetId="2">'[12]#¡REF'!#REF!</definedName>
    <definedName name="IPP">'[12]#¡REF'!#REF!</definedName>
    <definedName name="IRREGULAR">'[5]Dados de Ouvidoria'!$D$82:$P$93</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[5]DadosSeguranc!$E$140:$AB$179</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2" hidden="1">{"'EST.RDOS(INT)'!$A$5:$E$58"}</definedName>
    <definedName name="KDJFKD" localSheetId="5"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[5]DadosSeguranc!$G$406:$R$411</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[5]Dados_Perdas!$C$64:$O$75</definedName>
    <definedName name="LOJAS">'[5]Dados das Lojas'!$D$2:$P$91</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'[5]Dados DEC e FEC'!$G$160:$H$223</definedName>
    <definedName name="MAR" localSheetId="2">#REF!</definedName>
    <definedName name="MAR" localSheetId="5">#REF!</definedName>
    <definedName name="MAR">#REF!</definedName>
    <definedName name="MARGENOPEMEM">'[4]PyG Año 00-01-02'!$A$336</definedName>
    <definedName name="MATERIAL" localSheetId="2">#REF!</definedName>
    <definedName name="MATERIAL" localSheetId="5">#REF!</definedName>
    <definedName name="MATERIAL">#REF!</definedName>
    <definedName name="Max_Cod">[8]Postes!$J$1</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2">#REF!</definedName>
    <definedName name="nombrehoja" localSheetId="5">#REF!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2">#REF!</definedName>
    <definedName name="NUEVO" localSheetId="5">#REF!</definedName>
    <definedName name="NUEVO">#REF!</definedName>
    <definedName name="Nuevo_Financiamiento">'[12]#¡REF'!$B$59</definedName>
    <definedName name="nUnidad" localSheetId="2">[21]Datos!#REF!</definedName>
    <definedName name="nUnidad">[22]Datos!#REF!</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[5]Dados_Perdas!$C$117:$O$140</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'[6]Dados Segurança'!$B$60:$I$64</definedName>
    <definedName name="PR_LM">'[6]Dados Segurança'!$B$53:$I$57</definedName>
    <definedName name="Prepago_Deuda">'[12]#¡REF'!$B$8</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'[12]#¡REF'!$B$18</definedName>
    <definedName name="PROYC" localSheetId="2">#REF!</definedName>
    <definedName name="PROYC" localSheetId="5">#REF!</definedName>
    <definedName name="PROYC">#REF!</definedName>
    <definedName name="PUBLICO">'[6]Dados Segurança'!$B$80:$I$82</definedName>
    <definedName name="q" localSheetId="2">[24]Hoja1!#REF!</definedName>
    <definedName name="q">[25]Hoja1!#REF!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'[12]#¡REF'!#REF!</definedName>
    <definedName name="RELACION_GASTOS_A.O.M___STE">'[12]#¡REF'!$B$34</definedName>
    <definedName name="RELACION_GASTOS_A.O.M_TOTAL">'[12]#¡REF'!#REF!</definedName>
    <definedName name="remuneracicndmem">'[4]aom reg'!$B$23</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'[15]graf indi'!$J$73</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'[12]#¡REF'!$B$25</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'[27]NGs. BANCO DADOS'!#REF!</definedName>
    <definedName name="RESUMO">'[28]NGs. BANCO DADOS'!#REF!</definedName>
    <definedName name="RESUMO_GERAL" localSheetId="2">#REF!</definedName>
    <definedName name="RESUMO_GERAL" localSheetId="5">#REF!</definedName>
    <definedName name="RESUMO_GERAL">#REF!</definedName>
    <definedName name="Retroativa">'[6]Dados Perdas RAA'!$A$9:$N$15</definedName>
    <definedName name="Retroativa_Meta">'[6]Dados Perdas RAA'!$A$87:$N$93</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'[6]Indicadores Associados (2)'!$C$19:$P$46</definedName>
    <definedName name="Saldo">'[12]#¡REF'!$B$9</definedName>
    <definedName name="Saldo_Bloqueado_Ano">[29]Dados_Saldo_Bloq!#REF!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2">#REF!</definedName>
    <definedName name="SEGUROS_GG" localSheetId="5">#REF!</definedName>
    <definedName name="SEGUROS_GG">#REF!</definedName>
    <definedName name="sensibilidad_deval">'[10]#¡REF'!$C$67:$S$75</definedName>
    <definedName name="sensibilidad_ipc">'[10]#¡REF'!$C$67:$L$71</definedName>
    <definedName name="SENSIBILIDADES" localSheetId="2">#REF!</definedName>
    <definedName name="SENSIBILIDADES" localSheetId="5">#REF!</definedName>
    <definedName name="SENSIBILIDADES">#REF!</definedName>
    <definedName name="Servicio_de_la_Deuda">'[12]#¡REF'!$B$55</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2">#REF!</definedName>
    <definedName name="TELEC" localSheetId="5">#REF!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2">#REF!</definedName>
    <definedName name="TEMPORAL" localSheetId="5">#REF!</definedName>
    <definedName name="TEMPORAL">#REF!</definedName>
    <definedName name="Ter_Pedidos_04">'[6]2º 3º pedidos'!$D$52:$P$58</definedName>
    <definedName name="Ter_Pedidos_05">'[6]2º 3º pedidos'!$D$61:$P$67</definedName>
    <definedName name="TERCER_PLAN_DE_TRANSMISION" localSheetId="2">#REF!</definedName>
    <definedName name="TERCER_PLAN_DE_TRANSMISION" localSheetId="5">#REF!</definedName>
    <definedName name="TERCER_PLAN_DE_TRANSMISION">#REF!</definedName>
    <definedName name="TERCPED">'[5]Dados Call Center'!$S$2:$AE$19</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_xlnm.Print_Titles" localSheetId="8">'Deuda_Consolidada Créditos'!$6:$6</definedName>
    <definedName name="TMA">'[5]Dados DEC e FEC'!$D$247:$Q$258</definedName>
    <definedName name="TME">'[5]Dados Ind Com'!$D$16:$P$39</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2">#REF!</definedName>
    <definedName name="TOTAL_ISA" localSheetId="5">#REF!</definedName>
    <definedName name="TOTAL_ISA">#REF!</definedName>
    <definedName name="TOTAL_RECLAM">'[6]Dados Faturamento'!$C$51:$N$57</definedName>
    <definedName name="TOTAL_REFAT">'[6]Dados Faturamento'!$C$31:$N$37</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'[5]Dados Inadimplência'!$C$75:$N$92</definedName>
    <definedName name="TXARRECMETA">'[6]Dados Inadimplência'!$V$67:$AH$73</definedName>
    <definedName name="Unidad" localSheetId="2">[21]Datos!#REF!</definedName>
    <definedName name="Unidad">[22]Datos!#REF!</definedName>
    <definedName name="Unidade">'[8]Cadastro Trafos'!$W$3:$W$8</definedName>
    <definedName name="UNO" localSheetId="2">#REF!</definedName>
    <definedName name="UNO" localSheetId="5">#REF!</definedName>
    <definedName name="UNO">#REF!</definedName>
    <definedName name="UPS" localSheetId="2">'[17]Dados Work'!#REF!</definedName>
    <definedName name="UPS">'[17]Dados Work'!#REF!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'[5]Dados RiscoEnergia'!$F$3:$Q$4</definedName>
    <definedName name="VOL_EUR">'[10]#¡REF'!$C$48</definedName>
    <definedName name="VOL_JPY">'[10]#¡REF'!$D$48</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7" i="7" l="1"/>
  <c r="P86" i="7"/>
  <c r="P77" i="7"/>
  <c r="P76" i="7"/>
  <c r="P67" i="7"/>
  <c r="P55" i="7"/>
  <c r="P54" i="7"/>
  <c r="P39" i="7"/>
  <c r="P452" i="6" l="1"/>
  <c r="P443" i="6"/>
  <c r="P453" i="6" s="1"/>
  <c r="P442" i="6"/>
  <c r="P433" i="6"/>
  <c r="P420" i="6"/>
  <c r="P405" i="6"/>
  <c r="P421" i="6" s="1"/>
  <c r="P361" i="6"/>
  <c r="P362" i="6" s="1"/>
  <c r="P352" i="6"/>
  <c r="P342" i="6"/>
  <c r="P329" i="6"/>
  <c r="P314" i="6"/>
  <c r="P330" i="6" s="1"/>
  <c r="P271" i="6"/>
  <c r="P261" i="6"/>
  <c r="P262" i="6" s="1"/>
  <c r="P272" i="6" s="1"/>
  <c r="P252" i="6"/>
  <c r="P239" i="6"/>
  <c r="P224" i="6"/>
  <c r="P240" i="6" s="1"/>
  <c r="P180" i="6"/>
  <c r="P170" i="6"/>
  <c r="P171" i="6" s="1"/>
  <c r="P181" i="6" s="1"/>
  <c r="P161" i="6"/>
  <c r="P148" i="6"/>
  <c r="P133" i="6"/>
  <c r="P149" i="6" s="1"/>
  <c r="P90" i="6"/>
  <c r="P80" i="6"/>
  <c r="P81" i="6" s="1"/>
  <c r="P71" i="6"/>
  <c r="P58" i="6"/>
  <c r="P43" i="6"/>
  <c r="P59" i="6" s="1"/>
  <c r="P91" i="6" l="1"/>
  <c r="C205" i="22" l="1"/>
  <c r="P205" i="22"/>
  <c r="O205" i="22"/>
  <c r="N205" i="22"/>
  <c r="M205" i="22"/>
  <c r="L205" i="22"/>
  <c r="K205" i="22"/>
  <c r="J205" i="22"/>
  <c r="I205" i="22"/>
  <c r="H205" i="22"/>
  <c r="G205" i="22"/>
  <c r="F205" i="22"/>
  <c r="E205" i="22"/>
  <c r="D205" i="22"/>
  <c r="C202" i="22"/>
  <c r="P202" i="22"/>
  <c r="O202" i="22"/>
  <c r="N202" i="22"/>
  <c r="M202" i="22"/>
  <c r="L202" i="22"/>
  <c r="K202" i="22"/>
  <c r="J202" i="22"/>
  <c r="I202" i="22"/>
  <c r="H202" i="22"/>
  <c r="G202" i="22"/>
  <c r="F202" i="22"/>
  <c r="E202" i="22"/>
  <c r="D202" i="22"/>
  <c r="D199" i="22"/>
  <c r="C199" i="22"/>
  <c r="P199" i="22"/>
  <c r="O199" i="22"/>
  <c r="N199" i="22"/>
  <c r="M199" i="22"/>
  <c r="L199" i="22"/>
  <c r="K199" i="22"/>
  <c r="J199" i="22"/>
  <c r="I199" i="22"/>
  <c r="H199" i="22"/>
  <c r="G199" i="22"/>
  <c r="F199" i="22"/>
  <c r="E199" i="22"/>
  <c r="C194" i="22"/>
  <c r="P194" i="22"/>
  <c r="O194" i="22"/>
  <c r="N194" i="22"/>
  <c r="M194" i="22"/>
  <c r="L194" i="22"/>
  <c r="K194" i="22"/>
  <c r="J194" i="22"/>
  <c r="I194" i="22"/>
  <c r="H194" i="22"/>
  <c r="G194" i="22"/>
  <c r="F194" i="22"/>
  <c r="E194" i="22"/>
  <c r="D194" i="22"/>
  <c r="P26" i="22" l="1"/>
  <c r="P23" i="22"/>
  <c r="P20" i="22"/>
  <c r="P19" i="22"/>
  <c r="P18" i="22"/>
  <c r="P15" i="22"/>
  <c r="P16" i="22" s="1"/>
  <c r="P21" i="22" s="1"/>
  <c r="P24" i="22" s="1"/>
  <c r="P27" i="22" s="1"/>
  <c r="P14" i="22"/>
  <c r="P13" i="22"/>
  <c r="P12" i="22"/>
  <c r="P11" i="22"/>
  <c r="P10" i="22"/>
  <c r="P9" i="22"/>
  <c r="P35" i="2"/>
  <c r="P32" i="2"/>
  <c r="P29" i="2"/>
  <c r="P26" i="2"/>
  <c r="P25" i="2"/>
  <c r="P24" i="2"/>
  <c r="P20" i="2"/>
  <c r="P21" i="2" s="1"/>
  <c r="P19" i="2"/>
  <c r="P18" i="2"/>
  <c r="P17" i="2"/>
  <c r="P16" i="2"/>
  <c r="P15" i="2"/>
  <c r="P14" i="2"/>
  <c r="P13" i="2"/>
  <c r="P10" i="2"/>
  <c r="P9" i="2"/>
  <c r="P11" i="2" s="1"/>
  <c r="P22" i="2" l="1"/>
  <c r="P27" i="2" s="1"/>
  <c r="P30" i="2" s="1"/>
  <c r="P33" i="2" s="1"/>
  <c r="P36" i="2" s="1"/>
  <c r="L153" i="4" l="1"/>
  <c r="L143" i="4"/>
  <c r="L136" i="4"/>
  <c r="L135" i="4"/>
  <c r="L121" i="4"/>
  <c r="L8" i="4"/>
  <c r="P88" i="22" l="1"/>
  <c r="P79" i="22"/>
  <c r="P89" i="22" s="1"/>
  <c r="P90" i="22" s="1"/>
  <c r="P78" i="22"/>
  <c r="P69" i="22"/>
  <c r="P57" i="22"/>
  <c r="P42" i="22"/>
  <c r="P58" i="22" s="1"/>
  <c r="P102" i="2" l="1"/>
  <c r="P104" i="2" s="1"/>
  <c r="P92" i="2"/>
  <c r="P93" i="2" s="1"/>
  <c r="P105" i="2" s="1"/>
  <c r="P106" i="2" s="1"/>
  <c r="P82" i="2"/>
  <c r="P69" i="2"/>
  <c r="P52" i="2"/>
  <c r="P70" i="2" s="1"/>
  <c r="P246" i="4" l="1"/>
  <c r="P232" i="4"/>
  <c r="P215" i="4"/>
  <c r="P196" i="4"/>
  <c r="P197" i="4" s="1"/>
  <c r="P192" i="4"/>
  <c r="P179" i="4"/>
  <c r="P153" i="4"/>
  <c r="P143" i="4"/>
  <c r="P136" i="4"/>
  <c r="P135" i="4"/>
  <c r="P142" i="4" s="1"/>
  <c r="P131" i="4"/>
  <c r="P121" i="4"/>
  <c r="P109" i="4"/>
  <c r="P95" i="4"/>
  <c r="P76" i="4"/>
  <c r="P60" i="4"/>
  <c r="K121" i="4"/>
  <c r="M121" i="4"/>
  <c r="L16" i="4"/>
  <c r="L15" i="4"/>
  <c r="P34" i="4"/>
  <c r="P24" i="4"/>
  <c r="P16" i="4"/>
  <c r="P15" i="4"/>
  <c r="P8" i="4"/>
  <c r="P77" i="4" l="1"/>
  <c r="P123" i="4"/>
  <c r="P149" i="4"/>
  <c r="P152" i="4" s="1"/>
  <c r="P156" i="4" s="1"/>
  <c r="P158" i="4" s="1"/>
  <c r="P23" i="4"/>
  <c r="P30" i="4" s="1"/>
  <c r="P33" i="4" s="1"/>
  <c r="P38" i="4" s="1"/>
  <c r="P40" i="4" s="1"/>
  <c r="L23" i="4"/>
  <c r="P247" i="4"/>
  <c r="N270" i="22"/>
  <c r="M270" i="22"/>
  <c r="L270" i="22"/>
  <c r="K270" i="22"/>
  <c r="J270" i="22"/>
  <c r="I270" i="22"/>
  <c r="H270" i="22"/>
  <c r="G270" i="22"/>
  <c r="F270" i="22"/>
  <c r="E270" i="22"/>
  <c r="D270" i="22"/>
  <c r="C270" i="22"/>
  <c r="N267" i="22"/>
  <c r="M267" i="22"/>
  <c r="L267" i="22"/>
  <c r="K267" i="22"/>
  <c r="J267" i="22"/>
  <c r="I267" i="22"/>
  <c r="H267" i="22"/>
  <c r="G267" i="22"/>
  <c r="F267" i="22"/>
  <c r="E267" i="22"/>
  <c r="D267" i="22"/>
  <c r="C267" i="22"/>
  <c r="M258" i="22"/>
  <c r="M268" i="22" s="1"/>
  <c r="M257" i="22"/>
  <c r="K257" i="22"/>
  <c r="J257" i="22"/>
  <c r="I257" i="22"/>
  <c r="H257" i="22"/>
  <c r="F257" i="22"/>
  <c r="N256" i="22"/>
  <c r="N257" i="22" s="1"/>
  <c r="E256" i="22"/>
  <c r="E257" i="22" s="1"/>
  <c r="E258" i="22" s="1"/>
  <c r="E268" i="22" s="1"/>
  <c r="L255" i="22"/>
  <c r="K255" i="22"/>
  <c r="J255" i="22"/>
  <c r="G255" i="22"/>
  <c r="G257" i="22" s="1"/>
  <c r="L250" i="22"/>
  <c r="L257" i="22" s="1"/>
  <c r="H250" i="22"/>
  <c r="D250" i="22"/>
  <c r="D257" i="22" s="1"/>
  <c r="C250" i="22"/>
  <c r="C257" i="22" s="1"/>
  <c r="N248" i="22"/>
  <c r="N258" i="22" s="1"/>
  <c r="N268" i="22" s="1"/>
  <c r="M248" i="22"/>
  <c r="K248" i="22"/>
  <c r="K258" i="22" s="1"/>
  <c r="K268" i="22" s="1"/>
  <c r="J248" i="22"/>
  <c r="J258" i="22" s="1"/>
  <c r="J268" i="22" s="1"/>
  <c r="I248" i="22"/>
  <c r="I258" i="22" s="1"/>
  <c r="I268" i="22" s="1"/>
  <c r="H248" i="22"/>
  <c r="H258" i="22" s="1"/>
  <c r="H268" i="22" s="1"/>
  <c r="G248" i="22"/>
  <c r="G258" i="22" s="1"/>
  <c r="G268" i="22" s="1"/>
  <c r="F248" i="22"/>
  <c r="F258" i="22" s="1"/>
  <c r="F268" i="22" s="1"/>
  <c r="E248" i="22"/>
  <c r="L240" i="22"/>
  <c r="L248" i="22" s="1"/>
  <c r="H240" i="22"/>
  <c r="D240" i="22"/>
  <c r="D248" i="22" s="1"/>
  <c r="C240" i="22"/>
  <c r="C248" i="22" s="1"/>
  <c r="N235" i="22"/>
  <c r="M235" i="22"/>
  <c r="L235" i="22"/>
  <c r="K235" i="22"/>
  <c r="J235" i="22"/>
  <c r="I235" i="22"/>
  <c r="H235" i="22"/>
  <c r="G235" i="22"/>
  <c r="F235" i="22"/>
  <c r="E235" i="22"/>
  <c r="D235" i="22"/>
  <c r="C235" i="22"/>
  <c r="N219" i="22"/>
  <c r="N236" i="22" s="1"/>
  <c r="M219" i="22"/>
  <c r="M236" i="22" s="1"/>
  <c r="M269" i="22" s="1"/>
  <c r="K219" i="22"/>
  <c r="K236" i="22" s="1"/>
  <c r="K269" i="22" s="1"/>
  <c r="J219" i="22"/>
  <c r="J236" i="22" s="1"/>
  <c r="J269" i="22" s="1"/>
  <c r="I219" i="22"/>
  <c r="I236" i="22" s="1"/>
  <c r="I269" i="22" s="1"/>
  <c r="H219" i="22"/>
  <c r="H236" i="22" s="1"/>
  <c r="H269" i="22" s="1"/>
  <c r="G219" i="22"/>
  <c r="G236" i="22" s="1"/>
  <c r="G269" i="22" s="1"/>
  <c r="F219" i="22"/>
  <c r="F236" i="22" s="1"/>
  <c r="F269" i="22" s="1"/>
  <c r="E219" i="22"/>
  <c r="E236" i="22" s="1"/>
  <c r="D219" i="22"/>
  <c r="D236" i="22" s="1"/>
  <c r="C219" i="22"/>
  <c r="C236" i="22" s="1"/>
  <c r="L215" i="22"/>
  <c r="L219" i="22" s="1"/>
  <c r="L236" i="22" s="1"/>
  <c r="N182" i="22"/>
  <c r="M182" i="22"/>
  <c r="L182" i="22"/>
  <c r="K182" i="22"/>
  <c r="J182" i="22"/>
  <c r="I182" i="22"/>
  <c r="H182" i="22"/>
  <c r="G182" i="22"/>
  <c r="F182" i="22"/>
  <c r="E182" i="22"/>
  <c r="D182" i="22"/>
  <c r="C182" i="22"/>
  <c r="N181" i="22"/>
  <c r="M181" i="22"/>
  <c r="L181" i="22"/>
  <c r="K181" i="22"/>
  <c r="J181" i="22"/>
  <c r="I181" i="22"/>
  <c r="H181" i="22"/>
  <c r="G181" i="22"/>
  <c r="F181" i="22"/>
  <c r="E181" i="22"/>
  <c r="D181" i="22"/>
  <c r="C181" i="22"/>
  <c r="N91" i="22"/>
  <c r="M91" i="22"/>
  <c r="L91" i="22"/>
  <c r="K91" i="22"/>
  <c r="J91" i="22"/>
  <c r="I91" i="22"/>
  <c r="H91" i="22"/>
  <c r="G91" i="22"/>
  <c r="F91" i="22"/>
  <c r="E91" i="22"/>
  <c r="D91" i="22"/>
  <c r="C91" i="22"/>
  <c r="N90" i="22"/>
  <c r="M90" i="22"/>
  <c r="L90" i="22"/>
  <c r="H90" i="22"/>
  <c r="G90" i="22"/>
  <c r="F90" i="22"/>
  <c r="E90" i="22"/>
  <c r="D90" i="22"/>
  <c r="C90" i="22"/>
  <c r="J89" i="22"/>
  <c r="I89" i="22"/>
  <c r="K88" i="22"/>
  <c r="K89" i="22" s="1"/>
  <c r="J88" i="22"/>
  <c r="I88" i="22"/>
  <c r="K57" i="22"/>
  <c r="K58" i="22" s="1"/>
  <c r="K90" i="22" s="1"/>
  <c r="J57" i="22"/>
  <c r="J58" i="22" s="1"/>
  <c r="J90" i="22" s="1"/>
  <c r="I57" i="22"/>
  <c r="I58" i="22" s="1"/>
  <c r="I90" i="22" s="1"/>
  <c r="C269" i="22" l="1"/>
  <c r="D258" i="22"/>
  <c r="D268" i="22" s="1"/>
  <c r="C258" i="22"/>
  <c r="C268" i="22" s="1"/>
  <c r="E269" i="22"/>
  <c r="N269" i="22"/>
  <c r="L258" i="22"/>
  <c r="L268" i="22" s="1"/>
  <c r="P249" i="21"/>
  <c r="P240" i="21"/>
  <c r="C240" i="21"/>
  <c r="C241" i="21" s="1"/>
  <c r="P234" i="21"/>
  <c r="P241" i="21" s="1"/>
  <c r="P250" i="21" s="1"/>
  <c r="N234" i="21"/>
  <c r="M234" i="21"/>
  <c r="L234" i="21"/>
  <c r="K234" i="21"/>
  <c r="J234" i="21"/>
  <c r="I234" i="21"/>
  <c r="H234" i="21"/>
  <c r="G234" i="21"/>
  <c r="F234" i="21"/>
  <c r="E234" i="21"/>
  <c r="D234" i="21"/>
  <c r="C234" i="21"/>
  <c r="J220" i="21"/>
  <c r="I220" i="21"/>
  <c r="P219" i="21"/>
  <c r="N219" i="21"/>
  <c r="M219" i="21"/>
  <c r="L219" i="21"/>
  <c r="K219" i="21"/>
  <c r="J219" i="21"/>
  <c r="I219" i="21"/>
  <c r="H219" i="21"/>
  <c r="G219" i="21"/>
  <c r="F219" i="21"/>
  <c r="E219" i="21"/>
  <c r="D219" i="21"/>
  <c r="C219" i="21"/>
  <c r="P212" i="21"/>
  <c r="P220" i="21" s="1"/>
  <c r="N212" i="21"/>
  <c r="N220" i="21" s="1"/>
  <c r="M212" i="21"/>
  <c r="M220" i="21" s="1"/>
  <c r="L212" i="21"/>
  <c r="L220" i="21" s="1"/>
  <c r="K212" i="21"/>
  <c r="K220" i="21" s="1"/>
  <c r="J212" i="21"/>
  <c r="I212" i="21"/>
  <c r="H212" i="21"/>
  <c r="H220" i="21" s="1"/>
  <c r="G212" i="21"/>
  <c r="G220" i="21" s="1"/>
  <c r="F212" i="21"/>
  <c r="F220" i="21" s="1"/>
  <c r="E212" i="21"/>
  <c r="E220" i="21" s="1"/>
  <c r="D212" i="21"/>
  <c r="D220" i="21" s="1"/>
  <c r="C212" i="21"/>
  <c r="C220" i="21" s="1"/>
  <c r="H196" i="21"/>
  <c r="H192" i="21"/>
  <c r="K190" i="21"/>
  <c r="K193" i="21" s="1"/>
  <c r="K196" i="21" s="1"/>
  <c r="C190" i="21"/>
  <c r="C193" i="21" s="1"/>
  <c r="C196" i="21" s="1"/>
  <c r="H185" i="21"/>
  <c r="H190" i="21" s="1"/>
  <c r="H193" i="21" s="1"/>
  <c r="P184" i="21"/>
  <c r="P185" i="21" s="1"/>
  <c r="P190" i="21" s="1"/>
  <c r="P193" i="21" s="1"/>
  <c r="P196" i="21" s="1"/>
  <c r="N184" i="21"/>
  <c r="M184" i="21"/>
  <c r="L184" i="21"/>
  <c r="K184" i="21"/>
  <c r="J184" i="21"/>
  <c r="I184" i="21"/>
  <c r="H184" i="21"/>
  <c r="G184" i="21"/>
  <c r="F184" i="21"/>
  <c r="E184" i="21"/>
  <c r="D184" i="21"/>
  <c r="C184" i="21"/>
  <c r="N178" i="21"/>
  <c r="N185" i="21" s="1"/>
  <c r="N190" i="21" s="1"/>
  <c r="N193" i="21" s="1"/>
  <c r="N196" i="21" s="1"/>
  <c r="M178" i="21"/>
  <c r="M185" i="21" s="1"/>
  <c r="M190" i="21" s="1"/>
  <c r="M193" i="21" s="1"/>
  <c r="M196" i="21" s="1"/>
  <c r="L178" i="21"/>
  <c r="L185" i="21" s="1"/>
  <c r="L190" i="21" s="1"/>
  <c r="L193" i="21" s="1"/>
  <c r="L196" i="21" s="1"/>
  <c r="K178" i="21"/>
  <c r="K185" i="21" s="1"/>
  <c r="J178" i="21"/>
  <c r="J185" i="21" s="1"/>
  <c r="J190" i="21" s="1"/>
  <c r="J193" i="21" s="1"/>
  <c r="J196" i="21" s="1"/>
  <c r="I178" i="21"/>
  <c r="I185" i="21" s="1"/>
  <c r="I190" i="21" s="1"/>
  <c r="I193" i="21" s="1"/>
  <c r="I196" i="21" s="1"/>
  <c r="H178" i="21"/>
  <c r="G178" i="21"/>
  <c r="G185" i="21" s="1"/>
  <c r="G190" i="21" s="1"/>
  <c r="G193" i="21" s="1"/>
  <c r="G196" i="21" s="1"/>
  <c r="F178" i="21"/>
  <c r="F185" i="21" s="1"/>
  <c r="F190" i="21" s="1"/>
  <c r="F193" i="21" s="1"/>
  <c r="F196" i="21" s="1"/>
  <c r="E178" i="21"/>
  <c r="E185" i="21" s="1"/>
  <c r="E190" i="21" s="1"/>
  <c r="E193" i="21" s="1"/>
  <c r="E196" i="21" s="1"/>
  <c r="D178" i="21"/>
  <c r="D185" i="21" s="1"/>
  <c r="D190" i="21" s="1"/>
  <c r="C178" i="21"/>
  <c r="C185" i="21" s="1"/>
  <c r="N168" i="21"/>
  <c r="M168" i="21"/>
  <c r="L168" i="21"/>
  <c r="K168" i="21"/>
  <c r="J168" i="21"/>
  <c r="I168" i="21"/>
  <c r="H168" i="21"/>
  <c r="G168" i="21"/>
  <c r="F168" i="21"/>
  <c r="E168" i="21"/>
  <c r="D168" i="21"/>
  <c r="C168" i="21"/>
  <c r="P166" i="21"/>
  <c r="P157" i="21"/>
  <c r="P147" i="21"/>
  <c r="P150" i="21" s="1"/>
  <c r="P158" i="21" s="1"/>
  <c r="P167" i="21" s="1"/>
  <c r="P139" i="21"/>
  <c r="P131" i="21"/>
  <c r="P140" i="21" s="1"/>
  <c r="K113" i="21"/>
  <c r="K116" i="21" s="1"/>
  <c r="L112" i="21"/>
  <c r="I110" i="21"/>
  <c r="I113" i="21" s="1"/>
  <c r="I116" i="21" s="1"/>
  <c r="N109" i="21"/>
  <c r="M109" i="21"/>
  <c r="H109" i="21"/>
  <c r="K105" i="21"/>
  <c r="K110" i="21" s="1"/>
  <c r="J105" i="21"/>
  <c r="J110" i="21" s="1"/>
  <c r="J113" i="21" s="1"/>
  <c r="J116" i="21" s="1"/>
  <c r="I105" i="21"/>
  <c r="C105" i="21"/>
  <c r="C110" i="21" s="1"/>
  <c r="C113" i="21" s="1"/>
  <c r="C116" i="21" s="1"/>
  <c r="P104" i="21"/>
  <c r="N104" i="21"/>
  <c r="M104" i="21"/>
  <c r="L104" i="21"/>
  <c r="K104" i="21"/>
  <c r="J104" i="21"/>
  <c r="I104" i="21"/>
  <c r="H104" i="21"/>
  <c r="G104" i="21"/>
  <c r="F104" i="21"/>
  <c r="E104" i="21"/>
  <c r="C104" i="21"/>
  <c r="D103" i="21"/>
  <c r="D104" i="21" s="1"/>
  <c r="P98" i="21"/>
  <c r="P105" i="21" s="1"/>
  <c r="P110" i="21" s="1"/>
  <c r="P113" i="21" s="1"/>
  <c r="P116" i="21" s="1"/>
  <c r="N98" i="21"/>
  <c r="M98" i="21"/>
  <c r="M105" i="21" s="1"/>
  <c r="M110" i="21" s="1"/>
  <c r="M113" i="21" s="1"/>
  <c r="M116" i="21" s="1"/>
  <c r="L98" i="21"/>
  <c r="L105" i="21" s="1"/>
  <c r="L110" i="21" s="1"/>
  <c r="L113" i="21" s="1"/>
  <c r="L116" i="21" s="1"/>
  <c r="K98" i="21"/>
  <c r="J98" i="21"/>
  <c r="I98" i="21"/>
  <c r="H98" i="21"/>
  <c r="H105" i="21" s="1"/>
  <c r="H110" i="21" s="1"/>
  <c r="H113" i="21" s="1"/>
  <c r="H116" i="21" s="1"/>
  <c r="G98" i="21"/>
  <c r="G105" i="21" s="1"/>
  <c r="G110" i="21" s="1"/>
  <c r="G113" i="21" s="1"/>
  <c r="G116" i="21" s="1"/>
  <c r="F98" i="21"/>
  <c r="E98" i="21"/>
  <c r="E105" i="21" s="1"/>
  <c r="E110" i="21" s="1"/>
  <c r="E113" i="21" s="1"/>
  <c r="E116" i="21" s="1"/>
  <c r="D98" i="21"/>
  <c r="C98" i="21"/>
  <c r="N88" i="21"/>
  <c r="M88" i="21"/>
  <c r="L88" i="21"/>
  <c r="K88" i="21"/>
  <c r="J88" i="21"/>
  <c r="I88" i="21"/>
  <c r="H88" i="21"/>
  <c r="G88" i="21"/>
  <c r="F88" i="21"/>
  <c r="E88" i="21"/>
  <c r="D88" i="21"/>
  <c r="C88" i="21"/>
  <c r="P86" i="21"/>
  <c r="P76" i="21"/>
  <c r="P69" i="21"/>
  <c r="P77" i="21" s="1"/>
  <c r="P87" i="21" s="1"/>
  <c r="P60" i="21"/>
  <c r="P59" i="21"/>
  <c r="P48" i="21"/>
  <c r="M25" i="21"/>
  <c r="L25" i="21"/>
  <c r="J25" i="21"/>
  <c r="P23" i="21"/>
  <c r="P26" i="21" s="1"/>
  <c r="P29" i="21" s="1"/>
  <c r="G23" i="21"/>
  <c r="G26" i="21" s="1"/>
  <c r="G29" i="21" s="1"/>
  <c r="G89" i="21" s="1"/>
  <c r="P22" i="21"/>
  <c r="P18" i="21"/>
  <c r="N18" i="21"/>
  <c r="N23" i="21" s="1"/>
  <c r="N26" i="21" s="1"/>
  <c r="N29" i="21" s="1"/>
  <c r="M18" i="21"/>
  <c r="M23" i="21" s="1"/>
  <c r="M26" i="21" s="1"/>
  <c r="M29" i="21" s="1"/>
  <c r="G18" i="21"/>
  <c r="F18" i="21"/>
  <c r="F23" i="21" s="1"/>
  <c r="F26" i="21" s="1"/>
  <c r="F29" i="21" s="1"/>
  <c r="E18" i="21"/>
  <c r="E23" i="21" s="1"/>
  <c r="E26" i="21" s="1"/>
  <c r="E29" i="21" s="1"/>
  <c r="P17" i="21"/>
  <c r="N17" i="21"/>
  <c r="M17" i="21"/>
  <c r="K17" i="21"/>
  <c r="J17" i="21"/>
  <c r="I17" i="21"/>
  <c r="H17" i="21"/>
  <c r="G17" i="21"/>
  <c r="F17" i="21"/>
  <c r="E17" i="21"/>
  <c r="D17" i="21"/>
  <c r="C17" i="21"/>
  <c r="L16" i="21"/>
  <c r="L17" i="21" s="1"/>
  <c r="P11" i="21"/>
  <c r="N11" i="21"/>
  <c r="M11" i="21"/>
  <c r="L11" i="21"/>
  <c r="L18" i="21" s="1"/>
  <c r="L23" i="21" s="1"/>
  <c r="L26" i="21" s="1"/>
  <c r="L29" i="21" s="1"/>
  <c r="K11" i="21"/>
  <c r="K18" i="21" s="1"/>
  <c r="K23" i="21" s="1"/>
  <c r="K26" i="21" s="1"/>
  <c r="K29" i="21" s="1"/>
  <c r="J11" i="21"/>
  <c r="I11" i="21"/>
  <c r="I18" i="21" s="1"/>
  <c r="I23" i="21" s="1"/>
  <c r="I26" i="21" s="1"/>
  <c r="I29" i="21" s="1"/>
  <c r="H11" i="21"/>
  <c r="H18" i="21" s="1"/>
  <c r="H23" i="21" s="1"/>
  <c r="H26" i="21" s="1"/>
  <c r="H29" i="21" s="1"/>
  <c r="G11" i="21"/>
  <c r="F11" i="21"/>
  <c r="E11" i="21"/>
  <c r="D11" i="21"/>
  <c r="D18" i="21" s="1"/>
  <c r="D23" i="21" s="1"/>
  <c r="D26" i="21" s="1"/>
  <c r="D29" i="21" s="1"/>
  <c r="D89" i="21" s="1"/>
  <c r="C11" i="21"/>
  <c r="C18" i="21" s="1"/>
  <c r="C23" i="21" s="1"/>
  <c r="C26" i="21" s="1"/>
  <c r="C29" i="21" s="1"/>
  <c r="C89" i="21" s="1"/>
  <c r="D269" i="22" l="1"/>
  <c r="L269" i="22"/>
  <c r="H89" i="21"/>
  <c r="L89" i="21"/>
  <c r="F89" i="21"/>
  <c r="E89" i="21"/>
  <c r="P88" i="21"/>
  <c r="P168" i="21"/>
  <c r="K89" i="21"/>
  <c r="N89" i="21"/>
  <c r="M89" i="21"/>
  <c r="C173" i="21"/>
  <c r="I89" i="21"/>
  <c r="D105" i="21"/>
  <c r="D110" i="21" s="1"/>
  <c r="D113" i="21" s="1"/>
  <c r="D116" i="21" s="1"/>
  <c r="J18" i="21"/>
  <c r="J23" i="21" s="1"/>
  <c r="J26" i="21" s="1"/>
  <c r="J29" i="21" s="1"/>
  <c r="J89" i="21" s="1"/>
  <c r="F105" i="21"/>
  <c r="F110" i="21" s="1"/>
  <c r="F113" i="21" s="1"/>
  <c r="F116" i="21" s="1"/>
  <c r="N105" i="21"/>
  <c r="N110" i="21" s="1"/>
  <c r="N113" i="21" s="1"/>
  <c r="N116" i="21" s="1"/>
  <c r="D193" i="21"/>
  <c r="D196" i="21" s="1"/>
  <c r="D173" i="21"/>
  <c r="M211" i="20"/>
  <c r="N128" i="20"/>
  <c r="M128" i="20"/>
  <c r="N77" i="20"/>
  <c r="M77" i="20"/>
  <c r="N59" i="20"/>
  <c r="M59" i="20"/>
  <c r="N8" i="20"/>
  <c r="M8" i="20"/>
  <c r="O82" i="18"/>
  <c r="N82" i="18"/>
  <c r="O68" i="18"/>
  <c r="N68" i="18"/>
  <c r="O39" i="18"/>
  <c r="N39" i="18"/>
  <c r="O7" i="18"/>
  <c r="N7" i="18"/>
  <c r="G43" i="8"/>
  <c r="O246" i="4" l="1"/>
  <c r="N246" i="4"/>
  <c r="N247" i="4" s="1"/>
  <c r="M246" i="4"/>
  <c r="L246" i="4"/>
  <c r="K246" i="4"/>
  <c r="J246" i="4"/>
  <c r="I246" i="4"/>
  <c r="H246" i="4"/>
  <c r="G246" i="4"/>
  <c r="F246" i="4"/>
  <c r="F247" i="4" s="1"/>
  <c r="E246" i="4"/>
  <c r="D246" i="4"/>
  <c r="C246" i="4"/>
  <c r="O232" i="4"/>
  <c r="N232" i="4"/>
  <c r="M232" i="4"/>
  <c r="L232" i="4"/>
  <c r="K232" i="4"/>
  <c r="J232" i="4"/>
  <c r="I232" i="4"/>
  <c r="H232" i="4"/>
  <c r="G232" i="4"/>
  <c r="F232" i="4"/>
  <c r="E232" i="4"/>
  <c r="D232" i="4"/>
  <c r="C232" i="4"/>
  <c r="O215" i="4"/>
  <c r="N215" i="4"/>
  <c r="M215" i="4"/>
  <c r="L215" i="4"/>
  <c r="K215" i="4"/>
  <c r="J215" i="4"/>
  <c r="I215" i="4"/>
  <c r="H215" i="4"/>
  <c r="G215" i="4"/>
  <c r="F215" i="4"/>
  <c r="E215" i="4"/>
  <c r="D215" i="4"/>
  <c r="C215" i="4"/>
  <c r="O196" i="4"/>
  <c r="N196" i="4"/>
  <c r="M196" i="4"/>
  <c r="M197" i="4" s="1"/>
  <c r="L196" i="4"/>
  <c r="K196" i="4"/>
  <c r="J196" i="4"/>
  <c r="J197" i="4" s="1"/>
  <c r="I196" i="4"/>
  <c r="H196" i="4"/>
  <c r="G196" i="4"/>
  <c r="F196" i="4"/>
  <c r="E196" i="4"/>
  <c r="E197" i="4" s="1"/>
  <c r="D196" i="4"/>
  <c r="C196" i="4"/>
  <c r="O192" i="4"/>
  <c r="N192" i="4"/>
  <c r="M192" i="4"/>
  <c r="L192" i="4"/>
  <c r="K192" i="4"/>
  <c r="J192" i="4"/>
  <c r="I192" i="4"/>
  <c r="H192" i="4"/>
  <c r="G192" i="4"/>
  <c r="F192" i="4"/>
  <c r="E192" i="4"/>
  <c r="D192" i="4"/>
  <c r="C192" i="4"/>
  <c r="O179" i="4"/>
  <c r="N179" i="4"/>
  <c r="M179" i="4"/>
  <c r="L179" i="4"/>
  <c r="K179" i="4"/>
  <c r="J179" i="4"/>
  <c r="I179" i="4"/>
  <c r="H179" i="4"/>
  <c r="G179" i="4"/>
  <c r="F179" i="4"/>
  <c r="E179" i="4"/>
  <c r="D179" i="4"/>
  <c r="C179" i="4"/>
  <c r="O153" i="4"/>
  <c r="N153" i="4"/>
  <c r="M153" i="4"/>
  <c r="K153" i="4"/>
  <c r="J153" i="4"/>
  <c r="I153" i="4"/>
  <c r="H153" i="4"/>
  <c r="G153" i="4"/>
  <c r="F153" i="4"/>
  <c r="E153" i="4"/>
  <c r="D153" i="4"/>
  <c r="C153" i="4"/>
  <c r="O143" i="4"/>
  <c r="N143" i="4"/>
  <c r="M143" i="4"/>
  <c r="K143" i="4"/>
  <c r="J143" i="4"/>
  <c r="I143" i="4"/>
  <c r="H143" i="4"/>
  <c r="G143" i="4"/>
  <c r="F143" i="4"/>
  <c r="D143" i="4"/>
  <c r="C143" i="4"/>
  <c r="E142" i="4"/>
  <c r="E149" i="4" s="1"/>
  <c r="E152" i="4" s="1"/>
  <c r="E156" i="4" s="1"/>
  <c r="E158" i="4" s="1"/>
  <c r="O136" i="4"/>
  <c r="N136" i="4"/>
  <c r="M136" i="4"/>
  <c r="K136" i="4"/>
  <c r="J136" i="4"/>
  <c r="I136" i="4"/>
  <c r="H136" i="4"/>
  <c r="G136" i="4"/>
  <c r="F136" i="4"/>
  <c r="E136" i="4"/>
  <c r="D136" i="4"/>
  <c r="C136" i="4"/>
  <c r="O135" i="4"/>
  <c r="O142" i="4" s="1"/>
  <c r="O149" i="4" s="1"/>
  <c r="O152" i="4" s="1"/>
  <c r="O156" i="4" s="1"/>
  <c r="O158" i="4" s="1"/>
  <c r="N135" i="4"/>
  <c r="M135" i="4"/>
  <c r="L142" i="4"/>
  <c r="L149" i="4" s="1"/>
  <c r="L152" i="4" s="1"/>
  <c r="K135" i="4"/>
  <c r="J135" i="4"/>
  <c r="I135" i="4"/>
  <c r="H135" i="4"/>
  <c r="G135" i="4"/>
  <c r="F135" i="4"/>
  <c r="E135" i="4"/>
  <c r="D135" i="4"/>
  <c r="C135" i="4"/>
  <c r="O131" i="4"/>
  <c r="N131" i="4"/>
  <c r="M131" i="4"/>
  <c r="L131" i="4"/>
  <c r="K131" i="4"/>
  <c r="J131" i="4"/>
  <c r="I131" i="4"/>
  <c r="H131" i="4"/>
  <c r="G131" i="4"/>
  <c r="F131" i="4"/>
  <c r="E131" i="4"/>
  <c r="O121" i="4"/>
  <c r="N121" i="4"/>
  <c r="J121" i="4"/>
  <c r="I121" i="4"/>
  <c r="H121" i="4"/>
  <c r="G121" i="4"/>
  <c r="F121" i="4"/>
  <c r="E121" i="4"/>
  <c r="D121" i="4"/>
  <c r="C121" i="4"/>
  <c r="O109" i="4"/>
  <c r="N109" i="4"/>
  <c r="M109" i="4"/>
  <c r="M123" i="4" s="1"/>
  <c r="L109" i="4"/>
  <c r="K109" i="4"/>
  <c r="J109" i="4"/>
  <c r="I109" i="4"/>
  <c r="H109" i="4"/>
  <c r="G109" i="4"/>
  <c r="F109" i="4"/>
  <c r="E109" i="4"/>
  <c r="D109" i="4"/>
  <c r="C109" i="4"/>
  <c r="O95" i="4"/>
  <c r="N95" i="4"/>
  <c r="M95" i="4"/>
  <c r="L95" i="4"/>
  <c r="K95" i="4"/>
  <c r="J95" i="4"/>
  <c r="I95" i="4"/>
  <c r="H95" i="4"/>
  <c r="G95" i="4"/>
  <c r="F95" i="4"/>
  <c r="E95" i="4"/>
  <c r="D95" i="4"/>
  <c r="C95" i="4"/>
  <c r="O76" i="4"/>
  <c r="N76" i="4"/>
  <c r="M76" i="4"/>
  <c r="M77" i="4" s="1"/>
  <c r="L76" i="4"/>
  <c r="K76" i="4"/>
  <c r="J76" i="4"/>
  <c r="I76" i="4"/>
  <c r="H76" i="4"/>
  <c r="G76" i="4"/>
  <c r="F76" i="4"/>
  <c r="E76" i="4"/>
  <c r="E77" i="4" s="1"/>
  <c r="D76" i="4"/>
  <c r="C76" i="4"/>
  <c r="O60" i="4"/>
  <c r="N60" i="4"/>
  <c r="M60" i="4"/>
  <c r="L60" i="4"/>
  <c r="K60" i="4"/>
  <c r="J60" i="4"/>
  <c r="I60" i="4"/>
  <c r="H60" i="4"/>
  <c r="G60" i="4"/>
  <c r="F60" i="4"/>
  <c r="E60" i="4"/>
  <c r="D60" i="4"/>
  <c r="C60" i="4"/>
  <c r="O34" i="4"/>
  <c r="N34" i="4"/>
  <c r="M34" i="4"/>
  <c r="L34" i="4"/>
  <c r="K34" i="4"/>
  <c r="J34" i="4"/>
  <c r="I34" i="4"/>
  <c r="H34" i="4"/>
  <c r="G34" i="4"/>
  <c r="F34" i="4"/>
  <c r="E34" i="4"/>
  <c r="D34" i="4"/>
  <c r="C34" i="4"/>
  <c r="O24" i="4"/>
  <c r="N24" i="4"/>
  <c r="M24" i="4"/>
  <c r="L24" i="4"/>
  <c r="K24" i="4"/>
  <c r="J24" i="4"/>
  <c r="I24" i="4"/>
  <c r="H24" i="4"/>
  <c r="G24" i="4"/>
  <c r="F24" i="4"/>
  <c r="E24" i="4"/>
  <c r="D24" i="4"/>
  <c r="C24" i="4"/>
  <c r="O16" i="4"/>
  <c r="N16" i="4"/>
  <c r="M16" i="4"/>
  <c r="K16" i="4"/>
  <c r="J16" i="4"/>
  <c r="I16" i="4"/>
  <c r="H16" i="4"/>
  <c r="G16" i="4"/>
  <c r="F16" i="4"/>
  <c r="E16" i="4"/>
  <c r="D16" i="4"/>
  <c r="C16" i="4"/>
  <c r="O15" i="4"/>
  <c r="N15" i="4"/>
  <c r="M15" i="4"/>
  <c r="K15" i="4"/>
  <c r="J15" i="4"/>
  <c r="J23" i="4" s="1"/>
  <c r="I15" i="4"/>
  <c r="H15" i="4"/>
  <c r="G15" i="4"/>
  <c r="F15" i="4"/>
  <c r="E15" i="4"/>
  <c r="D15" i="4"/>
  <c r="C15" i="4"/>
  <c r="O8" i="4"/>
  <c r="K8" i="4"/>
  <c r="L123" i="4" l="1"/>
  <c r="H247" i="4"/>
  <c r="C142" i="4"/>
  <c r="C149" i="4" s="1"/>
  <c r="C152" i="4" s="1"/>
  <c r="C156" i="4" s="1"/>
  <c r="C158" i="4" s="1"/>
  <c r="K142" i="4"/>
  <c r="H23" i="4"/>
  <c r="H30" i="4" s="1"/>
  <c r="H33" i="4" s="1"/>
  <c r="H38" i="4" s="1"/>
  <c r="H40" i="4" s="1"/>
  <c r="M142" i="4"/>
  <c r="M149" i="4" s="1"/>
  <c r="M152" i="4" s="1"/>
  <c r="M156" i="4" s="1"/>
  <c r="M158" i="4" s="1"/>
  <c r="D142" i="4"/>
  <c r="D149" i="4" s="1"/>
  <c r="D152" i="4" s="1"/>
  <c r="D156" i="4" s="1"/>
  <c r="D158" i="4" s="1"/>
  <c r="C77" i="4"/>
  <c r="G142" i="4"/>
  <c r="G149" i="4" s="1"/>
  <c r="G152" i="4" s="1"/>
  <c r="G156" i="4" s="1"/>
  <c r="G158" i="4" s="1"/>
  <c r="E123" i="4"/>
  <c r="D23" i="4"/>
  <c r="N23" i="4"/>
  <c r="N30" i="4" s="1"/>
  <c r="N33" i="4" s="1"/>
  <c r="N38" i="4" s="1"/>
  <c r="N40" i="4" s="1"/>
  <c r="F23" i="4"/>
  <c r="F30" i="4" s="1"/>
  <c r="F33" i="4" s="1"/>
  <c r="F38" i="4" s="1"/>
  <c r="F40" i="4" s="1"/>
  <c r="G23" i="4"/>
  <c r="G30" i="4" s="1"/>
  <c r="G33" i="4" s="1"/>
  <c r="G38" i="4" s="1"/>
  <c r="G40" i="4" s="1"/>
  <c r="O23" i="4"/>
  <c r="O30" i="4" s="1"/>
  <c r="O33" i="4" s="1"/>
  <c r="O38" i="4" s="1"/>
  <c r="O40" i="4" s="1"/>
  <c r="K77" i="4"/>
  <c r="F77" i="4"/>
  <c r="N77" i="4"/>
  <c r="G123" i="4"/>
  <c r="F142" i="4"/>
  <c r="F149" i="4" s="1"/>
  <c r="F152" i="4" s="1"/>
  <c r="F156" i="4" s="1"/>
  <c r="F158" i="4" s="1"/>
  <c r="N142" i="4"/>
  <c r="N149" i="4" s="1"/>
  <c r="N152" i="4" s="1"/>
  <c r="N156" i="4" s="1"/>
  <c r="N158" i="4" s="1"/>
  <c r="J142" i="4"/>
  <c r="J149" i="4" s="1"/>
  <c r="J152" i="4" s="1"/>
  <c r="J156" i="4" s="1"/>
  <c r="J158" i="4" s="1"/>
  <c r="I23" i="4"/>
  <c r="I30" i="4" s="1"/>
  <c r="I33" i="4" s="1"/>
  <c r="I38" i="4" s="1"/>
  <c r="I40" i="4" s="1"/>
  <c r="H142" i="4"/>
  <c r="H149" i="4" s="1"/>
  <c r="H152" i="4" s="1"/>
  <c r="H156" i="4" s="1"/>
  <c r="H158" i="4" s="1"/>
  <c r="C247" i="4"/>
  <c r="K247" i="4"/>
  <c r="J30" i="4"/>
  <c r="J33" i="4" s="1"/>
  <c r="J38" i="4" s="1"/>
  <c r="J40" i="4" s="1"/>
  <c r="E23" i="4"/>
  <c r="E30" i="4" s="1"/>
  <c r="E33" i="4" s="1"/>
  <c r="E38" i="4" s="1"/>
  <c r="E40" i="4" s="1"/>
  <c r="M23" i="4"/>
  <c r="M30" i="4" s="1"/>
  <c r="M33" i="4" s="1"/>
  <c r="M38" i="4" s="1"/>
  <c r="M40" i="4" s="1"/>
  <c r="I77" i="4"/>
  <c r="O123" i="4"/>
  <c r="J123" i="4"/>
  <c r="C23" i="4"/>
  <c r="C30" i="4" s="1"/>
  <c r="C33" i="4" s="1"/>
  <c r="C38" i="4" s="1"/>
  <c r="C40" i="4" s="1"/>
  <c r="K23" i="4"/>
  <c r="K30" i="4" s="1"/>
  <c r="K33" i="4" s="1"/>
  <c r="K38" i="4" s="1"/>
  <c r="K40" i="4" s="1"/>
  <c r="C123" i="4"/>
  <c r="K123" i="4"/>
  <c r="D197" i="4"/>
  <c r="L197" i="4"/>
  <c r="D30" i="4"/>
  <c r="D33" i="4" s="1"/>
  <c r="D38" i="4" s="1"/>
  <c r="D40" i="4" s="1"/>
  <c r="L30" i="4"/>
  <c r="K149" i="4"/>
  <c r="K152" i="4" s="1"/>
  <c r="K156" i="4" s="1"/>
  <c r="K158" i="4" s="1"/>
  <c r="D77" i="4"/>
  <c r="L77" i="4"/>
  <c r="F197" i="4"/>
  <c r="N197" i="4"/>
  <c r="D247" i="4"/>
  <c r="L247" i="4"/>
  <c r="D123" i="4"/>
  <c r="G197" i="4"/>
  <c r="O197" i="4"/>
  <c r="E247" i="4"/>
  <c r="M247" i="4"/>
  <c r="G77" i="4"/>
  <c r="O77" i="4"/>
  <c r="I142" i="4"/>
  <c r="I149" i="4" s="1"/>
  <c r="I152" i="4" s="1"/>
  <c r="I156" i="4" s="1"/>
  <c r="I158" i="4" s="1"/>
  <c r="H197" i="4"/>
  <c r="H77" i="4"/>
  <c r="F123" i="4"/>
  <c r="N123" i="4"/>
  <c r="I197" i="4"/>
  <c r="G247" i="4"/>
  <c r="O247" i="4"/>
  <c r="J77" i="4"/>
  <c r="H123" i="4"/>
  <c r="L156" i="4"/>
  <c r="L158" i="4" s="1"/>
  <c r="C197" i="4"/>
  <c r="K197" i="4"/>
  <c r="I247" i="4"/>
  <c r="I123" i="4"/>
  <c r="J247" i="4"/>
  <c r="L33" i="4" l="1"/>
  <c r="L38" i="4" s="1"/>
  <c r="L40" i="4" s="1"/>
  <c r="N211" i="20"/>
  <c r="O28" i="6"/>
  <c r="O25" i="6"/>
  <c r="O22" i="6"/>
  <c r="O20" i="6"/>
  <c r="O16" i="6"/>
  <c r="O17" i="6" s="1"/>
  <c r="O15" i="6"/>
  <c r="O14" i="6"/>
  <c r="O13" i="6"/>
  <c r="O10" i="6"/>
  <c r="O9" i="6"/>
  <c r="O11" i="6" s="1"/>
  <c r="O18" i="6" l="1"/>
  <c r="O23" i="6" s="1"/>
  <c r="O26" i="6" s="1"/>
  <c r="O29" i="6" s="1"/>
  <c r="N86" i="7" l="1"/>
  <c r="M86" i="7"/>
  <c r="L86" i="7"/>
  <c r="K86" i="7"/>
  <c r="J86" i="7"/>
  <c r="I86" i="7"/>
  <c r="H86" i="7"/>
  <c r="G86" i="7"/>
  <c r="F86" i="7"/>
  <c r="E86" i="7"/>
  <c r="D86" i="7"/>
  <c r="C86" i="7"/>
  <c r="N76" i="7"/>
  <c r="M76" i="7"/>
  <c r="L76" i="7"/>
  <c r="K76" i="7"/>
  <c r="J76" i="7"/>
  <c r="I76" i="7"/>
  <c r="H76" i="7"/>
  <c r="G76" i="7"/>
  <c r="F76" i="7"/>
  <c r="E76" i="7"/>
  <c r="D76" i="7"/>
  <c r="C76" i="7"/>
  <c r="N67" i="7"/>
  <c r="N77" i="7" s="1"/>
  <c r="N87" i="7" s="1"/>
  <c r="M67" i="7"/>
  <c r="L67" i="7"/>
  <c r="L77" i="7" s="1"/>
  <c r="L87" i="7" s="1"/>
  <c r="K67" i="7"/>
  <c r="K77" i="7" s="1"/>
  <c r="K87" i="7" s="1"/>
  <c r="J67" i="7"/>
  <c r="J77" i="7" s="1"/>
  <c r="J87" i="7" s="1"/>
  <c r="I67" i="7"/>
  <c r="I77" i="7" s="1"/>
  <c r="H67" i="7"/>
  <c r="H77" i="7" s="1"/>
  <c r="H87" i="7" s="1"/>
  <c r="G67" i="7"/>
  <c r="G77" i="7" s="1"/>
  <c r="G87" i="7" s="1"/>
  <c r="F67" i="7"/>
  <c r="F77" i="7" s="1"/>
  <c r="F87" i="7" s="1"/>
  <c r="E67" i="7"/>
  <c r="D67" i="7"/>
  <c r="D77" i="7" s="1"/>
  <c r="D87" i="7" s="1"/>
  <c r="C67" i="7"/>
  <c r="C77" i="7" s="1"/>
  <c r="C87" i="7" s="1"/>
  <c r="N54" i="7"/>
  <c r="M54" i="7"/>
  <c r="L54" i="7"/>
  <c r="K54" i="7"/>
  <c r="J54" i="7"/>
  <c r="I54" i="7"/>
  <c r="H54" i="7"/>
  <c r="G54" i="7"/>
  <c r="F54" i="7"/>
  <c r="E54" i="7"/>
  <c r="D54" i="7"/>
  <c r="C54" i="7"/>
  <c r="N39" i="7"/>
  <c r="N55" i="7" s="1"/>
  <c r="M39" i="7"/>
  <c r="L39" i="7"/>
  <c r="L55" i="7" s="1"/>
  <c r="K39" i="7"/>
  <c r="K55" i="7" s="1"/>
  <c r="J39" i="7"/>
  <c r="J55" i="7" s="1"/>
  <c r="I39" i="7"/>
  <c r="I55" i="7" s="1"/>
  <c r="H39" i="7"/>
  <c r="H55" i="7" s="1"/>
  <c r="G39" i="7"/>
  <c r="G55" i="7" s="1"/>
  <c r="F39" i="7"/>
  <c r="F55" i="7" s="1"/>
  <c r="E39" i="7"/>
  <c r="D39" i="7"/>
  <c r="D55" i="7" s="1"/>
  <c r="C39" i="7"/>
  <c r="C55" i="7" s="1"/>
  <c r="I87" i="7" l="1"/>
  <c r="E55" i="7"/>
  <c r="M55" i="7"/>
  <c r="E77" i="7"/>
  <c r="E87" i="7" s="1"/>
  <c r="M77" i="7"/>
  <c r="M87" i="7" s="1"/>
  <c r="N90" i="6" l="1"/>
  <c r="M90" i="6"/>
  <c r="L90" i="6"/>
  <c r="K90" i="6"/>
  <c r="J90" i="6"/>
  <c r="I90" i="6"/>
  <c r="H90" i="6"/>
  <c r="G90" i="6"/>
  <c r="F90" i="6"/>
  <c r="E90" i="6"/>
  <c r="D90" i="6"/>
  <c r="C90" i="6"/>
  <c r="N80" i="6"/>
  <c r="M80" i="6"/>
  <c r="L80" i="6"/>
  <c r="K80" i="6"/>
  <c r="J80" i="6"/>
  <c r="I80" i="6"/>
  <c r="H80" i="6"/>
  <c r="G80" i="6"/>
  <c r="F80" i="6"/>
  <c r="E80" i="6"/>
  <c r="D80" i="6"/>
  <c r="C80" i="6"/>
  <c r="N71" i="6"/>
  <c r="N81" i="6" s="1"/>
  <c r="N91" i="6" s="1"/>
  <c r="M71" i="6"/>
  <c r="L71" i="6"/>
  <c r="L81" i="6" s="1"/>
  <c r="L91" i="6" s="1"/>
  <c r="K71" i="6"/>
  <c r="J71" i="6"/>
  <c r="I71" i="6"/>
  <c r="H71" i="6"/>
  <c r="H81" i="6" s="1"/>
  <c r="H91" i="6" s="1"/>
  <c r="G71" i="6"/>
  <c r="G81" i="6" s="1"/>
  <c r="G91" i="6" s="1"/>
  <c r="F71" i="6"/>
  <c r="F81" i="6" s="1"/>
  <c r="F91" i="6" s="1"/>
  <c r="E71" i="6"/>
  <c r="D71" i="6"/>
  <c r="D81" i="6" s="1"/>
  <c r="D91" i="6" s="1"/>
  <c r="C71" i="6"/>
  <c r="N58" i="6"/>
  <c r="M58" i="6"/>
  <c r="L58" i="6"/>
  <c r="K58" i="6"/>
  <c r="J58" i="6"/>
  <c r="I58" i="6"/>
  <c r="H58" i="6"/>
  <c r="G58" i="6"/>
  <c r="F58" i="6"/>
  <c r="E58" i="6"/>
  <c r="D58" i="6"/>
  <c r="C58" i="6"/>
  <c r="N43" i="6"/>
  <c r="N59" i="6" s="1"/>
  <c r="M43" i="6"/>
  <c r="L43" i="6"/>
  <c r="L59" i="6" s="1"/>
  <c r="K43" i="6"/>
  <c r="J43" i="6"/>
  <c r="I43" i="6"/>
  <c r="H43" i="6"/>
  <c r="H59" i="6" s="1"/>
  <c r="G43" i="6"/>
  <c r="G59" i="6" s="1"/>
  <c r="F43" i="6"/>
  <c r="F59" i="6" s="1"/>
  <c r="E43" i="6"/>
  <c r="D43" i="6"/>
  <c r="D59" i="6" s="1"/>
  <c r="C38" i="6"/>
  <c r="C43" i="6" s="1"/>
  <c r="E59" i="6" l="1"/>
  <c r="M59" i="6"/>
  <c r="E81" i="6"/>
  <c r="E91" i="6" s="1"/>
  <c r="M81" i="6"/>
  <c r="M91" i="6" s="1"/>
  <c r="J59" i="6"/>
  <c r="J81" i="6"/>
  <c r="J91" i="6" s="1"/>
  <c r="I59" i="6"/>
  <c r="I81" i="6"/>
  <c r="I91" i="6" s="1"/>
  <c r="C59" i="6"/>
  <c r="K59" i="6"/>
  <c r="C81" i="6"/>
  <c r="C91" i="6" s="1"/>
  <c r="K81" i="6"/>
  <c r="K91" i="6" s="1"/>
  <c r="C43" i="8" l="1"/>
  <c r="D43" i="8"/>
  <c r="E43" i="8"/>
  <c r="F43" i="8"/>
  <c r="N107" i="2" l="1"/>
  <c r="M107" i="2"/>
  <c r="L107" i="2"/>
  <c r="K107" i="2"/>
  <c r="J107" i="2"/>
  <c r="I107" i="2"/>
  <c r="H107" i="2"/>
  <c r="G107" i="2"/>
  <c r="F107" i="2"/>
  <c r="D107" i="2"/>
  <c r="E107" i="2"/>
  <c r="C107" i="2"/>
  <c r="D106" i="2"/>
  <c r="E106" i="2"/>
  <c r="F106" i="2"/>
  <c r="G106" i="2"/>
  <c r="H106" i="2"/>
  <c r="I106" i="2"/>
  <c r="J106" i="2"/>
  <c r="K106" i="2"/>
  <c r="L106" i="2"/>
  <c r="M106" i="2"/>
  <c r="N106" i="2"/>
  <c r="C10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MARÍA OCHOA MUÑOZ</author>
    <author>Interconexión Eléctrica S.A</author>
  </authors>
  <commentList>
    <comment ref="K80" authorId="0" shapeId="0" xr:uid="{364955EC-4597-4B1A-AC4D-CBD40E5B9A31}">
      <text>
        <r>
          <rPr>
            <b/>
            <sz val="9"/>
            <color indexed="81"/>
            <rFont val="Tahoma"/>
            <family val="2"/>
          </rPr>
          <t>ANA MARÍA OCHOA MUÑOZ:</t>
        </r>
        <r>
          <rPr>
            <sz val="9"/>
            <color indexed="81"/>
            <rFont val="Tahoma"/>
            <family val="2"/>
          </rPr>
          <t xml:space="preserve">
TV y MV a partir de abril de 2015</t>
        </r>
      </text>
    </comment>
    <comment ref="C130" authorId="1" shapeId="0" xr:uid="{2AD92355-22B0-42C6-9450-6542A4E5FC65}">
      <text>
        <r>
          <rPr>
            <b/>
            <sz val="9"/>
            <color indexed="81"/>
            <rFont val="Tahoma"/>
            <family val="2"/>
          </rPr>
          <t>Interconexión Eléctrica S.A:</t>
        </r>
        <r>
          <rPr>
            <sz val="9"/>
            <color indexed="81"/>
            <rFont val="Tahoma"/>
            <family val="2"/>
          </rPr>
          <t xml:space="preserve">
Cambió de BBVA a Scotiabank</t>
        </r>
      </text>
    </comment>
    <comment ref="D143" authorId="1" shapeId="0" xr:uid="{6F6F301B-4F67-428B-8361-84F1B0F90133}">
      <text>
        <r>
          <rPr>
            <b/>
            <sz val="9"/>
            <color indexed="81"/>
            <rFont val="Tahoma"/>
            <family val="2"/>
          </rPr>
          <t>Interconexión Eléctrica S.A:</t>
        </r>
        <r>
          <rPr>
            <sz val="9"/>
            <color indexed="81"/>
            <rFont val="Tahoma"/>
            <family val="2"/>
          </rPr>
          <t xml:space="preserve">
Al principio es en CLP pero despues se trasforma a UF</t>
        </r>
      </text>
    </comment>
  </commentList>
</comments>
</file>

<file path=xl/sharedStrings.xml><?xml version="1.0" encoding="utf-8"?>
<sst xmlns="http://schemas.openxmlformats.org/spreadsheetml/2006/main" count="3271" uniqueCount="994">
  <si>
    <t>Estados financieros trimestrales consolidados</t>
  </si>
  <si>
    <t>Estados financieros trimestrales TE Colombia</t>
  </si>
  <si>
    <t>ISA</t>
  </si>
  <si>
    <t>Intercolombia</t>
  </si>
  <si>
    <t>Transelca</t>
  </si>
  <si>
    <t>Estados financieros trimestrales TE Brasil</t>
  </si>
  <si>
    <t>Estados financieros trimestrales TE Perú</t>
  </si>
  <si>
    <t>Transmantaro</t>
  </si>
  <si>
    <t>REP</t>
  </si>
  <si>
    <t>ISA Perú</t>
  </si>
  <si>
    <t>Estados financieros trimestrales TE Chile</t>
  </si>
  <si>
    <t>Estados financieros trimestrales Vías Chile</t>
  </si>
  <si>
    <t>Deuda Consolidada Créditos</t>
  </si>
  <si>
    <t>Deuda Consolidada Bonos</t>
  </si>
  <si>
    <t>CAPEX</t>
  </si>
  <si>
    <t>Dividendos</t>
  </si>
  <si>
    <t>Proyectos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</si>
  <si>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</si>
  <si>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</si>
  <si>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</si>
  <si>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</si>
  <si>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</si>
  <si>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</si>
  <si>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</si>
  <si>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</si>
  <si>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</si>
  <si>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</si>
  <si>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</si>
  <si>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</si>
  <si>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</si>
  <si>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</si>
  <si>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Ingresos de construcción</t>
  </si>
  <si>
    <t>Costos de construcción</t>
  </si>
  <si>
    <t>EBITDA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</si>
  <si>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</si>
  <si>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</si>
  <si>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</si>
  <si>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</si>
  <si>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</si>
  <si>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</si>
  <si>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</si>
  <si>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</si>
  <si>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</si>
  <si>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EBITDA Total</t>
  </si>
  <si>
    <t xml:space="preserve">(-) Provisiones, Depreciaciones y Amortizaciones. </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</si>
  <si>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</si>
  <si>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</si>
  <si>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</si>
  <si>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</si>
  <si>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</si>
  <si>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</si>
  <si>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</si>
  <si>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</si>
  <si>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</si>
  <si>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</si>
  <si>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</si>
  <si>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</si>
  <si>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</si>
  <si>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</si>
  <si>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</si>
  <si>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</si>
  <si>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</si>
  <si>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</si>
  <si>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</si>
  <si>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</si>
  <si>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</si>
  <si>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</si>
  <si>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</si>
  <si>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</si>
  <si>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</si>
  <si>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</si>
  <si>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</si>
  <si>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</si>
  <si>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</si>
  <si>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</si>
  <si>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</si>
  <si>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</si>
  <si>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</si>
  <si>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</si>
  <si>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</si>
  <si>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</si>
  <si>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</si>
  <si>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</si>
  <si>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</si>
  <si>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</si>
  <si>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</si>
  <si>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</si>
  <si>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</si>
  <si>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</si>
  <si>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</si>
  <si>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</si>
  <si>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</si>
  <si>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</si>
  <si>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</si>
  <si>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</si>
  <si>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</si>
  <si>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</si>
  <si>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</si>
  <si>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</si>
  <si>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</si>
  <si>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</si>
  <si>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</si>
  <si>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</si>
  <si>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</si>
  <si>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</si>
  <si>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</si>
  <si>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</si>
  <si>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Utilidad contrato de cuentas en participación</t>
  </si>
  <si>
    <t>Servicios de transmisión de energía eléctrica</t>
  </si>
  <si>
    <t>Cargos por conexión</t>
  </si>
  <si>
    <t>Proyectos de infraestructura</t>
  </si>
  <si>
    <t>Telecomunicaciones</t>
  </si>
  <si>
    <t>EBITDA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</si>
  <si>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</si>
  <si>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</si>
  <si>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</si>
  <si>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</si>
  <si>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</si>
  <si>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</si>
  <si>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Gerenciamiento de proyectos</t>
  </si>
  <si>
    <t>Arrendamientos de infraestructura eléctrica</t>
  </si>
  <si>
    <t>ESTADOS SEPARADOS DE SITUACIÓN FINANCIERA - ISA INTERCOLOMBIA</t>
  </si>
  <si>
    <t>Intangibles - neto</t>
  </si>
  <si>
    <t>Otros activos financieros</t>
  </si>
  <si>
    <t>Contrato cuentas en participación</t>
  </si>
  <si>
    <t>ESTADOS DE RESULTADOS SEPARADOS - ISA TRANSELCA</t>
  </si>
  <si>
    <t>Despacho y coordinación CND - MEM</t>
  </si>
  <si>
    <t>ESTADOS SEPARADOS DE SITUACIÓN FINANCIERA-ISA TRANSELCA</t>
  </si>
  <si>
    <t>Inversiones en negocio conjunto</t>
  </si>
  <si>
    <t>Activos Intangibles en arrendamiento Financiero</t>
  </si>
  <si>
    <t>Cuentas por pagar vinculados económicos</t>
  </si>
  <si>
    <t>ESTADOS DE RESULTADOS CONSOLIDADO IFRS - CTEEP</t>
  </si>
  <si>
    <t>Cifras expresadas en miles de reales</t>
  </si>
  <si>
    <t>Consolidated</t>
  </si>
  <si>
    <t>1Q18</t>
  </si>
  <si>
    <t>2Q18</t>
  </si>
  <si>
    <t>3Q18</t>
  </si>
  <si>
    <t>4Q18</t>
  </si>
  <si>
    <t>1Q19</t>
  </si>
  <si>
    <t>2Q19</t>
  </si>
  <si>
    <t>3Q19</t>
  </si>
  <si>
    <t>4Q19</t>
  </si>
  <si>
    <t>1Q20</t>
  </si>
  <si>
    <t>2Q20</t>
  </si>
  <si>
    <t>3Q20</t>
  </si>
  <si>
    <t>Gross Operating Revenue</t>
  </si>
  <si>
    <t>Infrastructure</t>
  </si>
  <si>
    <t>O&amp;M</t>
  </si>
  <si>
    <t>Concession assets</t>
  </si>
  <si>
    <t>Other</t>
  </si>
  <si>
    <t>Deductions from Operating Revenue</t>
  </si>
  <si>
    <t>Net Operating Revenue</t>
  </si>
  <si>
    <t xml:space="preserve">Cost and Expenses  </t>
  </si>
  <si>
    <t>Personnel</t>
  </si>
  <si>
    <t>Materials</t>
  </si>
  <si>
    <t>Services</t>
  </si>
  <si>
    <t>Depreciation</t>
  </si>
  <si>
    <t>-</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</si>
  <si>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</si>
  <si>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</si>
  <si>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</si>
  <si>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</si>
  <si>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</si>
  <si>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</si>
  <si>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</si>
  <si>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</si>
  <si>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</si>
  <si>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</si>
  <si>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</si>
  <si>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</si>
  <si>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</si>
  <si>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</si>
  <si>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</si>
  <si>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</si>
  <si>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</si>
  <si>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</si>
  <si>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</si>
  <si>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</si>
  <si>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</si>
  <si>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</si>
  <si>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</si>
  <si>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</si>
  <si>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</si>
  <si>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</si>
  <si>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</si>
  <si>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Credits from Subsidiaries</t>
  </si>
  <si>
    <t>Derivative instruments</t>
  </si>
  <si>
    <t>Prepaid expenses</t>
  </si>
  <si>
    <t xml:space="preserve">Restricted Cash </t>
  </si>
  <si>
    <t>Others</t>
  </si>
  <si>
    <t>TOTAL CURRENT ASSETS</t>
  </si>
  <si>
    <t>NON-CURRENT</t>
  </si>
  <si>
    <t>Long-term Receivables</t>
  </si>
  <si>
    <t>Concession Asset</t>
  </si>
  <si>
    <t>Amounts Receivable - Revenue Service</t>
  </si>
  <si>
    <t xml:space="preserve">Tax benefit - embedded premium </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</si>
  <si>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</si>
  <si>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</si>
  <si>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</si>
  <si>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</si>
  <si>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</si>
  <si>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</si>
  <si>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</si>
  <si>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</si>
  <si>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</si>
  <si>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</si>
  <si>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</si>
  <si>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</si>
  <si>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</si>
  <si>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</si>
  <si>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</si>
  <si>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</si>
  <si>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</si>
  <si>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</si>
  <si>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</si>
  <si>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</si>
  <si>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</si>
  <si>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</si>
  <si>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</si>
  <si>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</si>
  <si>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</si>
  <si>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</si>
  <si>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</si>
  <si>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</si>
  <si>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</si>
  <si>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</si>
  <si>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</si>
  <si>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</si>
  <si>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</si>
  <si>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</si>
  <si>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</si>
  <si>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</si>
  <si>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</si>
  <si>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</si>
  <si>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</si>
  <si>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</si>
  <si>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</si>
  <si>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</si>
  <si>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</si>
  <si>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</si>
  <si>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</si>
  <si>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</si>
  <si>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</si>
  <si>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</si>
  <si>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</si>
  <si>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</si>
  <si>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</si>
  <si>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</si>
  <si>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</si>
  <si>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</si>
  <si>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</si>
  <si>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</si>
  <si>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</si>
  <si>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</si>
  <si>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</si>
  <si>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</si>
  <si>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</si>
  <si>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Income taxes and social contribution</t>
  </si>
  <si>
    <t>Prepaid Expenses</t>
  </si>
  <si>
    <t>Credit with controlled</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</si>
  <si>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</si>
  <si>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</si>
  <si>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</si>
  <si>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</si>
  <si>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</si>
  <si>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</si>
  <si>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</si>
  <si>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</si>
  <si>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</si>
  <si>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</si>
  <si>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</si>
  <si>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</si>
  <si>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</si>
  <si>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</si>
  <si>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</si>
  <si>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</si>
  <si>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</si>
  <si>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</si>
  <si>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</si>
  <si>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</si>
  <si>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</si>
  <si>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</si>
  <si>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</si>
  <si>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</si>
  <si>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</si>
  <si>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</si>
  <si>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</si>
  <si>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</si>
  <si>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</si>
  <si>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</si>
  <si>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</si>
  <si>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</si>
  <si>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</si>
  <si>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2017/2018</t>
  </si>
  <si>
    <t>2018/2019</t>
  </si>
  <si>
    <t>2019/2020</t>
  </si>
  <si>
    <t>2020/2021</t>
  </si>
  <si>
    <t>2021/2022</t>
  </si>
  <si>
    <t>2022/2023</t>
  </si>
  <si>
    <t>2023/2024</t>
  </si>
  <si>
    <t>2024/2025</t>
  </si>
  <si>
    <t>2025/2026</t>
  </si>
  <si>
    <t>2026/2027</t>
  </si>
  <si>
    <t>2027/2028</t>
  </si>
  <si>
    <t>2028/2029</t>
  </si>
  <si>
    <t>2029/2030</t>
  </si>
  <si>
    <t>2030/2031</t>
  </si>
  <si>
    <t>2031/2032</t>
  </si>
  <si>
    <t>2032/2033</t>
  </si>
  <si>
    <t>Ke (BRL million)</t>
  </si>
  <si>
    <t>Financial Component ex-Ke (BRL million)</t>
  </si>
  <si>
    <t>Economic Component (BRL million)</t>
  </si>
  <si>
    <t>Total (BRL million)</t>
  </si>
  <si>
    <t>ESTADOS DE RESULTADOS SEPARADOS - CONSORCIO TRANSMANTARO</t>
  </si>
  <si>
    <t>Cifras expresadas en miles de dólares americanos</t>
  </si>
  <si>
    <t>Ingresos complementarios</t>
  </si>
  <si>
    <t>ESTADOS SEPARADOS DE SITUACIÓN FINANCIERA - CONSORCIO TRANSMANTARO</t>
  </si>
  <si>
    <t>Cuentas por cobrar comerciales</t>
  </si>
  <si>
    <t>Otras cuentas por cobrar</t>
  </si>
  <si>
    <t>Inventarios</t>
  </si>
  <si>
    <t>Otros activo no financieros</t>
  </si>
  <si>
    <t>Cuentas por cobrar partes relacionadas</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</si>
  <si>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</si>
  <si>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</si>
  <si>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</si>
  <si>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</si>
  <si>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</si>
  <si>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</si>
  <si>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</si>
  <si>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</si>
  <si>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</si>
  <si>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</si>
  <si>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</si>
  <si>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</si>
  <si>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</si>
  <si>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</si>
  <si>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</si>
  <si>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</si>
  <si>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</si>
  <si>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</si>
  <si>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</si>
  <si>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</si>
  <si>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</si>
  <si>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</si>
  <si>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</si>
  <si>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</si>
  <si>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</si>
  <si>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</si>
  <si>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</si>
  <si>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</si>
  <si>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</si>
  <si>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</si>
  <si>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</si>
  <si>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</si>
  <si>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</si>
  <si>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</si>
  <si>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</si>
  <si>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</si>
  <si>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</si>
  <si>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</si>
  <si>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</si>
  <si>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</si>
  <si>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</si>
  <si>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</si>
  <si>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</si>
  <si>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</si>
  <si>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</si>
  <si>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</si>
  <si>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</si>
  <si>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</si>
  <si>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</si>
  <si>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</si>
  <si>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</si>
  <si>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</si>
  <si>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</si>
  <si>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</si>
  <si>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</si>
  <si>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</si>
  <si>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</si>
  <si>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</si>
  <si>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</si>
  <si>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</si>
  <si>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</si>
  <si>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</si>
  <si>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</si>
  <si>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</si>
  <si>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</si>
  <si>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</si>
  <si>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</si>
  <si>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</si>
  <si>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</si>
  <si>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</si>
  <si>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DEL MAIPO</t>
  </si>
  <si>
    <t>Cifras expresadas en millones de pesos chilenos</t>
  </si>
  <si>
    <t>Ingresos por servicios de operación de vías</t>
  </si>
  <si>
    <t>Rendimientos financieros del activo de concesión</t>
  </si>
  <si>
    <t>ESTADOS SEPARADOS DE SITUACIÓN FINANCIERA-RUTA DEL MAIPO</t>
  </si>
  <si>
    <t>ESTADOS DE RESULTADOS  - RUTA DE LA ARAUCANÍA</t>
  </si>
  <si>
    <t>ESTADOS SEPARADOS DE SITUACIÓN FINANCIERA-RUTA DE LA ARAUCANÍA</t>
  </si>
  <si>
    <t>ESTADOS DE RESULTADOS  - RUTA DEL BOSQUE</t>
  </si>
  <si>
    <t>ESTADOS SEPARADOS DE SITUACIÓN FINANCIERA-RUTA DEL BOSQUE</t>
  </si>
  <si>
    <t>ESTADOS DE RESULTADOS  - RUTA DEL MAULE</t>
  </si>
  <si>
    <t>ESTADOS SEPARADOS DE SITUACIÓN FINANCIERA-RUTA DEL MAULE</t>
  </si>
  <si>
    <t>ESTADOS DE RESULTADOS  - RUTA DE LOS RÍOS</t>
  </si>
  <si>
    <t>ESTADOS SEPARADOS DE SITUACIÓN FINANCIERA-RUTA DE LOS RÍOS</t>
  </si>
  <si>
    <t>Filial</t>
  </si>
  <si>
    <t>Fuente de Financiación</t>
  </si>
  <si>
    <t>Moneda Crédito</t>
  </si>
  <si>
    <t>Fecha Inicial</t>
  </si>
  <si>
    <t>Fecha Vencimiento</t>
  </si>
  <si>
    <t>Plazo Años</t>
  </si>
  <si>
    <t>Tasa de Interés</t>
  </si>
  <si>
    <t>COLOMBIA</t>
  </si>
  <si>
    <t>Internexa</t>
  </si>
  <si>
    <t>PERU</t>
  </si>
  <si>
    <t>CTM</t>
  </si>
  <si>
    <t>ISA PERU</t>
  </si>
  <si>
    <t>ITX PERU</t>
  </si>
  <si>
    <t>BRASIL</t>
  </si>
  <si>
    <t>CTEEP</t>
  </si>
  <si>
    <t>IEMG</t>
  </si>
  <si>
    <t>IEPIN</t>
  </si>
  <si>
    <t>Serra Do Japi</t>
  </si>
  <si>
    <t>IENNE</t>
  </si>
  <si>
    <t>IESUL</t>
  </si>
  <si>
    <t>ITX Brasil</t>
  </si>
  <si>
    <t>CHILE</t>
  </si>
  <si>
    <t>ITX CHILE</t>
  </si>
  <si>
    <t>RUTA 
ARAUCANIA</t>
  </si>
  <si>
    <t>RUTA 
DE LOS RIOS</t>
  </si>
  <si>
    <t>RUTA DEL LOA</t>
  </si>
  <si>
    <t>INTERCHILE</t>
  </si>
  <si>
    <t>TOTAL OBLIGACIONES FINANCIERAS</t>
  </si>
  <si>
    <t>Tipo</t>
  </si>
  <si>
    <t>Fecha Emisión</t>
  </si>
  <si>
    <t>Bonos</t>
  </si>
  <si>
    <t>Programa Tramo 7 Serie A</t>
  </si>
  <si>
    <t>COP</t>
  </si>
  <si>
    <t>IPC</t>
  </si>
  <si>
    <t>⁺</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</si>
  <si>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</si>
  <si>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</si>
  <si>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</si>
  <si>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</si>
  <si>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</si>
  <si>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</si>
  <si>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</si>
  <si>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</si>
  <si>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</si>
  <si>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</si>
  <si>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 xml:space="preserve">Tasa Fija </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</si>
  <si>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</si>
  <si>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</si>
  <si>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</si>
  <si>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</si>
  <si>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</si>
  <si>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</si>
  <si>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</si>
  <si>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</si>
  <si>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</si>
  <si>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6.33%</t>
  </si>
  <si>
    <t>Programa Tramo 14 Serie G20</t>
  </si>
  <si>
    <t>UVR</t>
  </si>
  <si>
    <t>TRANSELCA</t>
  </si>
  <si>
    <t>Tercera Emisión - Tramo I</t>
  </si>
  <si>
    <t>Tercera Emisión - Tramo II</t>
  </si>
  <si>
    <t>2P 20va Emision (Serie A)</t>
  </si>
  <si>
    <t>USD</t>
  </si>
  <si>
    <t>3P 4ta Emision (Serie A)</t>
  </si>
  <si>
    <t>3P 1era Emision (Serie A)(1)(3)</t>
  </si>
  <si>
    <t>PEN</t>
  </si>
  <si>
    <t>3P 1ra Emision (Serie B) (1)(3)</t>
  </si>
  <si>
    <t>3P 7ma Emision (Serie A) (3)</t>
  </si>
  <si>
    <t>Swap B</t>
  </si>
  <si>
    <t>Fair Value Swap</t>
  </si>
  <si>
    <t>CTM Bonos Internacionales</t>
  </si>
  <si>
    <t>Debentures 4ª Emissão</t>
  </si>
  <si>
    <t>BRL</t>
  </si>
  <si>
    <t>IPCA</t>
  </si>
  <si>
    <t>Debentures 5ª Emissão</t>
  </si>
  <si>
    <t>Debentures 6ª Emissão</t>
  </si>
  <si>
    <t xml:space="preserve">CDI </t>
  </si>
  <si>
    <t>Debentures 7ª Emissão</t>
  </si>
  <si>
    <t>Debentures 8ª Emissão</t>
  </si>
  <si>
    <t>ISA IP</t>
  </si>
  <si>
    <t>Tramo 1</t>
  </si>
  <si>
    <t>RUTA DEL 
MAIPO</t>
  </si>
  <si>
    <t>Bono 144A (2)</t>
  </si>
  <si>
    <t>Bono Serie C</t>
  </si>
  <si>
    <t>UF</t>
  </si>
  <si>
    <t>Bono Serie D</t>
  </si>
  <si>
    <t>Bono Serie E</t>
  </si>
  <si>
    <t>Bono Serie F</t>
  </si>
  <si>
    <t>RUTA DEL
 BOSQUE</t>
  </si>
  <si>
    <t>Bono Serie A</t>
  </si>
  <si>
    <t>Bono Serie B</t>
  </si>
  <si>
    <t>TOTAL BONOS</t>
  </si>
  <si>
    <t>Cifras en millones de pesos</t>
  </si>
  <si>
    <t>CAPEX CONSOLIDADO</t>
  </si>
  <si>
    <t>Colombia</t>
  </si>
  <si>
    <t>CABA</t>
  </si>
  <si>
    <t>XM</t>
  </si>
  <si>
    <t>SIR</t>
  </si>
  <si>
    <t>INTERNEXA</t>
  </si>
  <si>
    <t>Total Colombia</t>
  </si>
  <si>
    <t>Perú</t>
  </si>
  <si>
    <t>INTERNEXA PERÚ</t>
  </si>
  <si>
    <t>Total Perú</t>
  </si>
  <si>
    <t>Brasil</t>
  </si>
  <si>
    <t>Inversiones dentro balance</t>
  </si>
  <si>
    <t>Negocios que no consolidan</t>
  </si>
  <si>
    <t>Filiales CTEEP</t>
  </si>
  <si>
    <t>Internexa Brasil</t>
  </si>
  <si>
    <t>Total Brasil</t>
  </si>
  <si>
    <t>Bolivia y Argentina</t>
  </si>
  <si>
    <t xml:space="preserve">ISA Bolivia </t>
  </si>
  <si>
    <t>Internexa Argentina</t>
  </si>
  <si>
    <t>Total</t>
  </si>
  <si>
    <t>Chile</t>
  </si>
  <si>
    <t>Intervial y Concesiones</t>
  </si>
  <si>
    <t>Internexa Chile</t>
  </si>
  <si>
    <t>Interchile - Deuda</t>
  </si>
  <si>
    <t>Total Chile</t>
  </si>
  <si>
    <t>Total Grupo</t>
  </si>
  <si>
    <t>País</t>
  </si>
  <si>
    <t>Empresa</t>
  </si>
  <si>
    <t>Normatividad</t>
  </si>
  <si>
    <t>Entidad</t>
  </si>
  <si>
    <t>Vínculo (información pública)</t>
  </si>
  <si>
    <t>Observación</t>
  </si>
  <si>
    <t>Todos los transmisores</t>
  </si>
  <si>
    <t>Resolución 022 de 2001</t>
  </si>
  <si>
    <t>CREG</t>
  </si>
  <si>
    <t>http://apolo.creg.gov.co/Publicac.nsf/Documentos-Resoluciones?openview=</t>
  </si>
  <si>
    <t>General - Esquema de remuneración de los proyectos de transmisión que se ejecutan mediante el mecanismo de convocatorias</t>
  </si>
  <si>
    <t>Resolución 085 de 2002</t>
  </si>
  <si>
    <t>General - Modifica el esquema de remuneración de los proyectos de convocatoria</t>
  </si>
  <si>
    <t>Resolución 093 de 2007</t>
  </si>
  <si>
    <t>General - Modifica el esquema de remuneración de los proyectos de convocatoria, especialmente aspectos de garantías y fecha de puesta en operación</t>
  </si>
  <si>
    <t>Resolución 083 de 2008</t>
  </si>
  <si>
    <t>General - Metodología para el cálculo de la tasa de retorno aplicable a la remuneración de la actividad de transmisión de energía eléctrica y se fija dicha tasa.</t>
  </si>
  <si>
    <t>Resolución 011 de 2009</t>
  </si>
  <si>
    <t>General - Metodología de remuneración de la transmisión</t>
  </si>
  <si>
    <t>Resolución 035 de 2010</t>
  </si>
  <si>
    <t>General - Aprueba la tasa de descuento y el perfil de pagos para evaluar las propuestas que se presenten a las convocatorias que se adelanten para ejecutar proyectos de expansión</t>
  </si>
  <si>
    <t>Resolución 050 de 2010</t>
  </si>
  <si>
    <t>General - Precisa los mecanismos de verificación de la información de AOM entregada por los Transmisores Nacionales para el ajuste anual del %AOM a reconocer</t>
  </si>
  <si>
    <t>Resolución 147 de 2011</t>
  </si>
  <si>
    <t>General - Esquema de desarrollo y remuneración de las Ampliaciones</t>
  </si>
  <si>
    <t>Resolución 024 de 2012</t>
  </si>
  <si>
    <t>General - Ajusta aspectos relativos a la remuneración del AOM</t>
  </si>
  <si>
    <t>Resolución 064 de 2013</t>
  </si>
  <si>
    <t>General - Complementa el esquema de desarrollo y remuneración de las Ampliaciones</t>
  </si>
  <si>
    <t>Resolución 095 de 2015</t>
  </si>
  <si>
    <t>General - Metodología para el cálculo de la tasa de descuento que se aplicará en las actividades reguladas, incluída la transmisión nacional</t>
  </si>
  <si>
    <t>Resolución 067 de 1999</t>
  </si>
  <si>
    <t>Específica - Ingreso proyecto UPME 01-1999</t>
  </si>
  <si>
    <t>Resolución 078 de 1999</t>
  </si>
  <si>
    <t>Específica - Ingreso proyecto UPME 02-1999</t>
  </si>
  <si>
    <t>Resolución 004 de 2007</t>
  </si>
  <si>
    <t>Específica - Ingreso proyecto UPME 01-2003</t>
  </si>
  <si>
    <t>Resolución 058 de 2007</t>
  </si>
  <si>
    <t>Específica - Ingreso proyecto UPME 02-2003</t>
  </si>
  <si>
    <t>Resolución 089 de 2008</t>
  </si>
  <si>
    <t>Específica - Ingreso proyecto UPME 01-2007</t>
  </si>
  <si>
    <t>Resolución 185 de 2009</t>
  </si>
  <si>
    <t>Específica - Ingreso proyecto UPME 02-2008</t>
  </si>
  <si>
    <t>Resolución 063 de 2011</t>
  </si>
  <si>
    <t>Específica - Ingreso proyecto UPME 04-2009</t>
  </si>
  <si>
    <t>Resolución 080 de 2012</t>
  </si>
  <si>
    <t>Específica - Ingreso proyecto UPME 02-2010</t>
  </si>
  <si>
    <t>Resolución 005 de 2014</t>
  </si>
  <si>
    <t>Específica - Ingreso proyecto UPME 02-2013</t>
  </si>
  <si>
    <t>Resolución 116 de 2014</t>
  </si>
  <si>
    <t>Específica - Ingreso proyecto UPME 02-2014</t>
  </si>
  <si>
    <t>Resolución 137 de 2014</t>
  </si>
  <si>
    <t>Específica - Ingreso proyecto UPME 07-2013</t>
  </si>
  <si>
    <t>Resolución 146 de 2014</t>
  </si>
  <si>
    <t>Específica - Ingreso proyecto UPME 06-2013</t>
  </si>
  <si>
    <t>Resolución 046 de 2015</t>
  </si>
  <si>
    <t>Específica - Ingreso proyecto UPME 03-2014</t>
  </si>
  <si>
    <t>Resolución 048 de 2015</t>
  </si>
  <si>
    <t>Específica - Ingreso proyecto UPME 05-2014</t>
  </si>
  <si>
    <t>Resolución 063 de 2015</t>
  </si>
  <si>
    <t>Específica - Ingreso proyecto UPME 08-2014</t>
  </si>
  <si>
    <t>Resolución 235 de 2015</t>
  </si>
  <si>
    <t>Específica - Ingreso proyecto UPME 09-2015</t>
  </si>
  <si>
    <t>Resolución 092 de 2016</t>
  </si>
  <si>
    <t>Específica - Ingreso proyecto UPME 03-2016</t>
  </si>
  <si>
    <t>Resolución 138 de 2017</t>
  </si>
  <si>
    <t>Específica - Ingreso proyecto UPME 09-2016</t>
  </si>
  <si>
    <t>Resolución 116 de 2017</t>
  </si>
  <si>
    <t>Específica - Ingreso proyecto UPME 01-2017</t>
  </si>
  <si>
    <t>Resolución 099 de 2018</t>
  </si>
  <si>
    <t>Específica - Ingreso proyecto UPME 01-2018</t>
  </si>
  <si>
    <t>Resolución 012 de 2019</t>
  </si>
  <si>
    <t>Específica - Ingreso proyecto UPME 07-2017</t>
  </si>
  <si>
    <t>ISA e INTERCOLOMBIA</t>
  </si>
  <si>
    <t>Resolución 160 de 2019</t>
  </si>
  <si>
    <t>Específica - Ingreso proyecto UPME 08-2017 y aprueba a INTERCOLOMBIA su representación</t>
  </si>
  <si>
    <t>INTERCOLOMBIA</t>
  </si>
  <si>
    <t>Resolución 177 de 2013</t>
  </si>
  <si>
    <t xml:space="preserve">Específica - Aprueba la base de activos y los parámetros necesarios para determinar la remuneración de INTERCOLOMBIA en el Sistema de Transmisión Nacional. </t>
  </si>
  <si>
    <t>Resolución 144 de 2014</t>
  </si>
  <si>
    <t>Específica - Aprueba a INTERCOLOMBIA la representación del Proyecto UPME-04-2009</t>
  </si>
  <si>
    <t>Resolución 167 de 2014</t>
  </si>
  <si>
    <t>Específica - Actualiza la base de activos de Intercolombia S.A. E.S.P. Subestación Cerromatoso.</t>
  </si>
  <si>
    <t>Resolución 169 de 2015</t>
  </si>
  <si>
    <t>Específica - Actualiza la base de activos de Intercolombia S.A. E.S.P. Subestación Bacatá 500 kV.</t>
  </si>
  <si>
    <t>Resolución 233 de 2015</t>
  </si>
  <si>
    <t>Específica - Actualiza la base de activos de Intercolombia S.A. E.S.P. Subestación El Bosque 220 kV y Termocol 220 kV.</t>
  </si>
  <si>
    <t>Resolución 006 de 2016</t>
  </si>
  <si>
    <t>Específica - Aprueba a INTERCOLOMBIA la representación de los Proyectos UPME-02-2013 y UPME-02-2014</t>
  </si>
  <si>
    <t>Resolución 251 de 2016</t>
  </si>
  <si>
    <t>Específica - Aprueba a INTERCOLOMBIA la representación de los Proyectos UPME-08-2014 y UPME-09-2015</t>
  </si>
  <si>
    <t>Resolución 059 de 2017</t>
  </si>
  <si>
    <t>Específica - Actualiza la base de activos de Intercolombia S.A. E.S.P. Betania – Ibagué 230 kV.</t>
  </si>
  <si>
    <t>Resolución 032 de 2018</t>
  </si>
  <si>
    <t>Específica - Actualiza la base de activos de Intercolombia S.A. E.S.P. Subestación Urabá 220 kV y Cuestecitas 220 kV.</t>
  </si>
  <si>
    <t>Resolución 047 de 2018</t>
  </si>
  <si>
    <t>Específica - Aprueba a INTERCOLOMBIA la representación del Proyecto UPME-06-2013</t>
  </si>
  <si>
    <t>Resolución 023 de 2019</t>
  </si>
  <si>
    <t>Específica - Actualiza la base de activos de Intercolombia S.A. E.S.P. Esmeralda – La Hermosa 230 kV.</t>
  </si>
  <si>
    <t>Resolución 032 de 2019</t>
  </si>
  <si>
    <t>Específica - Aprueba a INTERCOLOMBIA la representación del Proyecto UPME-01-2017</t>
  </si>
  <si>
    <t>Resolución 047 de 2019</t>
  </si>
  <si>
    <t>Específica - Aprueba a INTERCOLOMBIA la representación del Proyecto UPME-07-2013</t>
  </si>
  <si>
    <t>Resolución 131 de 2019</t>
  </si>
  <si>
    <t>Específica - Actualiza el AOM de INTERCOLOMBIA, excluyendo el correspondiente a los activos del STN de la Subestación Betania 230 kV.</t>
  </si>
  <si>
    <t>Resolución 061 de 2011</t>
  </si>
  <si>
    <t xml:space="preserve">Específica - Aprueba la base de activos y los parámetros necesarios para determinar la remuneración de TRANSELCA en el Sistema de Transmisión Nacional. </t>
  </si>
  <si>
    <t>Resolución 105 de 2011</t>
  </si>
  <si>
    <t>Específica - Actualiza la base de activos de Intercolombia S.A. E.S.P. Subestación Santa Marta 220 kV.</t>
  </si>
  <si>
    <t>Resolución 107 de 2012</t>
  </si>
  <si>
    <t>Específica - Actualiza la base de activos de Intercolombia S.A. E.S.P. Subestación Fundación 220 kV.</t>
  </si>
  <si>
    <t>Resolución 009 de 2013</t>
  </si>
  <si>
    <t>Resolución 072 de 2015</t>
  </si>
  <si>
    <t>Específica - Actualiza la base de activos de Intercolombia S.A. E.S.P. Subestación Sabanalarga 220 kV.</t>
  </si>
  <si>
    <t>Resolución 173 de 2016</t>
  </si>
  <si>
    <t>Específica - Actualiza la base de activos de Intercolombia S.A. E.S.P. Subestación Tebsa 220 kV.</t>
  </si>
  <si>
    <t>Resolución 136A de 2018</t>
  </si>
  <si>
    <t>Específica - Actualiza la base de activos de Intercolombia S.A. E.S.P. Subestación Nueva Barranquilla 220 kV.</t>
  </si>
  <si>
    <t>Ley de Concesiones Eléctricas</t>
  </si>
  <si>
    <t>OSINERGMIN</t>
  </si>
  <si>
    <t>https://www.osinergmin.gob.pe/cartas/documentos/electricidad/normativa/LEY_CONCESIONES_ELECTRICAS.pdf</t>
  </si>
  <si>
    <t>General - Marco normativo eléctrico</t>
  </si>
  <si>
    <t>Reglamento de la Ley de Concesiones eléctricas</t>
  </si>
  <si>
    <t>https://www.osinergmin.gob.pe/cartas/documentos/electricidad/normativa/DS-009-93-EM-REGLAMENTO-LCE.pdf</t>
  </si>
  <si>
    <t>Ley 28832</t>
  </si>
  <si>
    <t>http://www2.osinerg.gob.pe/MarcoLegal/pdf/LEY%2028832.pdf</t>
  </si>
  <si>
    <t>Reglamento de Transmisión</t>
  </si>
  <si>
    <t>https://www.osinergmin.gob.pe/seccion/centro_documental/PlantillaMarcoLegalBusqueda/Decreto%20Supremo%20N%C2%B0%20027-2007-EM%20-%20Reglamento%20de%20Transmisi%C3%B3n.pdf</t>
  </si>
  <si>
    <t>General - Marco normativo de transmisión</t>
  </si>
  <si>
    <t>Reglamento de Transmisión (Actualización)</t>
  </si>
  <si>
    <t>http://www2.congreso.gob.pe/sicr/cendocbib/con5_uibd.nsf/1B334AA6E22479B2052582430057C4C3/$FILE/027-2007-EM.pdf</t>
  </si>
  <si>
    <t>General - Marco normativo de transmisión (versión actualizada)</t>
  </si>
  <si>
    <t>Resolución N° 068-2020</t>
  </si>
  <si>
    <t>https://www.osinergmin.gob.pe/Resoluciones/pdf/2020/Osinergmin-068-2020-OS-CD.pdf</t>
  </si>
  <si>
    <t>General - Regulación Tarifaria (SPT y SGT) 2020-2021</t>
  </si>
  <si>
    <t>Resolución N° 0124-2020</t>
  </si>
  <si>
    <t>https://www.osinergmin.gob.pe/Resoluciones/pdf/2020/Osinergmin-124-2020-OS-CD.pdf</t>
  </si>
  <si>
    <t>General - Regulación Tarifaria (SPT y SGT) 2020-2021, Resolución complementaria</t>
  </si>
  <si>
    <t>Resolución N° 078-2020</t>
  </si>
  <si>
    <t>https://www.osinergmin.gob.pe/Resoluciones/pdf/2020/Osinergmin-078-2020-OS-CD.pdf</t>
  </si>
  <si>
    <t>General - Liquidación de ingresos SST y SCT 2020</t>
  </si>
  <si>
    <t>Resolución N° 0140-2020</t>
  </si>
  <si>
    <t>https://www.osinergmin.gob.pe/Resoluciones/pdf/2020/Osinergmin-140-2020-OS-CD.pdf</t>
  </si>
  <si>
    <t>General - Liquidación de ingresos SST y SCT 2020, Resolución complementaria</t>
  </si>
  <si>
    <t>Resolución N° 061-2017</t>
  </si>
  <si>
    <t>http://www2.osinerg.gob.pe/Resoluciones/pdf/2017/OSINERGMIN%20No.061-2017-OS-CD.pdf</t>
  </si>
  <si>
    <t>General - Regulación Tarifaria (SST y SCT) 2017-2021</t>
  </si>
  <si>
    <t>Resolución N° 129-2017</t>
  </si>
  <si>
    <t>http://www2.osinerg.gob.pe/Resoluciones/pdf/2017/OSINERGMIN%20No.129-2017-OS-CD.pdf</t>
  </si>
  <si>
    <t>General - Regulación Tarifaria (SST y SCT) 2017-2021, Resolución complementaria</t>
  </si>
  <si>
    <t>Resolución N° 055-2020</t>
  </si>
  <si>
    <t>https://www.osinergmin.gob.pe/Resoluciones/pdf/2020/Osinergmin-055-2020-OS-CD.pdf</t>
  </si>
  <si>
    <t>General - Procedimiento de Liquidación de ingresos de REP, SPT y SGT</t>
  </si>
  <si>
    <t>Resolución N° 056-2020</t>
  </si>
  <si>
    <t>https://www.osinergmin.gob.pe/Resoluciones/pdf/2020/Osinergmin-056-2020-OS-CD.pdf</t>
  </si>
  <si>
    <t>General - Procedimiento de Liquidación de ingresos del SST y SCT</t>
  </si>
  <si>
    <t>Resolución N° 042-2020</t>
  </si>
  <si>
    <t>https://www.osinergmin.gob.pe/Resoluciones/pdf/2020/Osinergmin-042-2020-OS-CD.pdf</t>
  </si>
  <si>
    <t>General - Actualización de valoración de módulos de inversión (aplicable a transmisión sin contratos)</t>
  </si>
  <si>
    <t>Resolución N° 147-2015</t>
  </si>
  <si>
    <t>https://www.osinergmin.gob.pe/Resoluciones/pdf/2015/OSINERGMIN%20No.147-2015-OS-CD.pdf</t>
  </si>
  <si>
    <t>General - Actualización de valoración del porcentaje de costos de operación y mantenimiento (aplicable a transmisión sin contratos)</t>
  </si>
  <si>
    <t>Contrato de Concesión</t>
  </si>
  <si>
    <t>PROINVERSIÓN</t>
  </si>
  <si>
    <t>https://www.proyectosapp.pe/RepositorioAPS/0/0/JER/PAETECENETESUR/Contrato%20Etecen%20-%20Etesur/Contrato_EtecenEtesur.pdf</t>
  </si>
  <si>
    <t>Específica - Contrato de concesión. No incluye adendas.</t>
  </si>
  <si>
    <t>Contratos de Concesión</t>
  </si>
  <si>
    <t>https://www.proyectosapp.pe/RepositorioAPS/0/0/JER/PATRANSMISIONMS/Contrato.pdf</t>
  </si>
  <si>
    <t>Específica - Contrato BOOT inicial. No incluye adendas.</t>
  </si>
  <si>
    <t>https://www.proyectosapp.pe/RepositorioAPS/0/0/JER/PALINEAOROYACARHUAMAYO/Contrato.pdf</t>
  </si>
  <si>
    <t>Contratos SGT y SCT</t>
  </si>
  <si>
    <t>https://www.proyectosapp.pe/modulos/JER/PlantillaStandard.aspx?are=0&amp;prf=2&amp;jer=7649&amp;sec=22</t>
  </si>
  <si>
    <t>General - Repositorio de todos los contratos suscritos con el Gobierno, entre los que se encuentran los contratos SGT y SCT licitados por PROINVERSIÓN</t>
  </si>
  <si>
    <t>Bolivia</t>
  </si>
  <si>
    <t>LEY DE ELECTRICIDAD 1604 DE 21 DE DICIEMBRE DE 1994</t>
  </si>
  <si>
    <t>AETN</t>
  </si>
  <si>
    <t>https://sawi.aetn.gob.bo/docfly/app/webroot/uploads/IMG-ML_LA-admin-2010-09-23-1604.pdf</t>
  </si>
  <si>
    <t>General - Marco normativo eléctrico boliviano</t>
  </si>
  <si>
    <t>Reglamento de precios y tarifas - Decreto Supremo N° 26094 de 2 de Marzo de 2001</t>
  </si>
  <si>
    <t>https://sawi.aetn.gob.bo/docfly/app/webroot/uploads/IMG-ML_RLE-admin-2010-09-23-26094.pdf</t>
  </si>
  <si>
    <t>General - Reglamentación de ingresos del sector</t>
  </si>
  <si>
    <t>Reglamento de Concesiones, Licencias y Licencias Provisionales (RCLLP) - Decreto Supremo N° 24043 de 28 de Junio de 1995</t>
  </si>
  <si>
    <t>https://sawi.aetn.gob.bo/docfly/app/webroot/uploads/IMG---2010-09-29-24043.pdf</t>
  </si>
  <si>
    <t>General - Reglamentación de creación de concesiones y licencias</t>
  </si>
  <si>
    <t>ISA Bolivia</t>
  </si>
  <si>
    <t>Resolución AE_R_178_2017</t>
  </si>
  <si>
    <t xml:space="preserve">https://srvdocs.aetn.gob.bo/ae/resolucion/2017/AE_R_178_17.pdf </t>
  </si>
  <si>
    <t>Específica - Aprobación de costos de transmisión - 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</si>
  <si>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</si>
  <si>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Resolución AE_R_307_17</t>
  </si>
  <si>
    <t>https://srvdocs.aetn.gob.bo/ae/resolucion/2017/AE_R_307_17.pdf</t>
  </si>
  <si>
    <t>Específica - Ampliación de instalaciones - Establecer el monto reconocido y ejecutado por la AE para el proyecto "Implementación de cuatro reactores de neutro ejecutado por la empresa ISA Boliva, alcanza un monto de 455.617,14 USD</t>
  </si>
  <si>
    <t>Establecer el monto reconocido y ejecutado por la AE para el proyecto "Implementación de cuatro reactores de neutro ejecutado por la empresa ISA Boliva, alcanza un monto de 455.617,14 USD</t>
  </si>
  <si>
    <t>Resolución AE_R_606_2016</t>
  </si>
  <si>
    <t>https://srvdocs.aetn.gob.bo/ae/resolucion/2016/AE_R_DLG_606_A_16.pdf</t>
  </si>
  <si>
    <t>Específica - Ampliación de instalaciones - 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</si>
  <si>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</si>
  <si>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Resolución AE_568-2018</t>
  </si>
  <si>
    <t>https://srvdocs.aetn.gob.bo/ae/resolucion/2018/AE_R_568_18.pdf</t>
  </si>
  <si>
    <t>Específica - Ampliación de instalaciones - 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</si>
  <si>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</si>
  <si>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Resolución AE_R_DLG_611_13</t>
  </si>
  <si>
    <t>https://srvdocs.aetn.gob.bo/ae/resolucion/2013/AE_R_DLG_611_13.pdf</t>
  </si>
  <si>
    <t xml:space="preserve">Específica - Ampliación de instalaciones - 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</si>
  <si>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 xml:space="preserve">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</si>
  <si>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Resolución SSDE_326-06</t>
  </si>
  <si>
    <t>https://srvdocs.aetn.gob.bo/sde/resolucion_sde//SSDE_326-06.pdf</t>
  </si>
  <si>
    <t>Específica - Ampliación de instalaciones - 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</si>
  <si>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</si>
  <si>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Resolución SSDE_172-06</t>
  </si>
  <si>
    <t>https://srvdocs.aetn.gob.bo/sde/resolucion_sde//SSDE_172-06.pdf</t>
  </si>
  <si>
    <t>Específica - Ampliación de instalaciones - Apruebese la expansión del sistema troncal de interconexión (STI) con la incorporación de una bahía de acoplamiento en la subestación Punutuma. El valor del STEA a ser reconocido es de USD 1.083.704,48</t>
  </si>
  <si>
    <t>Apruebese la expansión del sistema troncal de interconexión (STI) con la incorporación de una bahía de acoplamiento en la subestación Punutuma. El valor del STEA a ser reconocido es de USD 1.083.704,48</t>
  </si>
  <si>
    <t>Resolución SSDE_333-07</t>
  </si>
  <si>
    <t>https://srvdocs.aetn.gob.bo/sde/resolucion_sde//SSDE_333-07.pdf</t>
  </si>
  <si>
    <t>Específica - Licencia de transmisión - Otorgar en favor de empresa interconexión eléctrica isa bolivia s.a. (isa bolivia), representada legalmente por fernando almario argüello, licencia para el ejercicio de la industria eléctrica en la actividad de transmisión para el proyecto "subestación arboleda 230/115 kv".</t>
  </si>
  <si>
    <t>Otorgar en favor de empresa interconexión eléctrica isa bolivia s.a. (isa bolivia), representada legalmente por fernando almario argüello, licencia para el ejercicio de la industria eléctrica en la actividad de transmisión para el proyecto "subestación arboleda 230/115 kv".</t>
  </si>
  <si>
    <t>Resolución SSDE 114-03</t>
  </si>
  <si>
    <t>https://srvdocs.aetn.gob.bo/sde/resolucion_sde//SSDE_114-03.pdf</t>
  </si>
  <si>
    <t>Específica - Licencia de transmisión - 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</si>
  <si>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</si>
  <si>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Todos los coordinados (empresas del mercado)</t>
  </si>
  <si>
    <t>Ley General de Servicios Eléctricos</t>
  </si>
  <si>
    <t>Ministerio de Energía</t>
  </si>
  <si>
    <t>https://www.bcn.cl/leychile/navegar?idNorma=258171</t>
  </si>
  <si>
    <t>General - Ley general aplicada al mercado de electricidad en Chile</t>
  </si>
  <si>
    <t>Ley 21.249</t>
  </si>
  <si>
    <t>https://www.bcn.cl/leychile/navegar?idNorma=1148163</t>
  </si>
  <si>
    <t>General - Dispone, de manera excepcional, las medidas que indica en favor de los usuarios finales de servicios sanitarios, electricidad y gas de red</t>
  </si>
  <si>
    <t>Interchile</t>
  </si>
  <si>
    <t>Decreto 109</t>
  </si>
  <si>
    <t>https://www.bcn.cl/leychile/navegar?idNorma=1048159</t>
  </si>
  <si>
    <t>Específica - Fija a empresa adjudicataria de los derechos de explotación y ejecución de las obras nuevas denominadas nueva línea cardones - maitencillo 2 x 500 kv, nueva línea maitencillo - pan de azúcar 2 x 500 kv y nueva línea pan de azúcar - polpaico 2 x 500 kv en el sistema de transmisión troncal del sistema interconectado central-P1</t>
  </si>
  <si>
    <t>Decreto 13T</t>
  </si>
  <si>
    <t>https://www.bcn.cl/leychile/navegar?idNorma=1074375</t>
  </si>
  <si>
    <t>Específica - Fija derechos de explotación y ejecución de las obras nuevas denominadas: "banco autotransformadores s/e nueva cardones, 500/220 kv, 750 mva", "banco autotransformadores s/e nueva maitencillo, 500/220 kv, 750 mva" y "banco autotransformadores s/e nueva pan de azúcar, 500/220 kv, 750 mva", en el sistema de transmisión troncal del sistema interconectado central a empresa adjudicataria que indica-P4</t>
  </si>
  <si>
    <t>Decreto 5T</t>
  </si>
  <si>
    <t>https://www.bcn.cl/leychile/navegar?idNorma=1055239</t>
  </si>
  <si>
    <t>Específica - Fija empresa adjudicataria de los derechos de explotación y ejecución de la obra nueva denominada nueva línea 2x220 kv encuentro - lagunas primer circuito, en el sistema de transmisión troncal del sistema interconectado del norte grande-P2</t>
  </si>
  <si>
    <t>Decreto 9T</t>
  </si>
  <si>
    <t>https://www.bcn.cl/leychile/navegar?idNorma=1114702</t>
  </si>
  <si>
    <t>Específica - Fija derechos y condiciones de ejecución y explotación de la obra nueva denominada: "nuevo banco de autotransformadores 1x750 mva 500/220 kv en s/e nueva cardones, s/e nueva maitencillo y s/e nueva pan de azúcar", perteneciente al sistema de transmisión nacional a empresa adjudicataria que indica-p7</t>
  </si>
  <si>
    <t>Decreto 201</t>
  </si>
  <si>
    <t>https://www.bcn.cl/leychile/navegar?idNorma=1063209</t>
  </si>
  <si>
    <t>General - Fija plan de expansión del sistema de transmisión troncal para los doce meses siguientes y fija valor de inversión referencial para nuevo proceso de licitación de obra que indica-P3</t>
  </si>
  <si>
    <t>Decreto 373</t>
  </si>
  <si>
    <t>https://www.bcn.cl/leychile/navegar?idNorma=1090691</t>
  </si>
  <si>
    <t>General - Fija plan de expansión del sistema de transmisión troncal para los doce meses siguientes-P6</t>
  </si>
  <si>
    <t>Decreto 422</t>
  </si>
  <si>
    <t>https://www.bcn.cl/leychile/navegar?idNorma=1106728</t>
  </si>
  <si>
    <t>General - Fija plan de expansión del sistema de transmisión troncal para los doce meses siguientes-P8</t>
  </si>
  <si>
    <t>Decreto 198</t>
  </si>
  <si>
    <t>https://www.bcn.cl/leychile/navegar?idNorma=1134824</t>
  </si>
  <si>
    <t>General - Fija obras de ampliación de los sistemas de transmisión nacional y zonal que deben iniciar su proceso de licitación en los doce meses siguientes, correspondientes al plan de expansión del año 2018</t>
  </si>
  <si>
    <t>Resolución 272</t>
  </si>
  <si>
    <t>Comisión Nacional de Energía</t>
  </si>
  <si>
    <t>https://www.cne.cl/wp-content/uploads/2019/04/RE-CNE-N%C2%B0272-26.04.2019-Bases-Definitivas-Valorizacio%CC%81n-2020-2023.pdf</t>
  </si>
  <si>
    <t>General - Tasa aplicada en el proceso de valorización 2020-2023</t>
  </si>
  <si>
    <t>Empresas de Transmisión</t>
  </si>
  <si>
    <t>Oficio Ordinario N°71</t>
  </si>
  <si>
    <t>https://www.cne.cl/wp-content/uploads/2019/05/2018-02-02-CNE-OF-ORD-N71.pdf</t>
  </si>
  <si>
    <t>General - Base de datos de transmisión para tarificación</t>
  </si>
  <si>
    <t>Decreto supremo 10</t>
  </si>
  <si>
    <t>https://www.cne.cl/wp-content/uploads/2020/06/Reglamento-Calificacion-instalaciones-Transmision-13062020.pdf</t>
  </si>
  <si>
    <t>General - Aprueba reglamento de calificación, valorización, tarificación y remuneración de las instalaciones de transmisión</t>
  </si>
  <si>
    <t>Dividendos recibidos por la matriz</t>
  </si>
  <si>
    <t>PDI</t>
  </si>
  <si>
    <t>EPR</t>
  </si>
  <si>
    <t>ISA Inversiones Chile</t>
  </si>
  <si>
    <t>ISA Capital do Brasil</t>
  </si>
  <si>
    <t>ISA Investimentos</t>
  </si>
  <si>
    <t>Total exterior</t>
  </si>
  <si>
    <t>Total dividendos recibidos</t>
  </si>
  <si>
    <t>Dividendos entregados por la matriz</t>
  </si>
  <si>
    <t>Dividendo total</t>
  </si>
  <si>
    <t>Dividendo por acción</t>
  </si>
  <si>
    <t>Proyectos en ejecución</t>
  </si>
  <si>
    <t>Nombre del proyecto</t>
  </si>
  <si>
    <t>kms de circuito</t>
  </si>
  <si>
    <t>Fecha PES (trimestre)</t>
  </si>
  <si>
    <t>Avance físico real</t>
  </si>
  <si>
    <t>Ingreso anual (mill USD)</t>
  </si>
  <si>
    <t>Compensación Reactiva LT Nueva Pan de Azúcar- Polpacio</t>
  </si>
  <si>
    <t>trim 1 2021*</t>
  </si>
  <si>
    <t>Ampliación SE Nueva Maitencillo y Nuevo Pan de Azúcar</t>
  </si>
  <si>
    <t>Segundo Banco SE Cardones, Maitencillo y Pan de Azúcar</t>
  </si>
  <si>
    <t>UPME 01-2018 Segundo Transformador Ocaña</t>
  </si>
  <si>
    <t>UPME 03-2014 Subestación Ituango y LT´s a 500 y 230 kV</t>
  </si>
  <si>
    <t>UPME 05-2014 Cerromatoso-Chinú-Copey</t>
  </si>
  <si>
    <t>trim 2 2021*</t>
  </si>
  <si>
    <t>UPME 09-2016 Línea de Transmisión  Copey - Cuestecitas - Fundación</t>
  </si>
  <si>
    <t>UPME 07-2017 Sabanalarga - Bolívar 500 kV</t>
  </si>
  <si>
    <t>trim 3 2022</t>
  </si>
  <si>
    <t>UPME 06-2018 Subestación el Río 220 kV y LT asociadas</t>
  </si>
  <si>
    <t>trim 2 2022</t>
  </si>
  <si>
    <t>UPME 04-2019 Línea de transmisión La Loma - Sogamoso 500 kV</t>
  </si>
  <si>
    <t>trim 4 2023</t>
  </si>
  <si>
    <t>Conexón Triple A</t>
  </si>
  <si>
    <t>trim 2 2021</t>
  </si>
  <si>
    <t>IEITAÚNAS (L21)</t>
  </si>
  <si>
    <t>trim 1 2022</t>
  </si>
  <si>
    <t>IEAIMORÉS(L3)</t>
  </si>
  <si>
    <t>IEPARAGUAÇU (L4)</t>
  </si>
  <si>
    <t>IVAÍ(L1)</t>
  </si>
  <si>
    <t>IETIBAGI(L5)</t>
  </si>
  <si>
    <t>IEAGUAPEÍ(L29)</t>
  </si>
  <si>
    <t>IE ITAPURA(SE LORENA)</t>
  </si>
  <si>
    <t>IE BIGUAÇU</t>
  </si>
  <si>
    <t>trim 4 2022</t>
  </si>
  <si>
    <t>TRES LAGOAS (L6)</t>
  </si>
  <si>
    <t>trim 3 2023</t>
  </si>
  <si>
    <t>MINUANO (L1)</t>
  </si>
  <si>
    <t>trim 1 2025</t>
  </si>
  <si>
    <t>TRIANGULO MINEIRO (L7)</t>
  </si>
  <si>
    <t>Ampliación 20</t>
  </si>
  <si>
    <t>Enlace nueva Mantaro - Nueva Yanango y Carapongo</t>
  </si>
  <si>
    <t>trim 3 2021*</t>
  </si>
  <si>
    <t>Conexión Moquegua - Papujune (Quellaveco)</t>
  </si>
  <si>
    <t>Conexión Talara (Petroperú)</t>
  </si>
  <si>
    <t>* Se solicitarán ampliaciones de plazo</t>
  </si>
  <si>
    <t>IEITAQUERÊ(L6)</t>
  </si>
  <si>
    <t>Grupo ISA</t>
  </si>
  <si>
    <t>Nota preventiva</t>
  </si>
  <si>
    <t>presentada puede diferir de las cifras publicadas por entidades oficiales. Grupo ISA no asume obligación alguna de actualizar o corregir la información contenida en este documento.</t>
  </si>
  <si>
    <t xml:space="preserve">Grupo ISA no otorga ninguna garantía expresa o implícita y no es responsable respecto a la exhaustividad de la información (ni por omisión ni por elementos de dicha información </t>
  </si>
  <si>
    <t>que fuesen susceptibles de conducir a error). Grupo ISA no será responsable de ninguna consecuencia resultante del uso de este documento.</t>
  </si>
  <si>
    <t>Financieros trimestrales:</t>
  </si>
  <si>
    <r>
      <rPr>
        <sz val="20"/>
        <color theme="1"/>
        <rFont val="Tahoma"/>
        <family val="2"/>
      </rPr>
      <t>Normatividad principal y contratos asociados con la REMUNERACIÓN del Transporte de Energí</t>
    </r>
    <r>
      <rPr>
        <sz val="20"/>
        <color theme="1"/>
        <rFont val="Calibri"/>
        <family val="2"/>
        <scheme val="minor"/>
      </rPr>
      <t>a</t>
    </r>
  </si>
  <si>
    <r>
      <rPr>
        <sz val="9"/>
        <color theme="0" tint="-0.499984740745262"/>
        <rFont val="Tahoma"/>
        <family val="2"/>
      </rPr>
      <t>Esta información ha sido preparada por el Grupo ISA con información propia y de las compañías en las cuales tiene participación mayoritaria, la cual no es definitiva ni ha sido</t>
    </r>
    <r>
      <rPr>
        <sz val="11"/>
        <color theme="0" tint="-0.499984740745262"/>
        <rFont val="Tahoma"/>
        <family val="2"/>
      </rPr>
      <t xml:space="preserve"> </t>
    </r>
  </si>
  <si>
    <t>Contenido</t>
  </si>
  <si>
    <t>__________________________________________________________________________________________________________________________________________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</si>
  <si>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t>
  </si>
  <si>
    <t>Flujo RBSE</t>
  </si>
  <si>
    <t>Regulación TE</t>
  </si>
  <si>
    <t>Payout ISA: Alrededor 40%</t>
  </si>
  <si>
    <t>Payout CTEEP: 75% utilidad neta regulatoria</t>
  </si>
  <si>
    <t>Notas</t>
  </si>
  <si>
    <t>Kit de Valoración</t>
  </si>
  <si>
    <t>Scotiabank</t>
  </si>
  <si>
    <t>BCP</t>
  </si>
  <si>
    <t>Interbank</t>
  </si>
  <si>
    <t>Libor(3M)</t>
  </si>
  <si>
    <t xml:space="preserve">Libor(6M) </t>
  </si>
  <si>
    <t xml:space="preserve">Banco de Bogota </t>
  </si>
  <si>
    <t>BBVA</t>
  </si>
  <si>
    <t>Banco Davivienda</t>
  </si>
  <si>
    <t>Bancolombia</t>
  </si>
  <si>
    <t>IBR (6M)</t>
  </si>
  <si>
    <t>Banco de Bogota</t>
  </si>
  <si>
    <t>IBR (3M)</t>
  </si>
  <si>
    <t>Banco de Occidente</t>
  </si>
  <si>
    <t>Banco Popular</t>
  </si>
  <si>
    <t>Banco de Bogotá</t>
  </si>
  <si>
    <t>Davivienda</t>
  </si>
  <si>
    <t>IBM Capital</t>
  </si>
  <si>
    <t>ELETROBRAS</t>
  </si>
  <si>
    <t>BNDES III (FINEM)</t>
  </si>
  <si>
    <t xml:space="preserve">TJLP </t>
  </si>
  <si>
    <t>BNDES III (PSI)</t>
  </si>
  <si>
    <t>BNDES III (Social)</t>
  </si>
  <si>
    <t>BTMU</t>
  </si>
  <si>
    <t>CITI</t>
  </si>
  <si>
    <t>BNDES IV</t>
  </si>
  <si>
    <t>BNDES IV (Social)</t>
  </si>
  <si>
    <t>CCB (Bradesco)</t>
  </si>
  <si>
    <t>BNDES (FINEM)</t>
  </si>
  <si>
    <t>BNDES (PSI)</t>
  </si>
  <si>
    <t>Banco do Nordeste</t>
  </si>
  <si>
    <t>BNDES</t>
  </si>
  <si>
    <t>ITAU (Helm bank) Panamá</t>
  </si>
  <si>
    <t>ITAU</t>
  </si>
  <si>
    <t>Banco Santander</t>
  </si>
  <si>
    <t>Banco Safra</t>
  </si>
  <si>
    <t>Banco ABC</t>
  </si>
  <si>
    <t>China Construction Bank</t>
  </si>
  <si>
    <t>CLP</t>
  </si>
  <si>
    <t>TAB (180)</t>
  </si>
  <si>
    <t>BCI</t>
  </si>
  <si>
    <t>Banco de Chile Tramo A3</t>
  </si>
  <si>
    <t>Banco de Chile Tramo B1</t>
  </si>
  <si>
    <t>TAB (360)</t>
  </si>
  <si>
    <t>Banco de Chile Tramo B2</t>
  </si>
  <si>
    <t>Banco de Chile Tramo C1</t>
  </si>
  <si>
    <t>Banco de Chile Tramo C2</t>
  </si>
  <si>
    <t>Banco de Chile Tramo D1</t>
  </si>
  <si>
    <t>Banco de Chile Tramo D2</t>
  </si>
  <si>
    <t>Banco de Chile Tramo F1</t>
  </si>
  <si>
    <t>TAB (30)</t>
  </si>
  <si>
    <t>Banco Corpbanca A3</t>
  </si>
  <si>
    <t>Banco Corpbanca B1</t>
  </si>
  <si>
    <t>Banco Corpbanca B2</t>
  </si>
  <si>
    <t>Banco Corpbanca C1</t>
  </si>
  <si>
    <t>Banco Corpbanca C2</t>
  </si>
  <si>
    <t>Banco Corpbanca D1</t>
  </si>
  <si>
    <t>Banco Corpbanca D2</t>
  </si>
  <si>
    <t>Banco Corpbanca E1</t>
  </si>
  <si>
    <t>Banco Corpbanca E2</t>
  </si>
  <si>
    <t>Banco Corpbanca E3</t>
  </si>
  <si>
    <t>Banco Corpbanca E4</t>
  </si>
  <si>
    <t>Banco Corpbanca F1</t>
  </si>
  <si>
    <t>Banco del Estado A3</t>
  </si>
  <si>
    <t>Banco del Estado B1</t>
  </si>
  <si>
    <t>Banco del Estado B2</t>
  </si>
  <si>
    <t>Banco del Estado C1</t>
  </si>
  <si>
    <t>Banco del Estado C2</t>
  </si>
  <si>
    <t>Banco del Estado D1</t>
  </si>
  <si>
    <t>Banco del Estado D2</t>
  </si>
  <si>
    <t>Banco del Estado E1</t>
  </si>
  <si>
    <t>Banco del Estado E2</t>
  </si>
  <si>
    <t>Banco del Estado E3</t>
  </si>
  <si>
    <t>Banco del Estado E4</t>
  </si>
  <si>
    <t>Banco del Estado F1</t>
  </si>
  <si>
    <t>Banco BICE</t>
  </si>
  <si>
    <t>Banco Security</t>
  </si>
  <si>
    <t>Banco BCI</t>
  </si>
  <si>
    <t>Banco Santander Chile</t>
  </si>
  <si>
    <t>Compañía de Seguros Euroamérica</t>
  </si>
  <si>
    <t>Compañía de Seguros Confuturo</t>
  </si>
  <si>
    <t>Banco Estado</t>
  </si>
  <si>
    <t>Scotiabank Chile</t>
  </si>
  <si>
    <t>CA-CIB</t>
  </si>
  <si>
    <t>NATIXIS</t>
  </si>
  <si>
    <t>SMBC</t>
  </si>
  <si>
    <t>KFW</t>
  </si>
  <si>
    <t>LA CAIXA</t>
  </si>
  <si>
    <t>SIEMENS</t>
  </si>
  <si>
    <t>SABADELL</t>
  </si>
  <si>
    <t>SUMITRUST</t>
  </si>
  <si>
    <t>TAB (90)</t>
  </si>
  <si>
    <t>BICE</t>
  </si>
  <si>
    <t>4T20</t>
  </si>
  <si>
    <t>4Q20</t>
  </si>
  <si>
    <t>Oct-2020
(moneda del crédito)</t>
  </si>
  <si>
    <t>Dic-2020
(millones de COP)</t>
  </si>
  <si>
    <t>Dic-2020
(miles USD)</t>
  </si>
  <si>
    <t>COSTERA</t>
  </si>
  <si>
    <t xml:space="preserve">Bonos Serie A </t>
  </si>
  <si>
    <t>Bonos Serie B</t>
  </si>
  <si>
    <t>Debentures 9ª Emissão (Serie1)</t>
  </si>
  <si>
    <t>Debentures 9ª Emissão (Serie2)</t>
  </si>
  <si>
    <t>(1) Bonos emitidos en PEN y se hizo un SWAP a USD con el Banco BBVA.</t>
  </si>
  <si>
    <t>(2) Bonos emitidos en USD y se hizo un SWAP a UF.</t>
  </si>
  <si>
    <t>(3) Opcion Call</t>
  </si>
  <si>
    <t>Dic-2020
(moneda del crédito)</t>
  </si>
  <si>
    <t>Ashmore-CAF</t>
  </si>
  <si>
    <t>FDN</t>
  </si>
  <si>
    <t>Costera</t>
  </si>
  <si>
    <t>ABC</t>
  </si>
  <si>
    <t>Banco BOCOM</t>
  </si>
  <si>
    <t>INTERVIAL</t>
  </si>
  <si>
    <t>trim 3 2022*</t>
  </si>
  <si>
    <t>trim 1 2023*</t>
  </si>
  <si>
    <t>Proyectos energizados trimestre 4 - 2020</t>
  </si>
  <si>
    <t>Otro proyecto energizado 2020</t>
  </si>
  <si>
    <t>Adicionalmente se encuentran en ejecución 322 refuerzos en Brasil que representan una inversión aproximada de USD 232 Millones</t>
  </si>
  <si>
    <t>Activo por impuesto a las ganancias</t>
  </si>
  <si>
    <t>Crédito fiscal por IGV</t>
  </si>
  <si>
    <t xml:space="preserve">              -  </t>
  </si>
  <si>
    <t> </t>
  </si>
  <si>
    <t>Efficiency Gain in Infrastructure Implementation</t>
  </si>
  <si>
    <t>Revenues – Periodic Tariff Reset (RTP)</t>
  </si>
  <si>
    <t>Benefit to employess - Actuarial Deficit</t>
  </si>
  <si>
    <t>Actuarial surplus</t>
  </si>
  <si>
    <t>Employee Benefit - Actuarial Deficit</t>
  </si>
  <si>
    <t>Non-controlling shareholders' share of investment funds</t>
  </si>
  <si>
    <t>729.7</t>
  </si>
  <si>
    <t>1.857.3</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</si>
  <si>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</si>
  <si>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auditada. Por lo anterior, la información contenida en este documento es susceptible de modificaciones, complementos o enmiendas sin necesidad de aviso previo. Igualmente, la información</t>
  </si>
  <si>
    <t>Regulación Vías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</si>
</sst>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8" formatCode="&quot;$&quot;\ #,##0.00;[Red]\-&quot;$&quot;\ #,##0.00"/>
    <numFmt numFmtId="42" formatCode="_-&quot;$&quot;\ * #,##0_-;\-&quot;$&quot;\ * #,##0_-;_-&quot;$&quot;\ * &quot;-&quot;_-;_-@_-"/>
    <numFmt numFmtId="41" formatCode="_-* #,##0_-;\-* #,##0_-;_-*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0.0%"/>
    <numFmt numFmtId="177" formatCode="&quot;$&quot;#,##0;\-&quot;$&quot;#,##0"/>
    <numFmt numFmtId="178" formatCode="&quot;$&quot;#,##0;[Red]\-&quot;$&quot;#,##0"/>
    <numFmt numFmtId="179" formatCode="_-&quot;$&quot;* #,##0.00_-;\-&quot;$&quot;* #,##0.00_-;_-&quot;$&quot;* &quot;-&quot;??_-;_-@_-"/>
    <numFmt numFmtId="180" formatCode="###,000"/>
    <numFmt numFmtId="181" formatCode="#,##0.0"/>
    <numFmt numFmtId="182" formatCode="%#.00"/>
    <numFmt numFmtId="183" formatCode="_(&quot;$&quot;\ * #,##0.00_);_(&quot;$&quot;\ * \(#,##0.00\);_(&quot;$&quot;\ * &quot;-&quot;??_);_(@_)"/>
    <numFmt numFmtId="184" formatCode="_(* &quot;$&quot;#,##0_);_(* \(&quot;$&quot;#,##0\);_(* &quot;-&quot;??_);_(@_)"/>
    <numFmt numFmtId="185" formatCode="_(* &quot;$&quot;#,##0.00_);_(* \(&quot;$&quot;#,##0.00\);_(* &quot;-&quot;??_);_(@_)"/>
    <numFmt numFmtId="186" formatCode="* 0%;* \-0%;* 0%"/>
    <numFmt numFmtId="187" formatCode="* 0.0%;* \-0.0%;* 0.0%"/>
    <numFmt numFmtId="188" formatCode="General_)"/>
    <numFmt numFmtId="189" formatCode="m\-d\-yy"/>
    <numFmt numFmtId="190" formatCode="_(* #,##0.0\ &quot;bp&quot;;_(* \(#,##0.0\ &quot;bp&quot;\);_(* &quot;-&quot;_);_(@_)"/>
    <numFmt numFmtId="191" formatCode="#,##0.0_);\(#,##0.0\)"/>
    <numFmt numFmtId="192" formatCode="&quot;$&quot;#.00"/>
    <numFmt numFmtId="193" formatCode="&quot;S/&quot;#,##0;&quot;S/&quot;\-#,##0"/>
    <numFmt numFmtId="194" formatCode="#,##0.000000;\-#,##0.000000"/>
    <numFmt numFmtId="195" formatCode="_ [$€-2]\ * #,##0.00_ ;_ [$€-2]\ * \-#,##0.00_ ;_ [$€-2]\ * &quot;-&quot;??_ "/>
    <numFmt numFmtId="196" formatCode="_([$€-2]* #,##0.00_);_([$€-2]* \(#,##0.00\);_([$€-2]* &quot;-&quot;??_)"/>
    <numFmt numFmtId="197" formatCode="_(* #,##0.0%_);_(* \(#,##0.0%\);_(* &quot; - &quot;\%_);_(@_)"/>
    <numFmt numFmtId="198" formatCode="_(* #,##0.0_);_(* \(#,##0.0\);_(* &quot; - &quot;_);_(@_)"/>
    <numFmt numFmtId="199" formatCode="#,##0."/>
    <numFmt numFmtId="200" formatCode="#."/>
    <numFmt numFmtId="201" formatCode=";;;"/>
    <numFmt numFmtId="202" formatCode="_ * #,##0_ ;_ * \-#,##0_ ;_ * &quot;-&quot;_ ;_ @_ "/>
    <numFmt numFmtId="203" formatCode="_-* #,##0.00\ _p_t_a_-;\-* #,##0.00\ _p_t_a_-;_-* &quot;-&quot;??\ _p_t_a_-;_-@_-"/>
    <numFmt numFmtId="204" formatCode="_(&quot;R$&quot;* #,##0_);_(&quot;R$&quot;* \(#,##0\);_(&quot;R$&quot;* \-_);_(@_)"/>
    <numFmt numFmtId="205" formatCode="0.00_)"/>
    <numFmt numFmtId="206" formatCode="@\ *."/>
    <numFmt numFmtId="207" formatCode="0.0000%"/>
    <numFmt numFmtId="208" formatCode="m/d/yy\ h:mm:ss"/>
    <numFmt numFmtId="209" formatCode="_(* #,##0_);_(* \(#,##0\);_(* \-_);_(@_)"/>
    <numFmt numFmtId="210" formatCode="0.0&quot;x&quot;"/>
    <numFmt numFmtId="211" formatCode="#.00"/>
    <numFmt numFmtId="212" formatCode="_(&quot;Cr$&quot;* #,##0.00_);_(&quot;Cr$&quot;* \(#,##0.00\);_(&quot;Cr$&quot;* &quot;-&quot;??_);_(@_)"/>
    <numFmt numFmtId="213" formatCode="\$#.00"/>
    <numFmt numFmtId="214" formatCode="\$#,##0\ ;\(\$#,##0\)"/>
    <numFmt numFmtId="215" formatCode="#,##0.0000;\-#,##0.0000"/>
    <numFmt numFmtId="216" formatCode="#,##0.000000_);[Red]\(#,##0.000000\)"/>
    <numFmt numFmtId="217" formatCode="#,##0.000"/>
    <numFmt numFmtId="218" formatCode="_ &quot;$&quot;\ * #,##0.00_ ;_ &quot;$&quot;\ * \-#,##0.00_ ;_ &quot;$&quot;\ * &quot;-&quot;??_ ;_ @_ "/>
    <numFmt numFmtId="219" formatCode="#,##0;\(#,##0\)"/>
  </numFmts>
  <fonts count="208">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2"/>
      <color theme="1"/>
      <name val="Tahoma"/>
      <family val="2"/>
    </font>
    <font>
      <b/>
      <sz val="10"/>
      <name val="Arial"/>
      <family val="2"/>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b/>
      <sz val="9"/>
      <color indexed="81"/>
      <name val="Tahoma"/>
      <family val="2"/>
    </font>
    <font>
      <sz val="9"/>
      <color indexed="81"/>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sz val="20"/>
      <color theme="1"/>
      <name val="Calibri"/>
      <family val="2"/>
      <scheme val="minor"/>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sz val="11"/>
      <color theme="0" tint="-0.499984740745262"/>
      <name val="Tahoma"/>
      <family val="2"/>
    </font>
    <font>
      <b/>
      <sz val="11"/>
      <color theme="1"/>
      <name val="Tahoma"/>
      <family val="2"/>
    </font>
    <font>
      <sz val="20"/>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color theme="3"/>
      <name val="Tahoma"/>
      <family val="2"/>
    </font>
    <font>
      <sz val="12"/>
      <color theme="2" tint="-0.749992370372631"/>
      <name val="Tahoma"/>
      <family val="2"/>
    </font>
    <font>
      <sz val="12"/>
      <color theme="3"/>
      <name val="Tahoma"/>
      <family val="2"/>
    </font>
    <font>
      <u/>
      <sz val="12"/>
      <color theme="10"/>
      <name val="Tahoma"/>
      <family val="2"/>
    </font>
    <font>
      <sz val="16"/>
      <color theme="0"/>
      <name val="Tahoma"/>
      <family val="2"/>
    </font>
    <font>
      <sz val="14"/>
      <color theme="0"/>
      <name val="Tahoma"/>
      <family val="2"/>
    </font>
    <font>
      <b/>
      <sz val="12"/>
      <name val="Arial"/>
      <family val="2"/>
    </font>
    <font>
      <sz val="12"/>
      <name val="Calibri"/>
      <family val="2"/>
      <scheme val="minor"/>
    </font>
    <font>
      <sz val="12"/>
      <color theme="1" tint="0.249977111117893"/>
      <name val="Tahoma"/>
      <family val="2"/>
    </font>
    <font>
      <sz val="12"/>
      <color theme="1" tint="0.34998626667073579"/>
      <name val="Calibri"/>
      <family val="2"/>
      <scheme val="minor"/>
    </font>
    <font>
      <u/>
      <sz val="10"/>
      <name val="Tahoma"/>
      <family val="2"/>
    </font>
    <font>
      <sz val="9"/>
      <color theme="0" tint="-0.499984740745262"/>
      <name val="Tahoma"/>
      <family val="2"/>
    </font>
    <font>
      <sz val="9"/>
      <color theme="1"/>
      <name val="Calibri"/>
      <family val="2"/>
      <scheme val="minor"/>
    </font>
    <font>
      <b/>
      <u/>
      <sz val="12"/>
      <color rgb="FF4D4D4D"/>
      <name val="Tahoma"/>
      <family val="2"/>
    </font>
    <font>
      <sz val="10"/>
      <name val="Tahoma"/>
      <family val="2"/>
    </font>
    <font>
      <b/>
      <sz val="10"/>
      <color rgb="FF616365"/>
      <name val="Tahoma"/>
      <family val="2"/>
    </font>
    <font>
      <sz val="10"/>
      <color theme="0"/>
      <name val="Tahoma"/>
      <family val="2"/>
    </font>
    <font>
      <sz val="8"/>
      <color theme="1" tint="0.249977111117893"/>
      <name val="Tahoma"/>
      <family val="2"/>
    </font>
    <font>
      <sz val="11"/>
      <color theme="1" tint="0.34998626667073579"/>
      <name val="Calibri"/>
      <family val="2"/>
      <scheme val="minor"/>
    </font>
    <font>
      <b/>
      <sz val="12"/>
      <color theme="0"/>
      <name val="Tahoma"/>
      <family val="2"/>
    </font>
    <font>
      <b/>
      <sz val="12"/>
      <name val="Tahoma"/>
      <family val="2"/>
    </font>
    <font>
      <sz val="12"/>
      <color rgb="FF808080"/>
      <name val="Tahoma"/>
      <family val="2"/>
    </font>
    <font>
      <b/>
      <sz val="12"/>
      <color rgb="FF808080"/>
      <name val="Tahoma"/>
      <family val="2"/>
    </font>
    <font>
      <sz val="12"/>
      <color theme="1"/>
      <name val="Tahoma"/>
      <family val="2"/>
    </font>
    <font>
      <b/>
      <sz val="12"/>
      <color rgb="FFFFFFFF"/>
      <name val="Tahoma"/>
      <family val="2"/>
    </font>
    <font>
      <sz val="12"/>
      <name val="Tahoma"/>
      <family val="2"/>
    </font>
    <font>
      <b/>
      <sz val="12"/>
      <color rgb="FF4D4D4D"/>
      <name val="Tahoma"/>
      <family val="2"/>
    </font>
    <font>
      <sz val="12"/>
      <color rgb="FF4D4D4D"/>
      <name val="Tahoma"/>
      <family val="2"/>
    </font>
    <font>
      <sz val="11"/>
      <color rgb="FF808080"/>
      <name val="Tahoma"/>
      <family val="2"/>
    </font>
    <font>
      <sz val="12"/>
      <color rgb="FF000000"/>
      <name val="Calibri"/>
      <family val="2"/>
    </font>
    <font>
      <sz val="10"/>
      <color theme="2" tint="-0.499984740745262"/>
      <name val="Tahoma"/>
      <family val="2"/>
    </font>
  </fonts>
  <fills count="125">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mediumGray">
        <fgColor indexed="9"/>
        <bgColor theme="0"/>
      </patternFill>
    </fill>
    <fill>
      <patternFill patternType="solid">
        <fgColor theme="2"/>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002060"/>
        <bgColor indexed="39"/>
      </patternFill>
    </fill>
    <fill>
      <patternFill patternType="solid">
        <fgColor rgb="FF1D3382"/>
        <bgColor indexed="64"/>
      </patternFill>
    </fill>
    <fill>
      <patternFill patternType="solid">
        <fgColor rgb="FFE1FFD1"/>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1" tint="0.34998626667073579"/>
        <bgColor indexed="64"/>
      </patternFill>
    </fill>
  </fills>
  <borders count="123">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right/>
      <top/>
      <bottom style="thin">
        <color indexed="64"/>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bottom style="thin">
        <color indexed="64"/>
      </bottom>
      <diagonal/>
    </border>
    <border>
      <left/>
      <right/>
      <top style="thin">
        <color rgb="FF1F497D"/>
      </top>
      <bottom style="thin">
        <color rgb="FF1F497D"/>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style="thin">
        <color theme="0"/>
      </right>
      <top/>
      <bottom style="thin">
        <color indexed="64"/>
      </bottom>
      <diagonal/>
    </border>
    <border>
      <left/>
      <right/>
      <top/>
      <bottom style="thin">
        <color theme="1" tint="0.34998626667073579"/>
      </bottom>
      <diagonal/>
    </border>
    <border>
      <left/>
      <right/>
      <top style="thin">
        <color theme="1" tint="0.34998626667073579"/>
      </top>
      <bottom style="thin">
        <color rgb="FF00B0F0"/>
      </bottom>
      <diagonal/>
    </border>
    <border>
      <left/>
      <right/>
      <top style="thin">
        <color rgb="FF00B0F0"/>
      </top>
      <bottom style="thin">
        <color rgb="FFD0CECE"/>
      </bottom>
      <diagonal/>
    </border>
    <border>
      <left/>
      <right/>
      <top style="thin">
        <color theme="0" tint="-0.14993743705557422"/>
      </top>
      <bottom style="thin">
        <color theme="0" tint="-0.14993743705557422"/>
      </bottom>
      <diagonal/>
    </border>
    <border>
      <left/>
      <right/>
      <top style="thin">
        <color rgb="FFD0CECE"/>
      </top>
      <bottom style="thin">
        <color rgb="FFD0CECE"/>
      </bottom>
      <diagonal/>
    </border>
    <border>
      <left/>
      <right/>
      <top style="thin">
        <color theme="0" tint="-0.14996795556505021"/>
      </top>
      <bottom style="thin">
        <color theme="0" tint="-0.1499679555650502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right/>
      <top/>
      <bottom style="thin">
        <color auto="1"/>
      </bottom>
      <diagonal/>
    </border>
    <border>
      <left style="thin">
        <color auto="1"/>
      </left>
      <right style="thin">
        <color auto="1"/>
      </right>
      <top style="thin">
        <color auto="1"/>
      </top>
      <bottom/>
      <diagonal/>
    </border>
    <border>
      <left style="thin">
        <color rgb="FF003C69"/>
      </left>
      <right/>
      <top style="thin">
        <color rgb="FF003C69"/>
      </top>
      <bottom/>
      <diagonal/>
    </border>
    <border>
      <left/>
      <right/>
      <top style="thin">
        <color indexed="64"/>
      </top>
      <bottom/>
      <diagonal/>
    </border>
    <border>
      <left/>
      <right style="thin">
        <color rgb="FF003C69"/>
      </right>
      <top style="thin">
        <color indexed="64"/>
      </top>
      <bottom/>
      <diagonal/>
    </border>
    <border>
      <left style="thin">
        <color rgb="FF003C69"/>
      </left>
      <right style="thin">
        <color rgb="FF003C69"/>
      </right>
      <top style="thin">
        <color indexed="64"/>
      </top>
      <bottom/>
      <diagonal/>
    </border>
    <border>
      <left/>
      <right/>
      <top/>
      <bottom style="thin">
        <color theme="0" tint="-0.24994659260841701"/>
      </bottom>
      <diagonal/>
    </border>
    <border>
      <left/>
      <right/>
      <top style="thin">
        <color rgb="FFD0CECE"/>
      </top>
      <bottom style="thin">
        <color theme="0" tint="-0.24994659260841701"/>
      </bottom>
      <diagonal/>
    </border>
    <border>
      <left style="hair">
        <color rgb="FFFFFFFF"/>
      </left>
      <right style="hair">
        <color rgb="FFFFFFFF"/>
      </right>
      <top/>
      <bottom style="hair">
        <color rgb="FFFFFFFF"/>
      </bottom>
      <diagonal/>
    </border>
  </borders>
  <cellStyleXfs count="7870">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41" fillId="44" borderId="0">
      <alignment horizontal="left"/>
    </xf>
    <xf numFmtId="0" fontId="44" fillId="43" borderId="0"/>
    <xf numFmtId="41" fontId="1" fillId="0" borderId="0" applyFont="0" applyFill="0" applyBorder="0" applyAlignment="0" applyProtection="0"/>
    <xf numFmtId="0" fontId="46" fillId="45" borderId="47" applyNumberFormat="0" applyAlignment="0" applyProtection="0">
      <alignment horizontal="left" vertical="center" indent="1"/>
    </xf>
    <xf numFmtId="180" fontId="47" fillId="0" borderId="48" applyNumberFormat="0" applyProtection="0">
      <alignment horizontal="right" vertical="center"/>
    </xf>
    <xf numFmtId="180" fontId="46" fillId="0" borderId="49" applyNumberFormat="0" applyProtection="0">
      <alignment horizontal="right" vertical="center"/>
    </xf>
    <xf numFmtId="0" fontId="48" fillId="2" borderId="49" applyNumberFormat="0" applyAlignment="0" applyProtection="0">
      <alignment horizontal="left" vertical="center" indent="1"/>
    </xf>
    <xf numFmtId="0" fontId="48" fillId="46" borderId="49" applyNumberFormat="0" applyAlignment="0" applyProtection="0">
      <alignment horizontal="left" vertical="center" indent="1"/>
    </xf>
    <xf numFmtId="180" fontId="47" fillId="47" borderId="48" applyNumberFormat="0" applyBorder="0" applyProtection="0">
      <alignment horizontal="right" vertical="center"/>
    </xf>
    <xf numFmtId="0" fontId="48" fillId="2" borderId="49" applyNumberFormat="0" applyAlignment="0" applyProtection="0">
      <alignment horizontal="left" vertical="center" indent="1"/>
    </xf>
    <xf numFmtId="180" fontId="46" fillId="46" borderId="49" applyNumberFormat="0" applyProtection="0">
      <alignment horizontal="right" vertical="center"/>
    </xf>
    <xf numFmtId="180" fontId="46" fillId="47" borderId="49" applyNumberFormat="0" applyBorder="0" applyProtection="0">
      <alignment horizontal="right" vertical="center"/>
    </xf>
    <xf numFmtId="180" fontId="49" fillId="48" borderId="50" applyNumberFormat="0" applyBorder="0" applyAlignment="0" applyProtection="0">
      <alignment horizontal="right" vertical="center" indent="1"/>
    </xf>
    <xf numFmtId="180" fontId="50" fillId="49" borderId="50" applyNumberFormat="0" applyBorder="0" applyAlignment="0" applyProtection="0">
      <alignment horizontal="right" vertical="center" indent="1"/>
    </xf>
    <xf numFmtId="180" fontId="50" fillId="50" borderId="50" applyNumberFormat="0" applyBorder="0" applyAlignment="0" applyProtection="0">
      <alignment horizontal="right" vertical="center" indent="1"/>
    </xf>
    <xf numFmtId="180" fontId="51" fillId="51" borderId="50" applyNumberFormat="0" applyBorder="0" applyAlignment="0" applyProtection="0">
      <alignment horizontal="right" vertical="center" indent="1"/>
    </xf>
    <xf numFmtId="180" fontId="51" fillId="52" borderId="50" applyNumberFormat="0" applyBorder="0" applyAlignment="0" applyProtection="0">
      <alignment horizontal="right" vertical="center" indent="1"/>
    </xf>
    <xf numFmtId="180" fontId="51" fillId="53" borderId="50" applyNumberFormat="0" applyBorder="0" applyAlignment="0" applyProtection="0">
      <alignment horizontal="right" vertical="center" indent="1"/>
    </xf>
    <xf numFmtId="180" fontId="52" fillId="54" borderId="50" applyNumberFormat="0" applyBorder="0" applyAlignment="0" applyProtection="0">
      <alignment horizontal="right" vertical="center" indent="1"/>
    </xf>
    <xf numFmtId="180" fontId="52" fillId="55" borderId="50" applyNumberFormat="0" applyBorder="0" applyAlignment="0" applyProtection="0">
      <alignment horizontal="right" vertical="center" indent="1"/>
    </xf>
    <xf numFmtId="180" fontId="52" fillId="56" borderId="50" applyNumberFormat="0" applyBorder="0" applyAlignment="0" applyProtection="0">
      <alignment horizontal="right" vertical="center" indent="1"/>
    </xf>
    <xf numFmtId="0" fontId="53" fillId="0" borderId="47" applyNumberFormat="0" applyFont="0" applyFill="0" applyAlignment="0" applyProtection="0"/>
    <xf numFmtId="180" fontId="47" fillId="57" borderId="47" applyNumberFormat="0" applyAlignment="0" applyProtection="0">
      <alignment horizontal="left" vertical="center" indent="1"/>
    </xf>
    <xf numFmtId="0" fontId="46" fillId="45" borderId="49" applyNumberFormat="0" applyAlignment="0" applyProtection="0">
      <alignment horizontal="left" vertical="center" indent="1"/>
    </xf>
    <xf numFmtId="0" fontId="48" fillId="58" borderId="47" applyNumberFormat="0" applyAlignment="0" applyProtection="0">
      <alignment horizontal="left" vertical="center" indent="1"/>
    </xf>
    <xf numFmtId="0" fontId="48" fillId="59" borderId="47" applyNumberFormat="0" applyAlignment="0" applyProtection="0">
      <alignment horizontal="left" vertical="center" indent="1"/>
    </xf>
    <xf numFmtId="0" fontId="48" fillId="60" borderId="47" applyNumberFormat="0" applyAlignment="0" applyProtection="0">
      <alignment horizontal="left" vertical="center" indent="1"/>
    </xf>
    <xf numFmtId="0" fontId="48" fillId="47" borderId="47" applyNumberFormat="0" applyAlignment="0" applyProtection="0">
      <alignment horizontal="left" vertical="center" indent="1"/>
    </xf>
    <xf numFmtId="0" fontId="48" fillId="46" borderId="49" applyNumberFormat="0" applyAlignment="0" applyProtection="0">
      <alignment horizontal="left" vertical="center" indent="1"/>
    </xf>
    <xf numFmtId="0" fontId="54" fillId="0" borderId="51" applyNumberFormat="0" applyFill="0" applyBorder="0" applyAlignment="0" applyProtection="0"/>
    <xf numFmtId="0" fontId="55" fillId="0" borderId="51" applyNumberFormat="0" applyBorder="0" applyAlignment="0" applyProtection="0"/>
    <xf numFmtId="0" fontId="54" fillId="2" borderId="49" applyNumberFormat="0" applyAlignment="0" applyProtection="0">
      <alignment horizontal="left" vertical="center" indent="1"/>
    </xf>
    <xf numFmtId="0" fontId="54" fillId="2" borderId="49" applyNumberFormat="0" applyAlignment="0" applyProtection="0">
      <alignment horizontal="left" vertical="center" indent="1"/>
    </xf>
    <xf numFmtId="0" fontId="54" fillId="46" borderId="49" applyNumberFormat="0" applyAlignment="0" applyProtection="0">
      <alignment horizontal="left" vertical="center" indent="1"/>
    </xf>
    <xf numFmtId="180" fontId="56" fillId="46" borderId="49" applyNumberFormat="0" applyProtection="0">
      <alignment horizontal="right" vertical="center"/>
    </xf>
    <xf numFmtId="180" fontId="57" fillId="47" borderId="48" applyNumberFormat="0" applyBorder="0" applyProtection="0">
      <alignment horizontal="right" vertical="center"/>
    </xf>
    <xf numFmtId="180" fontId="56" fillId="47" borderId="49" applyNumberFormat="0" applyBorder="0" applyProtection="0">
      <alignment horizontal="right" vertical="center"/>
    </xf>
    <xf numFmtId="180" fontId="47" fillId="0" borderId="48" applyNumberFormat="0" applyFill="0" applyBorder="0" applyAlignment="0" applyProtection="0">
      <alignment horizontal="right" vertical="center"/>
    </xf>
    <xf numFmtId="180" fontId="47" fillId="0" borderId="4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8" fillId="0" borderId="0">
      <alignment horizontal="right" vertical="center"/>
    </xf>
    <xf numFmtId="0" fontId="45" fillId="61" borderId="53" applyNumberFormat="0" applyAlignment="0" applyProtection="0">
      <alignment horizontal="left" vertical="center" indent="1"/>
    </xf>
    <xf numFmtId="180" fontId="60" fillId="0" borderId="48" applyNumberFormat="0" applyProtection="0">
      <alignment horizontal="right" vertical="center"/>
    </xf>
    <xf numFmtId="180" fontId="59" fillId="62" borderId="49" applyNumberFormat="0" applyProtection="0">
      <alignment horizontal="right" vertical="center"/>
    </xf>
    <xf numFmtId="0" fontId="53" fillId="0" borderId="53" applyNumberFormat="0" applyFont="0" applyFill="0" applyAlignment="0" applyProtection="0"/>
    <xf numFmtId="180" fontId="60" fillId="0" borderId="53" applyNumberFormat="0" applyAlignment="0" applyProtection="0">
      <alignment horizontal="left" vertical="center" indent="1"/>
    </xf>
    <xf numFmtId="0" fontId="59" fillId="63" borderId="49" applyNumberFormat="0" applyAlignment="0" applyProtection="0">
      <alignment horizontal="left" vertical="center" indent="1"/>
    </xf>
    <xf numFmtId="0" fontId="45" fillId="61" borderId="52" applyNumberFormat="0" applyAlignment="0" applyProtection="0">
      <alignment horizontal="left" vertical="center" indent="1"/>
    </xf>
    <xf numFmtId="0" fontId="42" fillId="61" borderId="4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80" fontId="47" fillId="57" borderId="47" applyNumberFormat="0" applyAlignment="0" applyProtection="0">
      <alignment horizontal="left" vertical="center" indent="1"/>
    </xf>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8"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2" fontId="61" fillId="0" borderId="0">
      <protection locked="0"/>
    </xf>
    <xf numFmtId="182" fontId="61" fillId="0" borderId="0">
      <protection locked="0"/>
    </xf>
    <xf numFmtId="0" fontId="1" fillId="0" borderId="0"/>
    <xf numFmtId="0" fontId="1" fillId="0" borderId="0"/>
    <xf numFmtId="9"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65" fillId="0" borderId="0" applyFont="0" applyFill="0" applyBorder="0" applyAlignment="0" applyProtection="0"/>
    <xf numFmtId="187" fontId="65" fillId="0" borderId="0" applyFont="0" applyFill="0" applyBorder="0" applyAlignment="0" applyProtection="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64"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2" fillId="67" borderId="0" applyNumberFormat="0" applyBorder="0" applyAlignment="0" applyProtection="0"/>
    <xf numFmtId="0" fontId="62" fillId="68" borderId="0" applyNumberFormat="0" applyBorder="0" applyAlignment="0" applyProtection="0"/>
    <xf numFmtId="0" fontId="62" fillId="69" borderId="0" applyNumberFormat="0" applyBorder="0" applyAlignment="0" applyProtection="0"/>
    <xf numFmtId="0" fontId="67" fillId="70" borderId="0" applyNumberFormat="0" applyBorder="0" applyAlignment="0" applyProtection="0"/>
    <xf numFmtId="0" fontId="40" fillId="2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40" fillId="2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40" fillId="2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40" fillId="2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1" fillId="2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5" borderId="0" applyNumberFormat="0" applyBorder="0" applyAlignment="0" applyProtection="0"/>
    <xf numFmtId="0" fontId="67" fillId="71" borderId="0" applyNumberFormat="0" applyBorder="0" applyAlignment="0" applyProtection="0"/>
    <xf numFmtId="0" fontId="1" fillId="33" borderId="0" applyNumberFormat="0" applyBorder="0" applyAlignment="0" applyProtection="0"/>
    <xf numFmtId="0" fontId="69" fillId="66" borderId="0" applyNumberFormat="0" applyBorder="0" applyAlignment="0" applyProtection="0"/>
    <xf numFmtId="0" fontId="67" fillId="72" borderId="0" applyNumberFormat="0" applyBorder="0" applyAlignment="0" applyProtection="0"/>
    <xf numFmtId="0" fontId="1" fillId="36" borderId="0" applyNumberFormat="0" applyBorder="0" applyAlignment="0" applyProtection="0"/>
    <xf numFmtId="0" fontId="69" fillId="67" borderId="0" applyNumberFormat="0" applyBorder="0" applyAlignment="0" applyProtection="0"/>
    <xf numFmtId="0" fontId="1" fillId="3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7" fillId="73" borderId="0" applyNumberFormat="0" applyBorder="0" applyAlignment="0" applyProtection="0"/>
    <xf numFmtId="0" fontId="1" fillId="39" borderId="0" applyNumberFormat="0" applyBorder="0" applyAlignment="0" applyProtection="0"/>
    <xf numFmtId="0" fontId="69" fillId="68" borderId="0" applyNumberFormat="0" applyBorder="0" applyAlignment="0" applyProtection="0"/>
    <xf numFmtId="0" fontId="67" fillId="74" borderId="0" applyNumberFormat="0" applyBorder="0" applyAlignment="0" applyProtection="0"/>
    <xf numFmtId="0" fontId="1" fillId="41" borderId="0" applyNumberFormat="0" applyBorder="0" applyAlignment="0" applyProtection="0"/>
    <xf numFmtId="0" fontId="69" fillId="69" borderId="0" applyNumberFormat="0" applyBorder="0" applyAlignment="0" applyProtection="0"/>
    <xf numFmtId="0" fontId="62" fillId="75" borderId="0" applyNumberFormat="0" applyBorder="0" applyAlignment="0" applyProtection="0"/>
    <xf numFmtId="0" fontId="62" fillId="73" borderId="0" applyNumberFormat="0" applyBorder="0" applyAlignment="0" applyProtection="0"/>
    <xf numFmtId="0" fontId="62" fillId="70" borderId="0" applyNumberFormat="0" applyBorder="0" applyAlignment="0" applyProtection="0"/>
    <xf numFmtId="0" fontId="62" fillId="67" borderId="0" applyNumberFormat="0" applyBorder="0" applyAlignment="0" applyProtection="0"/>
    <xf numFmtId="0" fontId="62" fillId="75" borderId="0" applyNumberFormat="0" applyBorder="0" applyAlignment="0" applyProtection="0"/>
    <xf numFmtId="0" fontId="62" fillId="76" borderId="0" applyNumberFormat="0" applyBorder="0" applyAlignment="0" applyProtection="0"/>
    <xf numFmtId="0" fontId="67" fillId="70" borderId="0" applyNumberFormat="0" applyBorder="0" applyAlignment="0" applyProtection="0"/>
    <xf numFmtId="0" fontId="1" fillId="28" borderId="0" applyNumberFormat="0" applyBorder="0" applyAlignment="0" applyProtection="0"/>
    <xf numFmtId="0" fontId="69" fillId="75" borderId="0" applyNumberFormat="0" applyBorder="0" applyAlignment="0" applyProtection="0"/>
    <xf numFmtId="0" fontId="69" fillId="73" borderId="0" applyNumberFormat="0" applyBorder="0" applyAlignment="0" applyProtection="0"/>
    <xf numFmtId="0" fontId="67" fillId="77" borderId="0" applyNumberFormat="0" applyBorder="0" applyAlignment="0" applyProtection="0"/>
    <xf numFmtId="0" fontId="40" fillId="34" borderId="0" applyNumberFormat="0" applyBorder="0" applyAlignment="0" applyProtection="0"/>
    <xf numFmtId="0" fontId="68" fillId="70" borderId="0" applyNumberFormat="0" applyBorder="0" applyAlignment="0" applyProtection="0"/>
    <xf numFmtId="0" fontId="1" fillId="34"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8" fillId="70" borderId="0" applyNumberFormat="0" applyBorder="0" applyAlignment="0" applyProtection="0"/>
    <xf numFmtId="0" fontId="67" fillId="78" borderId="0" applyNumberFormat="0" applyBorder="0" applyAlignment="0" applyProtection="0"/>
    <xf numFmtId="0" fontId="1" fillId="37" borderId="0" applyNumberFormat="0" applyBorder="0" applyAlignment="0" applyProtection="0"/>
    <xf numFmtId="0" fontId="69" fillId="67" borderId="0" applyNumberFormat="0" applyBorder="0" applyAlignment="0" applyProtection="0"/>
    <xf numFmtId="0" fontId="67" fillId="73" borderId="0" applyNumberFormat="0" applyBorder="0" applyAlignment="0" applyProtection="0"/>
    <xf numFmtId="0" fontId="1" fillId="40" borderId="0" applyNumberFormat="0" applyBorder="0" applyAlignment="0" applyProtection="0"/>
    <xf numFmtId="0" fontId="69" fillId="75" borderId="0" applyNumberFormat="0" applyBorder="0" applyAlignment="0" applyProtection="0"/>
    <xf numFmtId="0" fontId="69" fillId="76"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0" borderId="0" applyNumberFormat="0" applyBorder="0" applyAlignment="0" applyProtection="0"/>
    <xf numFmtId="0" fontId="70" fillId="80" borderId="0" applyNumberFormat="0" applyBorder="0" applyAlignment="0" applyProtection="0"/>
    <xf numFmtId="0" fontId="70" fillId="81" borderId="0" applyNumberFormat="0" applyBorder="0" applyAlignment="0" applyProtection="0"/>
    <xf numFmtId="0" fontId="70" fillId="82" borderId="0" applyNumberFormat="0" applyBorder="0" applyAlignment="0" applyProtection="0"/>
    <xf numFmtId="0" fontId="71" fillId="70" borderId="0" applyNumberFormat="0" applyBorder="0" applyAlignment="0" applyProtection="0"/>
    <xf numFmtId="0" fontId="14" fillId="29" borderId="0" applyNumberFormat="0" applyBorder="0" applyAlignment="0" applyProtection="0"/>
    <xf numFmtId="0" fontId="72" fillId="79" borderId="0" applyNumberFormat="0" applyBorder="0" applyAlignment="0" applyProtection="0"/>
    <xf numFmtId="0" fontId="71" fillId="77" borderId="0" applyNumberFormat="0" applyBorder="0" applyAlignment="0" applyProtection="0"/>
    <xf numFmtId="0" fontId="14" fillId="35" borderId="0" applyNumberFormat="0" applyBorder="0" applyAlignment="0" applyProtection="0"/>
    <xf numFmtId="0" fontId="72" fillId="70" borderId="0" applyNumberFormat="0" applyBorder="0" applyAlignment="0" applyProtection="0"/>
    <xf numFmtId="188" fontId="73" fillId="0" borderId="0" applyNumberFormat="0" applyFill="0" applyBorder="0" applyAlignment="0"/>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37" fontId="74" fillId="0" borderId="55">
      <alignment horizontal="center"/>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75" fillId="0" borderId="41" applyFill="0" applyBorder="0" applyAlignment="0">
      <alignment horizontal="center"/>
    </xf>
    <xf numFmtId="0" fontId="76" fillId="66" borderId="0" applyNumberFormat="0" applyBorder="0" applyAlignment="0" applyProtection="0"/>
    <xf numFmtId="0" fontId="4" fillId="83" borderId="38" applyNumberFormat="0" applyFont="0" applyAlignment="0" applyProtection="0"/>
    <xf numFmtId="0" fontId="77" fillId="84" borderId="56" applyNumberFormat="0" applyAlignment="0" applyProtection="0"/>
    <xf numFmtId="0" fontId="38" fillId="23" borderId="32" applyNumberFormat="0" applyAlignment="0" applyProtection="0"/>
    <xf numFmtId="0" fontId="78" fillId="85" borderId="57" applyNumberFormat="0" applyAlignment="0" applyProtection="0"/>
    <xf numFmtId="15" fontId="75" fillId="0" borderId="0">
      <alignment horizontal="center"/>
    </xf>
    <xf numFmtId="0" fontId="79" fillId="72" borderId="58" applyNumberFormat="0" applyAlignment="0" applyProtection="0"/>
    <xf numFmtId="0" fontId="39" fillId="24" borderId="34" applyNumberFormat="0" applyAlignment="0" applyProtection="0"/>
    <xf numFmtId="0" fontId="80" fillId="86" borderId="59" applyNumberFormat="0" applyAlignment="0" applyProtection="0"/>
    <xf numFmtId="0" fontId="81" fillId="86" borderId="59" applyNumberFormat="0" applyAlignment="0" applyProtection="0"/>
    <xf numFmtId="0" fontId="82" fillId="0" borderId="60" applyNumberFormat="0" applyFill="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8" fontId="84" fillId="0" borderId="0" applyFont="0" applyFill="0" applyBorder="0" applyAlignment="0" applyProtection="0"/>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92" fontId="61" fillId="0" borderId="0">
      <protection locked="0"/>
    </xf>
    <xf numFmtId="179"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4"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70" fillId="87" borderId="0" applyNumberFormat="0" applyBorder="0" applyAlignment="0" applyProtection="0"/>
    <xf numFmtId="0" fontId="70" fillId="88" borderId="0" applyNumberFormat="0" applyBorder="0" applyAlignment="0" applyProtection="0"/>
    <xf numFmtId="0" fontId="70" fillId="77" borderId="0" applyNumberFormat="0" applyBorder="0" applyAlignment="0" applyProtection="0"/>
    <xf numFmtId="0" fontId="70" fillId="80" borderId="0" applyNumberFormat="0" applyBorder="0" applyAlignment="0" applyProtection="0"/>
    <xf numFmtId="0" fontId="70" fillId="81" borderId="0" applyNumberFormat="0" applyBorder="0" applyAlignment="0" applyProtection="0"/>
    <xf numFmtId="0" fontId="70" fillId="89" borderId="0" applyNumberFormat="0" applyBorder="0" applyAlignment="0" applyProtection="0"/>
    <xf numFmtId="0" fontId="71" fillId="82" borderId="0" applyNumberFormat="0" applyBorder="0" applyAlignment="0" applyProtection="0"/>
    <xf numFmtId="0" fontId="14" fillId="26" borderId="0" applyNumberFormat="0" applyBorder="0" applyAlignment="0" applyProtection="0"/>
    <xf numFmtId="0" fontId="72" fillId="87" borderId="0" applyNumberFormat="0" applyBorder="0" applyAlignment="0" applyProtection="0"/>
    <xf numFmtId="0" fontId="14" fillId="26" borderId="0" applyNumberFormat="0" applyBorder="0" applyAlignment="0" applyProtection="0"/>
    <xf numFmtId="0" fontId="71" fillId="90" borderId="0" applyNumberFormat="0" applyBorder="0" applyAlignment="0" applyProtection="0"/>
    <xf numFmtId="0" fontId="14" fillId="32" borderId="0" applyNumberFormat="0" applyBorder="0" applyAlignment="0" applyProtection="0"/>
    <xf numFmtId="0" fontId="72" fillId="77" borderId="0" applyNumberFormat="0" applyBorder="0" applyAlignment="0" applyProtection="0"/>
    <xf numFmtId="0" fontId="71" fillId="91" borderId="0" applyNumberFormat="0" applyBorder="0" applyAlignment="0" applyProtection="0"/>
    <xf numFmtId="0" fontId="14" fillId="38" borderId="0" applyNumberFormat="0" applyBorder="0" applyAlignment="0" applyProtection="0"/>
    <xf numFmtId="0" fontId="72" fillId="81" borderId="0" applyNumberFormat="0" applyBorder="0" applyAlignment="0" applyProtection="0"/>
    <xf numFmtId="0" fontId="1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0" fontId="4" fillId="0" borderId="0"/>
    <xf numFmtId="169" fontId="68" fillId="92" borderId="61" applyFont="0" applyBorder="0"/>
    <xf numFmtId="169" fontId="85" fillId="93" borderId="62">
      <protection locked="0"/>
    </xf>
    <xf numFmtId="0" fontId="4" fillId="94" borderId="0" applyFont="0"/>
    <xf numFmtId="0" fontId="4" fillId="95"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 fillId="0" borderId="0" applyFont="0" applyFill="0" applyBorder="0" applyAlignment="0" applyProtection="0"/>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6" fontId="43" fillId="0" borderId="0" applyFont="0" applyFill="0" applyBorder="0" applyAlignment="0" applyProtection="0">
      <alignment vertical="center"/>
    </xf>
    <xf numFmtId="195"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7" fontId="86" fillId="0" borderId="0">
      <alignment horizontal="right" vertical="top"/>
    </xf>
    <xf numFmtId="198" fontId="86" fillId="0" borderId="0" applyFont="0" applyFill="0">
      <alignment horizontal="right" vertical="top"/>
    </xf>
    <xf numFmtId="41" fontId="87" fillId="0" borderId="0" applyFill="0" applyBorder="0" applyAlignment="0" applyProtection="0">
      <alignment horizontal="right" vertical="top"/>
    </xf>
    <xf numFmtId="0" fontId="87" fillId="0" borderId="0" applyFill="0" applyBorder="0">
      <alignment horizontal="left" vertical="top"/>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61"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38" fontId="43" fillId="96" borderId="0" applyNumberFormat="0" applyBorder="0" applyAlignment="0" applyProtection="0"/>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0" fontId="93" fillId="0" borderId="0">
      <protection locked="0"/>
    </xf>
    <xf numFmtId="201" fontId="94" fillId="0" borderId="46" applyBorder="0"/>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97" borderId="0" applyNumberFormat="0" applyBorder="0" applyAlignment="0" applyProtection="0"/>
    <xf numFmtId="0" fontId="36" fillId="21" borderId="0" applyNumberFormat="0" applyBorder="0" applyAlignment="0" applyProtection="0"/>
    <xf numFmtId="0" fontId="98" fillId="65" borderId="0" applyNumberFormat="0" applyBorder="0" applyAlignment="0" applyProtection="0"/>
    <xf numFmtId="0" fontId="99" fillId="65" borderId="0" applyNumberFormat="0" applyBorder="0" applyAlignment="0" applyProtection="0"/>
    <xf numFmtId="0" fontId="100" fillId="0" borderId="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10" fontId="43" fillId="98" borderId="38" applyNumberFormat="0" applyBorder="0" applyAlignment="0" applyProtection="0"/>
    <xf numFmtId="0" fontId="101" fillId="0" borderId="45" applyNumberFormat="0" applyBorder="0" applyAlignment="0">
      <alignment horizontal="left"/>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38" fontId="87" fillId="0" borderId="42">
      <alignment vertical="center"/>
    </xf>
    <xf numFmtId="202" fontId="4" fillId="0" borderId="0" applyFont="0" applyFill="0" applyBorder="0" applyAlignment="0" applyProtection="0"/>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4" fillId="0" borderId="40" applyBorder="0">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43" fontId="1" fillId="0" borderId="0" applyFont="0" applyFill="0" applyBorder="0" applyAlignment="0" applyProtection="0"/>
    <xf numFmtId="172" fontId="4" fillId="0" borderId="0" applyFont="0" applyFill="0" applyBorder="0" applyAlignment="0" applyProtection="0"/>
    <xf numFmtId="172" fontId="102" fillId="0" borderId="0" applyFont="0" applyFill="0" applyBorder="0" applyAlignment="0" applyProtection="0"/>
    <xf numFmtId="178" fontId="102" fillId="0" borderId="0" applyFont="0" applyFill="0" applyBorder="0" applyAlignment="0" applyProtection="0"/>
    <xf numFmtId="178" fontId="102" fillId="0" borderId="0" applyFont="0" applyFill="0" applyBorder="0" applyAlignment="0" applyProtection="0"/>
    <xf numFmtId="20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4"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4"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87" fillId="0" borderId="40" applyBorder="0">
      <alignment vertical="center"/>
    </xf>
    <xf numFmtId="40" fontId="4" fillId="0" borderId="40" applyBorder="0">
      <alignment vertical="center"/>
    </xf>
    <xf numFmtId="204" fontId="4" fillId="0" borderId="0" applyFill="0" applyBorder="0" applyAlignment="0" applyProtection="0"/>
    <xf numFmtId="0" fontId="104" fillId="99" borderId="0" applyNumberFormat="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205" fontId="106" fillId="0" borderId="0"/>
    <xf numFmtId="0" fontId="4" fillId="0" borderId="0" applyNumberFormat="0" applyFill="0" applyBorder="0" applyAlignment="0" applyProtection="0"/>
    <xf numFmtId="0" fontId="1" fillId="0" borderId="0"/>
    <xf numFmtId="0" fontId="102" fillId="0" borderId="0"/>
    <xf numFmtId="0" fontId="4" fillId="0" borderId="0"/>
    <xf numFmtId="0" fontId="4" fillId="0" borderId="0"/>
    <xf numFmtId="0" fontId="68" fillId="0" borderId="0">
      <alignment vertical="top"/>
    </xf>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vertical="top"/>
    </xf>
    <xf numFmtId="0" fontId="68" fillId="0" borderId="0">
      <alignment vertical="top"/>
    </xf>
    <xf numFmtId="0" fontId="4" fillId="0" borderId="0"/>
    <xf numFmtId="0" fontId="1" fillId="0" borderId="0"/>
    <xf numFmtId="0" fontId="1"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4" fillId="0" borderId="0" applyNumberFormat="0" applyFill="0" applyBorder="0" applyAlignment="0" applyProtection="0"/>
    <xf numFmtId="0" fontId="4" fillId="0" borderId="0"/>
    <xf numFmtId="0" fontId="62" fillId="91" borderId="63" applyNumberFormat="0" applyFont="0" applyAlignment="0" applyProtection="0"/>
    <xf numFmtId="0" fontId="103" fillId="25" borderId="35" applyNumberFormat="0" applyFont="0" applyAlignment="0" applyProtection="0"/>
    <xf numFmtId="0" fontId="69" fillId="91" borderId="63" applyNumberFormat="0" applyFont="0" applyAlignment="0" applyProtection="0"/>
    <xf numFmtId="0" fontId="69" fillId="91" borderId="63" applyNumberFormat="0" applyFont="0" applyAlignment="0" applyProtection="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182" fontId="61" fillId="0" borderId="0">
      <protection locked="0"/>
    </xf>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12" fillId="85" borderId="80" applyNumberFormat="0" applyAlignment="0" applyProtection="0"/>
    <xf numFmtId="0" fontId="113" fillId="84" borderId="81" applyNumberFormat="0" applyAlignment="0" applyProtection="0"/>
    <xf numFmtId="0" fontId="37" fillId="23" borderId="33" applyNumberFormat="0" applyAlignment="0" applyProtection="0"/>
    <xf numFmtId="209" fontId="4" fillId="0" borderId="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37" fontId="116" fillId="0" borderId="41" applyNumberFormat="0">
      <alignment horizontal="left"/>
      <protection locked="0" hidden="1"/>
    </xf>
    <xf numFmtId="0" fontId="117"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36"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20" fillId="0" borderId="83" applyNumberFormat="0" applyFont="0" applyFill="0" applyAlignment="0" applyProtection="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65"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69" borderId="0" applyNumberFormat="0" applyBorder="0" applyAlignment="0" applyProtection="0"/>
    <xf numFmtId="0" fontId="62" fillId="75" borderId="0" applyNumberFormat="0" applyBorder="0" applyAlignment="0" applyProtection="0"/>
    <xf numFmtId="0" fontId="62" fillId="73" borderId="0" applyNumberFormat="0" applyBorder="0" applyAlignment="0" applyProtection="0"/>
    <xf numFmtId="0" fontId="62" fillId="67" borderId="0" applyNumberFormat="0" applyBorder="0" applyAlignment="0" applyProtection="0"/>
    <xf numFmtId="0" fontId="62" fillId="75" borderId="0" applyNumberFormat="0" applyBorder="0" applyAlignment="0" applyProtection="0"/>
    <xf numFmtId="0" fontId="62" fillId="76"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0" borderId="0" applyNumberFormat="0" applyBorder="0" applyAlignment="0" applyProtection="0"/>
    <xf numFmtId="0" fontId="70" fillId="80" borderId="0" applyNumberFormat="0" applyBorder="0" applyAlignment="0" applyProtection="0"/>
    <xf numFmtId="0" fontId="70" fillId="80"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2" borderId="0" applyNumberFormat="0" applyBorder="0" applyAlignment="0" applyProtection="0"/>
    <xf numFmtId="0" fontId="70" fillId="82" borderId="0" applyNumberFormat="0" applyBorder="0" applyAlignment="0" applyProtection="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0" fontId="76" fillId="66" borderId="0" applyNumberFormat="0" applyBorder="0" applyAlignment="0" applyProtection="0"/>
    <xf numFmtId="0" fontId="76" fillId="66"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85" borderId="5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1" fillId="86" borderId="59" applyNumberFormat="0" applyAlignment="0" applyProtection="0"/>
    <xf numFmtId="0" fontId="82" fillId="0" borderId="60" applyNumberFormat="0" applyFill="0" applyAlignment="0" applyProtection="0"/>
    <xf numFmtId="0" fontId="82" fillId="0" borderId="60" applyNumberFormat="0" applyFill="0" applyAlignment="0" applyProtection="0"/>
    <xf numFmtId="0" fontId="3" fillId="101" borderId="44" applyFont="0" applyFill="0" applyBorder="0"/>
    <xf numFmtId="0" fontId="43" fillId="0" borderId="43"/>
    <xf numFmtId="0" fontId="124" fillId="0" borderId="37">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1" fillId="0" borderId="0">
      <protection locked="0"/>
    </xf>
    <xf numFmtId="0" fontId="93" fillId="0" borderId="0">
      <protection locked="0"/>
    </xf>
    <xf numFmtId="0" fontId="93" fillId="0" borderId="0">
      <protection locked="0"/>
    </xf>
    <xf numFmtId="0" fontId="119" fillId="0" borderId="0" applyNumberFormat="0" applyFill="0" applyBorder="0" applyAlignment="0" applyProtection="0"/>
    <xf numFmtId="0" fontId="119" fillId="0" borderId="0" applyNumberFormat="0" applyFill="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77" borderId="0" applyNumberFormat="0" applyBorder="0" applyAlignment="0" applyProtection="0"/>
    <xf numFmtId="0" fontId="70" fillId="80" borderId="0" applyNumberFormat="0" applyBorder="0" applyAlignment="0" applyProtection="0"/>
    <xf numFmtId="0" fontId="70" fillId="80" borderId="0" applyNumberFormat="0" applyBorder="0" applyAlignment="0" applyProtection="0"/>
    <xf numFmtId="0" fontId="70" fillId="89" borderId="0" applyNumberFormat="0" applyBorder="0" applyAlignment="0" applyProtection="0"/>
    <xf numFmtId="0" fontId="70" fillId="89" borderId="0" applyNumberFormat="0" applyBorder="0" applyAlignment="0" applyProtection="0"/>
    <xf numFmtId="0" fontId="125" fillId="69" borderId="57" applyNumberFormat="0" applyAlignment="0" applyProtection="0"/>
    <xf numFmtId="0" fontId="125" fillId="69" borderId="5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Font="0" applyFill="0" applyBorder="0" applyAlignment="0" applyProtection="0"/>
    <xf numFmtId="211" fontId="61" fillId="0" borderId="0">
      <protection locked="0"/>
    </xf>
    <xf numFmtId="4" fontId="61" fillId="0" borderId="0">
      <protection locked="0"/>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9" fillId="65" borderId="0" applyNumberFormat="0" applyBorder="0" applyAlignment="0" applyProtection="0"/>
    <xf numFmtId="3" fontId="127" fillId="102" borderId="38">
      <protection locked="0"/>
    </xf>
    <xf numFmtId="38" fontId="87" fillId="0" borderId="42">
      <alignment vertical="center"/>
    </xf>
    <xf numFmtId="38" fontId="87" fillId="0" borderId="42">
      <alignment vertical="center"/>
    </xf>
    <xf numFmtId="40" fontId="87" fillId="0" borderId="42">
      <alignment vertical="center"/>
    </xf>
    <xf numFmtId="40" fontId="87" fillId="0" borderId="42">
      <alignment vertical="center"/>
    </xf>
    <xf numFmtId="38" fontId="87" fillId="0" borderId="42">
      <alignment vertical="center"/>
    </xf>
    <xf numFmtId="38" fontId="87" fillId="0" borderId="42">
      <alignment vertical="center"/>
    </xf>
    <xf numFmtId="40" fontId="87" fillId="0" borderId="42">
      <alignment vertical="center"/>
    </xf>
    <xf numFmtId="40" fontId="87" fillId="0" borderId="42">
      <alignment vertical="center"/>
    </xf>
    <xf numFmtId="40" fontId="87" fillId="0" borderId="42">
      <alignment vertical="center"/>
    </xf>
    <xf numFmtId="40" fontId="87" fillId="0" borderId="42">
      <alignment vertical="center"/>
    </xf>
    <xf numFmtId="212" fontId="4" fillId="0" borderId="0" applyFont="0" applyFill="0" applyBorder="0" applyAlignment="0" applyProtection="0"/>
    <xf numFmtId="213" fontId="61" fillId="0" borderId="0">
      <protection locked="0"/>
    </xf>
    <xf numFmtId="214" fontId="126" fillId="0" borderId="0" applyFont="0" applyFill="0" applyBorder="0" applyAlignment="0" applyProtection="0"/>
    <xf numFmtId="0" fontId="104" fillId="99" borderId="0" applyNumberFormat="0" applyBorder="0" applyAlignment="0" applyProtection="0"/>
    <xf numFmtId="0" fontId="104" fillId="99" borderId="0" applyNumberFormat="0" applyBorder="0" applyAlignment="0" applyProtection="0"/>
    <xf numFmtId="215" fontId="4" fillId="0" borderId="0"/>
    <xf numFmtId="216" fontId="4" fillId="0" borderId="0"/>
    <xf numFmtId="217" fontId="4" fillId="0" borderId="0">
      <alignment horizontal="right"/>
    </xf>
    <xf numFmtId="0" fontId="62" fillId="91" borderId="63" applyNumberFormat="0" applyFont="0" applyAlignment="0" applyProtection="0"/>
    <xf numFmtId="0" fontId="62" fillId="91" borderId="63" applyNumberFormat="0" applyFont="0" applyAlignment="0" applyProtection="0"/>
    <xf numFmtId="0" fontId="62" fillId="91" borderId="63" applyNumberFormat="0" applyFont="0" applyAlignment="0" applyProtection="0"/>
    <xf numFmtId="0" fontId="62" fillId="91" borderId="63" applyNumberFormat="0" applyFont="0" applyAlignment="0" applyProtection="0"/>
    <xf numFmtId="0" fontId="62" fillId="91" borderId="63" applyNumberFormat="0" applyFont="0" applyAlignment="0" applyProtection="0"/>
    <xf numFmtId="0" fontId="62" fillId="91" borderId="63" applyNumberFormat="0" applyFont="0" applyAlignment="0" applyProtection="0"/>
    <xf numFmtId="0" fontId="62" fillId="91" borderId="63" applyNumberFormat="0" applyFont="0" applyAlignment="0" applyProtection="0"/>
    <xf numFmtId="0" fontId="62" fillId="91" borderId="63" applyNumberFormat="0" applyFont="0" applyAlignment="0" applyProtection="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182" fontId="61" fillId="0" borderId="0">
      <protection locked="0"/>
    </xf>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84" fillId="0" borderId="39" applyBorder="0"/>
    <xf numFmtId="9" fontId="4" fillId="0" borderId="0" applyFont="0" applyFill="0" applyBorder="0" applyAlignment="0" applyProtection="0"/>
    <xf numFmtId="9" fontId="4" fillId="0" borderId="0" applyFont="0" applyFill="0" applyBorder="0" applyAlignment="0" applyProtection="0"/>
    <xf numFmtId="37" fontId="4"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107"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3" fontId="126"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112" fillId="85" borderId="80" applyNumberFormat="0" applyAlignment="0" applyProtection="0"/>
    <xf numFmtId="0" fontId="112" fillId="85" borderId="80" applyNumberFormat="0" applyAlignment="0" applyProtection="0"/>
    <xf numFmtId="172" fontId="4" fillId="0" borderId="0" applyFont="0" applyFill="0" applyBorder="0" applyAlignment="0" applyProtection="0"/>
    <xf numFmtId="0" fontId="128" fillId="0" borderId="84">
      <alignment horizontal="left"/>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0" fontId="117" fillId="0" borderId="0" applyNumberFormat="0" applyFill="0" applyBorder="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103" borderId="85" applyNumberFormat="0">
      <alignment horizontal="left"/>
    </xf>
    <xf numFmtId="0" fontId="131" fillId="0" borderId="86" applyNumberFormat="0" applyFill="0" applyAlignment="0" applyProtection="0"/>
    <xf numFmtId="0" fontId="131" fillId="0" borderId="86" applyNumberFormat="0" applyFill="0" applyAlignment="0" applyProtection="0"/>
    <xf numFmtId="0" fontId="132" fillId="0" borderId="87" applyNumberFormat="0" applyFill="0" applyAlignment="0" applyProtection="0"/>
    <xf numFmtId="0" fontId="132" fillId="0" borderId="87" applyNumberFormat="0" applyFill="0" applyAlignment="0" applyProtection="0"/>
    <xf numFmtId="0" fontId="119" fillId="0" borderId="88" applyNumberFormat="0" applyFill="0" applyAlignment="0" applyProtection="0"/>
    <xf numFmtId="0" fontId="119" fillId="0" borderId="88"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4" fillId="0" borderId="0">
      <alignment horizontal="left" vertical="center" indent="1"/>
    </xf>
    <xf numFmtId="0" fontId="9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9" fontId="1"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43" fontId="1" fillId="0" borderId="0" applyFont="0" applyFill="0" applyBorder="0" applyAlignment="0" applyProtection="0"/>
    <xf numFmtId="178"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7" fillId="70" borderId="0" applyNumberFormat="0" applyBorder="0" applyAlignment="0" applyProtection="0"/>
    <xf numFmtId="0" fontId="62" fillId="64" borderId="0" applyNumberFormat="0" applyBorder="0" applyAlignment="0" applyProtection="0"/>
    <xf numFmtId="0" fontId="1" fillId="27"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62" fillId="6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62" fillId="64" borderId="0" applyNumberFormat="0" applyBorder="0" applyAlignment="0" applyProtection="0"/>
    <xf numFmtId="0" fontId="133" fillId="104" borderId="0" applyNumberFormat="0" applyBorder="0" applyAlignment="0" applyProtection="0"/>
    <xf numFmtId="0" fontId="133" fillId="104"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62" fillId="65" borderId="0" applyNumberFormat="0" applyBorder="0" applyAlignment="0" applyProtection="0"/>
    <xf numFmtId="0" fontId="1" fillId="30" borderId="0" applyNumberFormat="0" applyBorder="0" applyAlignment="0" applyProtection="0"/>
    <xf numFmtId="0" fontId="133" fillId="67" borderId="0" applyNumberFormat="0" applyBorder="0" applyAlignment="0" applyProtection="0"/>
    <xf numFmtId="0" fontId="1" fillId="30" borderId="0" applyNumberFormat="0" applyBorder="0" applyAlignment="0" applyProtection="0"/>
    <xf numFmtId="0" fontId="62" fillId="65"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62" fillId="65"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133" fillId="74" borderId="0" applyNumberFormat="0" applyBorder="0" applyAlignment="0" applyProtection="0"/>
    <xf numFmtId="0" fontId="103" fillId="71" borderId="0" applyNumberFormat="0" applyBorder="0" applyAlignment="0" applyProtection="0"/>
    <xf numFmtId="0" fontId="103" fillId="71" borderId="0" applyNumberFormat="0" applyBorder="0" applyAlignment="0" applyProtection="0"/>
    <xf numFmtId="0" fontId="67" fillId="71" borderId="0" applyNumberFormat="0" applyBorder="0" applyAlignment="0" applyProtection="0"/>
    <xf numFmtId="0" fontId="103" fillId="71" borderId="0" applyNumberFormat="0" applyBorder="0" applyAlignment="0" applyProtection="0"/>
    <xf numFmtId="0" fontId="67" fillId="71" borderId="0" applyNumberFormat="0" applyBorder="0" applyAlignment="0" applyProtection="0"/>
    <xf numFmtId="0" fontId="62" fillId="66" borderId="0" applyNumberFormat="0" applyBorder="0" applyAlignment="0" applyProtection="0"/>
    <xf numFmtId="0" fontId="67" fillId="71" borderId="0" applyNumberFormat="0" applyBorder="0" applyAlignment="0" applyProtection="0"/>
    <xf numFmtId="0" fontId="62" fillId="66" borderId="0" applyNumberFormat="0" applyBorder="0" applyAlignment="0" applyProtection="0"/>
    <xf numFmtId="0" fontId="1" fillId="33" borderId="0" applyNumberFormat="0" applyBorder="0" applyAlignment="0" applyProtection="0"/>
    <xf numFmtId="0" fontId="133" fillId="74" borderId="0" applyNumberFormat="0" applyBorder="0" applyAlignment="0" applyProtection="0"/>
    <xf numFmtId="0" fontId="1" fillId="33" borderId="0" applyNumberFormat="0" applyBorder="0" applyAlignment="0" applyProtection="0"/>
    <xf numFmtId="0" fontId="62" fillId="66"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62" fillId="66"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33" fillId="75" borderId="0" applyNumberFormat="0" applyBorder="0" applyAlignment="0" applyProtection="0"/>
    <xf numFmtId="0" fontId="103" fillId="72" borderId="0" applyNumberFormat="0" applyBorder="0" applyAlignment="0" applyProtection="0"/>
    <xf numFmtId="0" fontId="103" fillId="72" borderId="0" applyNumberFormat="0" applyBorder="0" applyAlignment="0" applyProtection="0"/>
    <xf numFmtId="0" fontId="67" fillId="72" borderId="0" applyNumberFormat="0" applyBorder="0" applyAlignment="0" applyProtection="0"/>
    <xf numFmtId="0" fontId="103" fillId="72" borderId="0" applyNumberFormat="0" applyBorder="0" applyAlignment="0" applyProtection="0"/>
    <xf numFmtId="0" fontId="67" fillId="72" borderId="0" applyNumberFormat="0" applyBorder="0" applyAlignment="0" applyProtection="0"/>
    <xf numFmtId="0" fontId="62" fillId="67" borderId="0" applyNumberFormat="0" applyBorder="0" applyAlignment="0" applyProtection="0"/>
    <xf numFmtId="0" fontId="67" fillId="72" borderId="0" applyNumberFormat="0" applyBorder="0" applyAlignment="0" applyProtection="0"/>
    <xf numFmtId="0" fontId="62" fillId="67" borderId="0" applyNumberFormat="0" applyBorder="0" applyAlignment="0" applyProtection="0"/>
    <xf numFmtId="0" fontId="1" fillId="36"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62" fillId="67"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62" fillId="67"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133" fillId="90" borderId="0" applyNumberFormat="0" applyBorder="0" applyAlignment="0" applyProtection="0"/>
    <xf numFmtId="0" fontId="103" fillId="73" borderId="0" applyNumberFormat="0" applyBorder="0" applyAlignment="0" applyProtection="0"/>
    <xf numFmtId="0" fontId="103" fillId="73" borderId="0" applyNumberFormat="0" applyBorder="0" applyAlignment="0" applyProtection="0"/>
    <xf numFmtId="0" fontId="67" fillId="73" borderId="0" applyNumberFormat="0" applyBorder="0" applyAlignment="0" applyProtection="0"/>
    <xf numFmtId="0" fontId="103" fillId="73" borderId="0" applyNumberFormat="0" applyBorder="0" applyAlignment="0" applyProtection="0"/>
    <xf numFmtId="0" fontId="67" fillId="73" borderId="0" applyNumberFormat="0" applyBorder="0" applyAlignment="0" applyProtection="0"/>
    <xf numFmtId="0" fontId="62" fillId="68" borderId="0" applyNumberFormat="0" applyBorder="0" applyAlignment="0" applyProtection="0"/>
    <xf numFmtId="0" fontId="67" fillId="73" borderId="0" applyNumberFormat="0" applyBorder="0" applyAlignment="0" applyProtection="0"/>
    <xf numFmtId="0" fontId="62" fillId="68" borderId="0" applyNumberFormat="0" applyBorder="0" applyAlignment="0" applyProtection="0"/>
    <xf numFmtId="0" fontId="1" fillId="39" borderId="0" applyNumberFormat="0" applyBorder="0" applyAlignment="0" applyProtection="0"/>
    <xf numFmtId="0" fontId="133" fillId="90" borderId="0" applyNumberFormat="0" applyBorder="0" applyAlignment="0" applyProtection="0"/>
    <xf numFmtId="0" fontId="1" fillId="39" borderId="0" applyNumberFormat="0" applyBorder="0" applyAlignment="0" applyProtection="0"/>
    <xf numFmtId="0" fontId="62" fillId="68"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62" fillId="68"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133" fillId="78"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67" fillId="74" borderId="0" applyNumberFormat="0" applyBorder="0" applyAlignment="0" applyProtection="0"/>
    <xf numFmtId="0" fontId="103" fillId="74" borderId="0" applyNumberFormat="0" applyBorder="0" applyAlignment="0" applyProtection="0"/>
    <xf numFmtId="0" fontId="67" fillId="74" borderId="0" applyNumberFormat="0" applyBorder="0" applyAlignment="0" applyProtection="0"/>
    <xf numFmtId="0" fontId="62" fillId="69" borderId="0" applyNumberFormat="0" applyBorder="0" applyAlignment="0" applyProtection="0"/>
    <xf numFmtId="0" fontId="67" fillId="74" borderId="0" applyNumberFormat="0" applyBorder="0" applyAlignment="0" applyProtection="0"/>
    <xf numFmtId="0" fontId="62" fillId="69" borderId="0" applyNumberFormat="0" applyBorder="0" applyAlignment="0" applyProtection="0"/>
    <xf numFmtId="0" fontId="1" fillId="41" borderId="0" applyNumberFormat="0" applyBorder="0" applyAlignment="0" applyProtection="0"/>
    <xf numFmtId="0" fontId="133" fillId="78" borderId="0" applyNumberFormat="0" applyBorder="0" applyAlignment="0" applyProtection="0"/>
    <xf numFmtId="0" fontId="1" fillId="41" borderId="0" applyNumberFormat="0" applyBorder="0" applyAlignment="0" applyProtection="0"/>
    <xf numFmtId="0" fontId="62" fillId="69"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69"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133" fillId="105" borderId="0" applyNumberFormat="0" applyBorder="0" applyAlignment="0" applyProtection="0"/>
    <xf numFmtId="0" fontId="103" fillId="70" borderId="0" applyNumberFormat="0" applyBorder="0" applyAlignment="0" applyProtection="0"/>
    <xf numFmtId="0" fontId="103" fillId="70" borderId="0" applyNumberFormat="0" applyBorder="0" applyAlignment="0" applyProtection="0"/>
    <xf numFmtId="0" fontId="67" fillId="70" borderId="0" applyNumberFormat="0" applyBorder="0" applyAlignment="0" applyProtection="0"/>
    <xf numFmtId="0" fontId="103" fillId="70" borderId="0" applyNumberFormat="0" applyBorder="0" applyAlignment="0" applyProtection="0"/>
    <xf numFmtId="0" fontId="67" fillId="70" borderId="0" applyNumberFormat="0" applyBorder="0" applyAlignment="0" applyProtection="0"/>
    <xf numFmtId="0" fontId="62" fillId="75" borderId="0" applyNumberFormat="0" applyBorder="0" applyAlignment="0" applyProtection="0"/>
    <xf numFmtId="0" fontId="67" fillId="70" borderId="0" applyNumberFormat="0" applyBorder="0" applyAlignment="0" applyProtection="0"/>
    <xf numFmtId="0" fontId="62" fillId="75" borderId="0" applyNumberFormat="0" applyBorder="0" applyAlignment="0" applyProtection="0"/>
    <xf numFmtId="0" fontId="1" fillId="28" borderId="0" applyNumberFormat="0" applyBorder="0" applyAlignment="0" applyProtection="0"/>
    <xf numFmtId="0" fontId="133" fillId="105" borderId="0" applyNumberFormat="0" applyBorder="0" applyAlignment="0" applyProtection="0"/>
    <xf numFmtId="0" fontId="1" fillId="28" borderId="0" applyNumberFormat="0" applyBorder="0" applyAlignment="0" applyProtection="0"/>
    <xf numFmtId="0" fontId="62" fillId="7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2" fillId="7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2" fillId="73" borderId="0" applyNumberFormat="0" applyBorder="0" applyAlignment="0" applyProtection="0"/>
    <xf numFmtId="0" fontId="1" fillId="31" borderId="0" applyNumberFormat="0" applyBorder="0" applyAlignment="0" applyProtection="0"/>
    <xf numFmtId="0" fontId="133" fillId="84" borderId="0" applyNumberFormat="0" applyBorder="0" applyAlignment="0" applyProtection="0"/>
    <xf numFmtId="0" fontId="1" fillId="31" borderId="0" applyNumberFormat="0" applyBorder="0" applyAlignment="0" applyProtection="0"/>
    <xf numFmtId="0" fontId="62"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2"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133" fillId="74" borderId="0" applyNumberFormat="0" applyBorder="0" applyAlignment="0" applyProtection="0"/>
    <xf numFmtId="0" fontId="67" fillId="77" borderId="0" applyNumberFormat="0" applyBorder="0" applyAlignment="0" applyProtection="0"/>
    <xf numFmtId="0" fontId="62" fillId="70" borderId="0" applyNumberFormat="0" applyBorder="0" applyAlignment="0" applyProtection="0"/>
    <xf numFmtId="0" fontId="67" fillId="77" borderId="0" applyNumberFormat="0" applyBorder="0" applyAlignment="0" applyProtection="0"/>
    <xf numFmtId="0" fontId="62" fillId="70" borderId="0" applyNumberFormat="0" applyBorder="0" applyAlignment="0" applyProtection="0"/>
    <xf numFmtId="0" fontId="1" fillId="34" borderId="0" applyNumberFormat="0" applyBorder="0" applyAlignment="0" applyProtection="0"/>
    <xf numFmtId="0" fontId="133" fillId="74" borderId="0" applyNumberFormat="0" applyBorder="0" applyAlignment="0" applyProtection="0"/>
    <xf numFmtId="0" fontId="62" fillId="70"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62" fillId="70"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33" fillId="106" borderId="0" applyNumberFormat="0" applyBorder="0" applyAlignment="0" applyProtection="0"/>
    <xf numFmtId="0" fontId="103" fillId="78" borderId="0" applyNumberFormat="0" applyBorder="0" applyAlignment="0" applyProtection="0"/>
    <xf numFmtId="0" fontId="103" fillId="78" borderId="0" applyNumberFormat="0" applyBorder="0" applyAlignment="0" applyProtection="0"/>
    <xf numFmtId="0" fontId="67" fillId="78" borderId="0" applyNumberFormat="0" applyBorder="0" applyAlignment="0" applyProtection="0"/>
    <xf numFmtId="0" fontId="103" fillId="78" borderId="0" applyNumberFormat="0" applyBorder="0" applyAlignment="0" applyProtection="0"/>
    <xf numFmtId="0" fontId="67" fillId="78" borderId="0" applyNumberFormat="0" applyBorder="0" applyAlignment="0" applyProtection="0"/>
    <xf numFmtId="0" fontId="62" fillId="67" borderId="0" applyNumberFormat="0" applyBorder="0" applyAlignment="0" applyProtection="0"/>
    <xf numFmtId="0" fontId="67" fillId="78" borderId="0" applyNumberFormat="0" applyBorder="0" applyAlignment="0" applyProtection="0"/>
    <xf numFmtId="0" fontId="62" fillId="67" borderId="0" applyNumberFormat="0" applyBorder="0" applyAlignment="0" applyProtection="0"/>
    <xf numFmtId="0" fontId="1" fillId="37" borderId="0" applyNumberFormat="0" applyBorder="0" applyAlignment="0" applyProtection="0"/>
    <xf numFmtId="0" fontId="133" fillId="106" borderId="0" applyNumberFormat="0" applyBorder="0" applyAlignment="0" applyProtection="0"/>
    <xf numFmtId="0" fontId="1" fillId="37" borderId="0" applyNumberFormat="0" applyBorder="0" applyAlignment="0" applyProtection="0"/>
    <xf numFmtId="0" fontId="62" fillId="67"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62" fillId="67"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133" fillId="107" borderId="0" applyNumberFormat="0" applyBorder="0" applyAlignment="0" applyProtection="0"/>
    <xf numFmtId="0" fontId="103" fillId="73" borderId="0" applyNumberFormat="0" applyBorder="0" applyAlignment="0" applyProtection="0"/>
    <xf numFmtId="0" fontId="103" fillId="73" borderId="0" applyNumberFormat="0" applyBorder="0" applyAlignment="0" applyProtection="0"/>
    <xf numFmtId="0" fontId="67" fillId="73" borderId="0" applyNumberFormat="0" applyBorder="0" applyAlignment="0" applyProtection="0"/>
    <xf numFmtId="0" fontId="103" fillId="73" borderId="0" applyNumberFormat="0" applyBorder="0" applyAlignment="0" applyProtection="0"/>
    <xf numFmtId="0" fontId="67" fillId="73" borderId="0" applyNumberFormat="0" applyBorder="0" applyAlignment="0" applyProtection="0"/>
    <xf numFmtId="0" fontId="62" fillId="75" borderId="0" applyNumberFormat="0" applyBorder="0" applyAlignment="0" applyProtection="0"/>
    <xf numFmtId="0" fontId="67" fillId="73" borderId="0" applyNumberFormat="0" applyBorder="0" applyAlignment="0" applyProtection="0"/>
    <xf numFmtId="0" fontId="62" fillId="75" borderId="0" applyNumberFormat="0" applyBorder="0" applyAlignment="0" applyProtection="0"/>
    <xf numFmtId="0" fontId="1" fillId="40" borderId="0" applyNumberFormat="0" applyBorder="0" applyAlignment="0" applyProtection="0"/>
    <xf numFmtId="0" fontId="133" fillId="107" borderId="0" applyNumberFormat="0" applyBorder="0" applyAlignment="0" applyProtection="0"/>
    <xf numFmtId="0" fontId="1" fillId="40" borderId="0" applyNumberFormat="0" applyBorder="0" applyAlignment="0" applyProtection="0"/>
    <xf numFmtId="0" fontId="62" fillId="75"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62" fillId="75"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107"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62" fillId="76" borderId="0" applyNumberFormat="0" applyBorder="0" applyAlignment="0" applyProtection="0"/>
    <xf numFmtId="0" fontId="1" fillId="42" borderId="0" applyNumberFormat="0" applyBorder="0" applyAlignment="0" applyProtection="0"/>
    <xf numFmtId="0" fontId="133" fillId="85" borderId="0" applyNumberFormat="0" applyBorder="0" applyAlignment="0" applyProtection="0"/>
    <xf numFmtId="0" fontId="1" fillId="42" borderId="0" applyNumberFormat="0" applyBorder="0" applyAlignment="0" applyProtection="0"/>
    <xf numFmtId="0" fontId="62" fillId="76"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62" fillId="76"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3" fillId="8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135" fillId="105"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71" fillId="70" borderId="0" applyNumberFormat="0" applyBorder="0" applyAlignment="0" applyProtection="0"/>
    <xf numFmtId="0" fontId="70" fillId="70" borderId="0" applyNumberFormat="0" applyBorder="0" applyAlignment="0" applyProtection="0"/>
    <xf numFmtId="0" fontId="71" fillId="70" borderId="0" applyNumberFormat="0" applyBorder="0" applyAlignment="0" applyProtection="0"/>
    <xf numFmtId="0" fontId="70" fillId="79" borderId="0" applyNumberFormat="0" applyBorder="0" applyAlignment="0" applyProtection="0"/>
    <xf numFmtId="0" fontId="71" fillId="70" borderId="0" applyNumberFormat="0" applyBorder="0" applyAlignment="0" applyProtection="0"/>
    <xf numFmtId="0" fontId="70" fillId="79" borderId="0" applyNumberFormat="0" applyBorder="0" applyAlignment="0" applyProtection="0"/>
    <xf numFmtId="0" fontId="135" fillId="105" borderId="0" applyNumberFormat="0" applyBorder="0" applyAlignment="0" applyProtection="0"/>
    <xf numFmtId="0" fontId="70" fillId="79"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70" fillId="79"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105"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70" fillId="73" borderId="0" applyNumberFormat="0" applyBorder="0" applyAlignment="0" applyProtection="0"/>
    <xf numFmtId="0" fontId="135" fillId="84" borderId="0" applyNumberFormat="0" applyBorder="0" applyAlignment="0" applyProtection="0"/>
    <xf numFmtId="0" fontId="70" fillId="73"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70" fillId="73"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135" fillId="88"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7" borderId="0" applyNumberFormat="0" applyBorder="0" applyAlignment="0" applyProtection="0"/>
    <xf numFmtId="0" fontId="70" fillId="77" borderId="0" applyNumberFormat="0" applyBorder="0" applyAlignment="0" applyProtection="0"/>
    <xf numFmtId="0" fontId="71" fillId="77" borderId="0" applyNumberFormat="0" applyBorder="0" applyAlignment="0" applyProtection="0"/>
    <xf numFmtId="0" fontId="70" fillId="70" borderId="0" applyNumberFormat="0" applyBorder="0" applyAlignment="0" applyProtection="0"/>
    <xf numFmtId="0" fontId="71" fillId="77" borderId="0" applyNumberFormat="0" applyBorder="0" applyAlignment="0" applyProtection="0"/>
    <xf numFmtId="0" fontId="70" fillId="70" borderId="0" applyNumberFormat="0" applyBorder="0" applyAlignment="0" applyProtection="0"/>
    <xf numFmtId="0" fontId="135" fillId="88" borderId="0" applyNumberFormat="0" applyBorder="0" applyAlignment="0" applyProtection="0"/>
    <xf numFmtId="0" fontId="70" fillId="7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7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70" fillId="80" borderId="0" applyNumberFormat="0" applyBorder="0" applyAlignment="0" applyProtection="0"/>
    <xf numFmtId="0" fontId="70" fillId="80"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70" fillId="80" borderId="0" applyNumberFormat="0" applyBorder="0" applyAlignment="0" applyProtection="0"/>
    <xf numFmtId="0" fontId="135" fillId="108" borderId="0" applyNumberFormat="0" applyBorder="0" applyAlignment="0" applyProtection="0"/>
    <xf numFmtId="0" fontId="70" fillId="80"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70" fillId="80"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81" borderId="0" applyNumberFormat="0" applyBorder="0" applyAlignment="0" applyProtection="0"/>
    <xf numFmtId="0" fontId="135" fillId="89" borderId="0" applyNumberFormat="0" applyBorder="0" applyAlignment="0" applyProtection="0"/>
    <xf numFmtId="0" fontId="70" fillId="8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8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70" fillId="82" borderId="0" applyNumberFormat="0" applyBorder="0" applyAlignment="0" applyProtection="0"/>
    <xf numFmtId="0" fontId="70" fillId="82"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70" fillId="82" borderId="0" applyNumberFormat="0" applyBorder="0" applyAlignment="0" applyProtection="0"/>
    <xf numFmtId="0" fontId="135" fillId="109" borderId="0" applyNumberFormat="0" applyBorder="0" applyAlignment="0" applyProtection="0"/>
    <xf numFmtId="0" fontId="70" fillId="82"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70" fillId="82"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0" fontId="135" fillId="109" borderId="0" applyNumberFormat="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76" fillId="66" borderId="0" applyNumberFormat="0" applyBorder="0" applyAlignment="0" applyProtection="0"/>
    <xf numFmtId="0" fontId="62" fillId="90" borderId="0" applyNumberFormat="0" applyBorder="0" applyAlignment="0" applyProtection="0"/>
    <xf numFmtId="0" fontId="76" fillId="66"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76" fillId="66"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23" fillId="85" borderId="57" applyNumberFormat="0" applyAlignment="0" applyProtection="0"/>
    <xf numFmtId="0" fontId="123" fillId="85" borderId="57" applyNumberFormat="0" applyAlignment="0" applyProtection="0"/>
    <xf numFmtId="0" fontId="112" fillId="77" borderId="91" applyNumberFormat="0" applyAlignment="0" applyProtection="0"/>
    <xf numFmtId="0" fontId="136" fillId="84" borderId="56" applyNumberFormat="0" applyAlignment="0" applyProtection="0"/>
    <xf numFmtId="0" fontId="136" fillId="84" borderId="56" applyNumberFormat="0" applyAlignment="0" applyProtection="0"/>
    <xf numFmtId="0" fontId="77" fillId="84" borderId="56" applyNumberFormat="0" applyAlignment="0" applyProtection="0"/>
    <xf numFmtId="0" fontId="136" fillId="84" borderId="56" applyNumberFormat="0" applyAlignment="0" applyProtection="0"/>
    <xf numFmtId="0" fontId="77" fillId="84" borderId="56" applyNumberFormat="0" applyAlignment="0" applyProtection="0"/>
    <xf numFmtId="0" fontId="123" fillId="85" borderId="57" applyNumberFormat="0" applyAlignment="0" applyProtection="0"/>
    <xf numFmtId="0" fontId="77" fillId="84" borderId="56" applyNumberFormat="0" applyAlignment="0" applyProtection="0"/>
    <xf numFmtId="0" fontId="123" fillId="85" borderId="57" applyNumberFormat="0" applyAlignment="0" applyProtection="0"/>
    <xf numFmtId="0" fontId="112" fillId="77" borderId="91" applyNumberFormat="0" applyAlignment="0" applyProtection="0"/>
    <xf numFmtId="0" fontId="123" fillId="85" borderId="57" applyNumberFormat="0" applyAlignment="0" applyProtection="0"/>
    <xf numFmtId="0" fontId="112" fillId="77" borderId="91" applyNumberFormat="0" applyAlignment="0" applyProtection="0"/>
    <xf numFmtId="0" fontId="112" fillId="77" borderId="91" applyNumberFormat="0" applyAlignment="0" applyProtection="0"/>
    <xf numFmtId="0" fontId="123" fillId="85" borderId="57"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12" fillId="77" borderId="91"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81" fillId="86" borderId="59" applyNumberFormat="0" applyAlignment="0" applyProtection="0"/>
    <xf numFmtId="0" fontId="81" fillId="86" borderId="59" applyNumberFormat="0" applyAlignment="0" applyProtection="0"/>
    <xf numFmtId="0" fontId="137" fillId="108" borderId="92" applyNumberFormat="0" applyAlignment="0" applyProtection="0"/>
    <xf numFmtId="0" fontId="81" fillId="72" borderId="58" applyNumberFormat="0" applyAlignment="0" applyProtection="0"/>
    <xf numFmtId="0" fontId="81" fillId="72" borderId="58" applyNumberFormat="0" applyAlignment="0" applyProtection="0"/>
    <xf numFmtId="0" fontId="79" fillId="72" borderId="58" applyNumberFormat="0" applyAlignment="0" applyProtection="0"/>
    <xf numFmtId="0" fontId="81" fillId="72" borderId="58" applyNumberFormat="0" applyAlignment="0" applyProtection="0"/>
    <xf numFmtId="0" fontId="79" fillId="72" borderId="58" applyNumberFormat="0" applyAlignment="0" applyProtection="0"/>
    <xf numFmtId="0" fontId="81" fillId="86" borderId="59" applyNumberFormat="0" applyAlignment="0" applyProtection="0"/>
    <xf numFmtId="0" fontId="79" fillId="72" borderId="58" applyNumberFormat="0" applyAlignment="0" applyProtection="0"/>
    <xf numFmtId="0" fontId="81" fillId="86" borderId="59" applyNumberFormat="0" applyAlignment="0" applyProtection="0"/>
    <xf numFmtId="0" fontId="137" fillId="108" borderId="92" applyNumberFormat="0" applyAlignment="0" applyProtection="0"/>
    <xf numFmtId="0" fontId="81" fillId="86" borderId="59" applyNumberFormat="0" applyAlignment="0" applyProtection="0"/>
    <xf numFmtId="0" fontId="137" fillId="108" borderId="92" applyNumberFormat="0" applyAlignment="0" applyProtection="0"/>
    <xf numFmtId="0" fontId="137" fillId="108" borderId="92" applyNumberFormat="0" applyAlignment="0" applyProtection="0"/>
    <xf numFmtId="0" fontId="81" fillId="86" borderId="59"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7" fillId="108" borderId="92" applyNumberFormat="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82" fillId="0" borderId="60" applyNumberFormat="0" applyFill="0" applyAlignment="0" applyProtection="0"/>
    <xf numFmtId="0" fontId="82" fillId="0" borderId="60"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82" fillId="0" borderId="60" applyNumberFormat="0" applyFill="0" applyAlignment="0" applyProtection="0"/>
    <xf numFmtId="0" fontId="138" fillId="0" borderId="93" applyNumberFormat="0" applyFill="0" applyAlignment="0" applyProtection="0"/>
    <xf numFmtId="0" fontId="82" fillId="0" borderId="60"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82" fillId="0" borderId="60"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0" fontId="138" fillId="0" borderId="93" applyNumberFormat="0" applyFill="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70" fillId="87" borderId="0" applyNumberFormat="0" applyBorder="0" applyAlignment="0" applyProtection="0"/>
    <xf numFmtId="0" fontId="70" fillId="87" borderId="0" applyNumberFormat="0" applyBorder="0" applyAlignment="0" applyProtection="0"/>
    <xf numFmtId="0" fontId="135" fillId="110" borderId="0" applyNumberFormat="0" applyBorder="0" applyAlignment="0" applyProtection="0"/>
    <xf numFmtId="0" fontId="70" fillId="82" borderId="0" applyNumberFormat="0" applyBorder="0" applyAlignment="0" applyProtection="0"/>
    <xf numFmtId="0" fontId="70" fillId="82" borderId="0" applyNumberFormat="0" applyBorder="0" applyAlignment="0" applyProtection="0"/>
    <xf numFmtId="0" fontId="71" fillId="82" borderId="0" applyNumberFormat="0" applyBorder="0" applyAlignment="0" applyProtection="0"/>
    <xf numFmtId="0" fontId="70" fillId="82" borderId="0" applyNumberFormat="0" applyBorder="0" applyAlignment="0" applyProtection="0"/>
    <xf numFmtId="0" fontId="71" fillId="82" borderId="0" applyNumberFormat="0" applyBorder="0" applyAlignment="0" applyProtection="0"/>
    <xf numFmtId="0" fontId="70" fillId="87" borderId="0" applyNumberFormat="0" applyBorder="0" applyAlignment="0" applyProtection="0"/>
    <xf numFmtId="0" fontId="71" fillId="82" borderId="0" applyNumberFormat="0" applyBorder="0" applyAlignment="0" applyProtection="0"/>
    <xf numFmtId="0" fontId="70" fillId="87"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70" fillId="87"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70" fillId="87"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88" borderId="0" applyNumberFormat="0" applyBorder="0" applyAlignment="0" applyProtection="0"/>
    <xf numFmtId="0" fontId="135" fillId="87" borderId="0" applyNumberFormat="0" applyBorder="0" applyAlignment="0" applyProtection="0"/>
    <xf numFmtId="0" fontId="70"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135" fillId="88" borderId="0" applyNumberFormat="0" applyBorder="0" applyAlignment="0" applyProtection="0"/>
    <xf numFmtId="0" fontId="70" fillId="90" borderId="0" applyNumberFormat="0" applyBorder="0" applyAlignment="0" applyProtection="0"/>
    <xf numFmtId="0" fontId="70" fillId="90" borderId="0" applyNumberFormat="0" applyBorder="0" applyAlignment="0" applyProtection="0"/>
    <xf numFmtId="0" fontId="71" fillId="90" borderId="0" applyNumberFormat="0" applyBorder="0" applyAlignment="0" applyProtection="0"/>
    <xf numFmtId="0" fontId="70" fillId="90" borderId="0" applyNumberFormat="0" applyBorder="0" applyAlignment="0" applyProtection="0"/>
    <xf numFmtId="0" fontId="71" fillId="90" borderId="0" applyNumberFormat="0" applyBorder="0" applyAlignment="0" applyProtection="0"/>
    <xf numFmtId="0" fontId="70" fillId="77" borderId="0" applyNumberFormat="0" applyBorder="0" applyAlignment="0" applyProtection="0"/>
    <xf numFmtId="0" fontId="71" fillId="90" borderId="0" applyNumberFormat="0" applyBorder="0" applyAlignment="0" applyProtection="0"/>
    <xf numFmtId="0" fontId="70" fillId="77" borderId="0" applyNumberFormat="0" applyBorder="0" applyAlignment="0" applyProtection="0"/>
    <xf numFmtId="0" fontId="135" fillId="88" borderId="0" applyNumberFormat="0" applyBorder="0" applyAlignment="0" applyProtection="0"/>
    <xf numFmtId="0" fontId="70" fillId="77"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77"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70" fillId="80" borderId="0" applyNumberFormat="0" applyBorder="0" applyAlignment="0" applyProtection="0"/>
    <xf numFmtId="0" fontId="70" fillId="80"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70" fillId="80" borderId="0" applyNumberFormat="0" applyBorder="0" applyAlignment="0" applyProtection="0"/>
    <xf numFmtId="0" fontId="135" fillId="111" borderId="0" applyNumberFormat="0" applyBorder="0" applyAlignment="0" applyProtection="0"/>
    <xf numFmtId="0" fontId="70" fillId="80"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70" fillId="80"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1"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135" fillId="110" borderId="0" applyNumberFormat="0" applyBorder="0" applyAlignment="0" applyProtection="0"/>
    <xf numFmtId="0" fontId="70" fillId="91" borderId="0" applyNumberFormat="0" applyBorder="0" applyAlignment="0" applyProtection="0"/>
    <xf numFmtId="0" fontId="70" fillId="91" borderId="0" applyNumberFormat="0" applyBorder="0" applyAlignment="0" applyProtection="0"/>
    <xf numFmtId="0" fontId="71" fillId="91" borderId="0" applyNumberFormat="0" applyBorder="0" applyAlignment="0" applyProtection="0"/>
    <xf numFmtId="0" fontId="70" fillId="91" borderId="0" applyNumberFormat="0" applyBorder="0" applyAlignment="0" applyProtection="0"/>
    <xf numFmtId="0" fontId="71" fillId="91" borderId="0" applyNumberFormat="0" applyBorder="0" applyAlignment="0" applyProtection="0"/>
    <xf numFmtId="0" fontId="70" fillId="81" borderId="0" applyNumberFormat="0" applyBorder="0" applyAlignment="0" applyProtection="0"/>
    <xf numFmtId="0" fontId="71" fillId="91" borderId="0" applyNumberFormat="0" applyBorder="0" applyAlignment="0" applyProtection="0"/>
    <xf numFmtId="0" fontId="70" fillId="81"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70" fillId="81"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70" fillId="81"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0"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70" fillId="89" borderId="0" applyNumberFormat="0" applyBorder="0" applyAlignment="0" applyProtection="0"/>
    <xf numFmtId="0" fontId="70" fillId="89"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70" fillId="89" borderId="0" applyNumberFormat="0" applyBorder="0" applyAlignment="0" applyProtection="0"/>
    <xf numFmtId="0" fontId="135" fillId="112" borderId="0" applyNumberFormat="0" applyBorder="0" applyAlignment="0" applyProtection="0"/>
    <xf numFmtId="0" fontId="70" fillId="89"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70" fillId="89"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35" fillId="112" borderId="0" applyNumberFormat="0" applyBorder="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25" fillId="69" borderId="57" applyNumberFormat="0" applyAlignment="0" applyProtection="0"/>
    <xf numFmtId="0" fontId="125" fillId="69" borderId="57"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25" fillId="69" borderId="57" applyNumberFormat="0" applyAlignment="0" applyProtection="0"/>
    <xf numFmtId="0" fontId="140" fillId="76" borderId="91" applyNumberFormat="0" applyAlignment="0" applyProtection="0"/>
    <xf numFmtId="0" fontId="125" fillId="69" borderId="57" applyNumberFormat="0" applyAlignment="0" applyProtection="0"/>
    <xf numFmtId="0" fontId="140" fillId="76" borderId="91" applyNumberFormat="0" applyAlignment="0" applyProtection="0"/>
    <xf numFmtId="0" fontId="140" fillId="76" borderId="91" applyNumberFormat="0" applyAlignment="0" applyProtection="0"/>
    <xf numFmtId="0" fontId="125" fillId="69" borderId="57"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140" fillId="76" borderId="9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100" borderId="0" applyFont="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62" fillId="113" borderId="0" applyNumberFormat="0" applyBorder="0" applyAlignment="0" applyProtection="0"/>
    <xf numFmtId="0" fontId="141" fillId="97" borderId="0" applyNumberFormat="0" applyBorder="0" applyAlignment="0" applyProtection="0"/>
    <xf numFmtId="0" fontId="141" fillId="97" borderId="0" applyNumberFormat="0" applyBorder="0" applyAlignment="0" applyProtection="0"/>
    <xf numFmtId="0" fontId="97" fillId="97" borderId="0" applyNumberFormat="0" applyBorder="0" applyAlignment="0" applyProtection="0"/>
    <xf numFmtId="0" fontId="141" fillId="97" borderId="0" applyNumberFormat="0" applyBorder="0" applyAlignment="0" applyProtection="0"/>
    <xf numFmtId="0" fontId="97" fillId="97" borderId="0" applyNumberFormat="0" applyBorder="0" applyAlignment="0" applyProtection="0"/>
    <xf numFmtId="0" fontId="99" fillId="65" borderId="0" applyNumberFormat="0" applyBorder="0" applyAlignment="0" applyProtection="0"/>
    <xf numFmtId="0" fontId="97" fillId="97" borderId="0" applyNumberFormat="0" applyBorder="0" applyAlignment="0" applyProtection="0"/>
    <xf numFmtId="0" fontId="99" fillId="65" borderId="0" applyNumberFormat="0" applyBorder="0" applyAlignment="0" applyProtection="0"/>
    <xf numFmtId="0" fontId="62" fillId="113" borderId="0" applyNumberFormat="0" applyBorder="0" applyAlignment="0" applyProtection="0"/>
    <xf numFmtId="0" fontId="99" fillId="65"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99" fillId="65"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0" fontId="62" fillId="113" borderId="0" applyNumberFormat="0" applyBorder="0" applyAlignment="0" applyProtection="0"/>
    <xf numFmtId="20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8" fontId="102" fillId="0" borderId="0" applyFont="0" applyFill="0" applyBorder="0" applyAlignment="0" applyProtection="0"/>
    <xf numFmtId="178" fontId="102" fillId="0" borderId="0" applyFont="0" applyFill="0" applyBorder="0" applyAlignment="0" applyProtection="0"/>
    <xf numFmtId="172" fontId="102" fillId="0" borderId="0" applyFont="0" applyFill="0" applyBorder="0" applyAlignment="0" applyProtection="0"/>
    <xf numFmtId="178" fontId="102" fillId="0" borderId="0" applyFont="0" applyFill="0" applyBorder="0" applyAlignment="0" applyProtection="0"/>
    <xf numFmtId="172" fontId="102" fillId="0" borderId="0" applyFont="0" applyFill="0" applyBorder="0" applyAlignment="0" applyProtection="0"/>
    <xf numFmtId="43" fontId="4" fillId="0" borderId="0" applyFont="0" applyFill="0" applyBorder="0" applyAlignment="0" applyProtection="0"/>
    <xf numFmtId="172" fontId="102"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204" fontId="4" fillId="0" borderId="0" applyFill="0" applyBorder="0" applyAlignment="0" applyProtection="0"/>
    <xf numFmtId="183" fontId="1"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04" fillId="99" borderId="0" applyNumberFormat="0" applyBorder="0" applyAlignment="0" applyProtection="0"/>
    <xf numFmtId="0" fontId="104" fillId="99"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04" fillId="99" borderId="0" applyNumberFormat="0" applyBorder="0" applyAlignment="0" applyProtection="0"/>
    <xf numFmtId="0" fontId="142" fillId="22" borderId="0" applyNumberFormat="0" applyBorder="0" applyAlignment="0" applyProtection="0"/>
    <xf numFmtId="0" fontId="104" fillId="99"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04" fillId="99"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8" fillId="0" borderId="0">
      <alignment vertical="top"/>
    </xf>
    <xf numFmtId="0" fontId="4" fillId="0" borderId="0"/>
    <xf numFmtId="0" fontId="4" fillId="0" borderId="0"/>
    <xf numFmtId="0" fontId="4" fillId="0" borderId="0"/>
    <xf numFmtId="0" fontId="68"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103" fillId="0" borderId="0"/>
    <xf numFmtId="0" fontId="4" fillId="0" borderId="0" applyNumberFormat="0" applyFont="0" applyFill="0" applyBorder="0" applyAlignment="0" applyProtection="0"/>
    <xf numFmtId="0" fontId="103" fillId="0" borderId="0"/>
    <xf numFmtId="0" fontId="68"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alignment vertical="top"/>
    </xf>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03" fillId="111" borderId="56"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03" fillId="111" borderId="56" applyNumberFormat="0" applyFont="0" applyAlignment="0" applyProtection="0"/>
    <xf numFmtId="0" fontId="103" fillId="111" borderId="56"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03" fillId="111" borderId="56"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03" fillId="111" borderId="56"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133" fillId="66" borderId="90"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12" fillId="85" borderId="80" applyNumberFormat="0" applyAlignment="0" applyProtection="0"/>
    <xf numFmtId="0" fontId="112" fillId="85" borderId="80" applyNumberFormat="0" applyAlignment="0" applyProtection="0"/>
    <xf numFmtId="0" fontId="143" fillId="77" borderId="94" applyNumberFormat="0" applyAlignment="0" applyProtection="0"/>
    <xf numFmtId="0" fontId="144" fillId="84" borderId="81" applyNumberFormat="0" applyAlignment="0" applyProtection="0"/>
    <xf numFmtId="0" fontId="144" fillId="84" borderId="81" applyNumberFormat="0" applyAlignment="0" applyProtection="0"/>
    <xf numFmtId="0" fontId="113" fillId="84" borderId="81" applyNumberFormat="0" applyAlignment="0" applyProtection="0"/>
    <xf numFmtId="0" fontId="144" fillId="84" borderId="81" applyNumberFormat="0" applyAlignment="0" applyProtection="0"/>
    <xf numFmtId="0" fontId="113" fillId="84" borderId="81" applyNumberFormat="0" applyAlignment="0" applyProtection="0"/>
    <xf numFmtId="0" fontId="112" fillId="85" borderId="80" applyNumberFormat="0" applyAlignment="0" applyProtection="0"/>
    <xf numFmtId="0" fontId="113" fillId="84" borderId="81" applyNumberFormat="0" applyAlignment="0" applyProtection="0"/>
    <xf numFmtId="0" fontId="112" fillId="85" borderId="80" applyNumberFormat="0" applyAlignment="0" applyProtection="0"/>
    <xf numFmtId="0" fontId="143" fillId="77" borderId="94" applyNumberFormat="0" applyAlignment="0" applyProtection="0"/>
    <xf numFmtId="0" fontId="112" fillId="85" borderId="80" applyNumberFormat="0" applyAlignment="0" applyProtection="0"/>
    <xf numFmtId="0" fontId="143" fillId="77" borderId="94" applyNumberFormat="0" applyAlignment="0" applyProtection="0"/>
    <xf numFmtId="0" fontId="143" fillId="77" borderId="94" applyNumberFormat="0" applyAlignment="0" applyProtection="0"/>
    <xf numFmtId="0" fontId="112" fillId="85" borderId="80"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0" fontId="143" fillId="77" borderId="94" applyNumberFormat="0" applyAlignment="0" applyProtection="0"/>
    <xf numFmtId="209" fontId="4" fillId="0" borderId="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31" fillId="0" borderId="86" applyNumberFormat="0" applyFill="0" applyAlignment="0" applyProtection="0"/>
    <xf numFmtId="0" fontId="131" fillId="0" borderId="86"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31" fillId="0" borderId="86" applyNumberFormat="0" applyFill="0" applyAlignment="0" applyProtection="0"/>
    <xf numFmtId="0" fontId="146" fillId="0" borderId="95" applyNumberFormat="0" applyFill="0" applyAlignment="0" applyProtection="0"/>
    <xf numFmtId="0" fontId="131" fillId="0" borderId="86"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31" fillId="0" borderId="86"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6" fillId="0" borderId="95"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32" fillId="0" borderId="87" applyNumberFormat="0" applyFill="0" applyAlignment="0" applyProtection="0"/>
    <xf numFmtId="0" fontId="132" fillId="0" borderId="87"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32" fillId="0" borderId="87" applyNumberFormat="0" applyFill="0" applyAlignment="0" applyProtection="0"/>
    <xf numFmtId="0" fontId="149" fillId="0" borderId="96" applyNumberFormat="0" applyFill="0" applyAlignment="0" applyProtection="0"/>
    <xf numFmtId="0" fontId="132" fillId="0" borderId="87"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32" fillId="0" borderId="87"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49" fillId="0" borderId="96"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19" fillId="0" borderId="88" applyNumberFormat="0" applyFill="0" applyAlignment="0" applyProtection="0"/>
    <xf numFmtId="0" fontId="119" fillId="0" borderId="88"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19" fillId="0" borderId="88" applyNumberFormat="0" applyFill="0" applyAlignment="0" applyProtection="0"/>
    <xf numFmtId="0" fontId="139" fillId="0" borderId="97" applyNumberFormat="0" applyFill="0" applyAlignment="0" applyProtection="0"/>
    <xf numFmtId="0" fontId="119" fillId="0" borderId="88"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19" fillId="0" borderId="88"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39" fillId="0" borderId="97" applyNumberFormat="0" applyFill="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50" fillId="0" borderId="98" applyNumberFormat="0" applyFill="0" applyAlignment="0" applyProtection="0"/>
    <xf numFmtId="0" fontId="150" fillId="0" borderId="98" applyNumberFormat="0" applyFill="0" applyAlignment="0" applyProtection="0"/>
    <xf numFmtId="0" fontId="120" fillId="0" borderId="83" applyNumberFormat="0" applyFont="0" applyFill="0" applyAlignment="0" applyProtection="0"/>
    <xf numFmtId="0" fontId="150" fillId="0" borderId="98" applyNumberFormat="0" applyFill="0" applyAlignment="0" applyProtection="0"/>
    <xf numFmtId="0" fontId="150" fillId="0" borderId="98" applyNumberFormat="0" applyFill="0" applyAlignment="0" applyProtection="0"/>
    <xf numFmtId="0" fontId="120" fillId="0" borderId="83" applyNumberFormat="0" applyFon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20" fillId="0" borderId="83" applyNumberFormat="0" applyFont="0" applyFill="0" applyAlignment="0" applyProtection="0"/>
    <xf numFmtId="0" fontId="4" fillId="0" borderId="82" applyNumberFormat="0" applyFont="0" applyFill="0" applyAlignment="0" applyProtection="0">
      <alignment vertical="top"/>
    </xf>
    <xf numFmtId="0" fontId="120" fillId="0" borderId="83" applyNumberFormat="0" applyFon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50" fillId="0" borderId="98" applyNumberFormat="0" applyFill="0" applyAlignment="0" applyProtection="0"/>
    <xf numFmtId="0" fontId="120" fillId="0" borderId="83" applyNumberFormat="0" applyFont="0" applyFill="0" applyAlignment="0" applyProtection="0"/>
    <xf numFmtId="0" fontId="120" fillId="0" borderId="83" applyNumberFormat="0" applyFont="0" applyFill="0" applyAlignment="0" applyProtection="0"/>
    <xf numFmtId="0" fontId="150"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8"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8"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43"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cellStyleXfs>
  <cellXfs count="686">
    <xf numFmtId="0" fontId="0" fillId="0" borderId="0" xfId="0"/>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8" fillId="3" borderId="0" xfId="0" applyFont="1" applyFill="1" applyAlignment="1">
      <alignment horizontal="center" vertical="center"/>
    </xf>
    <xf numFmtId="0" fontId="12" fillId="4" borderId="2" xfId="0" applyFont="1" applyFill="1" applyBorder="1" applyAlignment="1">
      <alignment vertical="center"/>
    </xf>
    <xf numFmtId="0" fontId="12" fillId="4" borderId="6" xfId="0" applyFont="1" applyFill="1" applyBorder="1" applyAlignment="1">
      <alignment vertical="center"/>
    </xf>
    <xf numFmtId="0" fontId="24" fillId="5" borderId="5" xfId="0" applyFont="1" applyFill="1" applyBorder="1" applyAlignment="1">
      <alignment horizontal="right" vertical="center" wrapText="1"/>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7" fillId="0" borderId="0" xfId="0" applyFont="1" applyAlignment="1">
      <alignment horizontal="center"/>
    </xf>
    <xf numFmtId="0" fontId="27" fillId="14" borderId="0" xfId="0" applyFont="1" applyFill="1" applyAlignment="1">
      <alignment horizontal="center"/>
    </xf>
    <xf numFmtId="0" fontId="17" fillId="0" borderId="0" xfId="12" applyFont="1" applyBorder="1" applyAlignment="1">
      <alignment horizontal="center"/>
    </xf>
    <xf numFmtId="0" fontId="19" fillId="0" borderId="11" xfId="12" applyFont="1" applyFill="1" applyBorder="1" applyAlignment="1">
      <alignment horizontal="left"/>
    </xf>
    <xf numFmtId="169" fontId="19" fillId="0" borderId="11" xfId="13" applyNumberFormat="1" applyFont="1" applyFill="1" applyBorder="1" applyAlignment="1">
      <alignment horizontal="center"/>
    </xf>
    <xf numFmtId="0" fontId="29" fillId="0" borderId="0" xfId="16" applyFont="1"/>
    <xf numFmtId="0" fontId="31" fillId="14" borderId="0" xfId="17" applyFont="1" applyFill="1"/>
    <xf numFmtId="0" fontId="32" fillId="14" borderId="0" xfId="17" applyFont="1" applyFill="1" applyAlignment="1">
      <alignment horizontal="center" vertical="center" wrapText="1"/>
    </xf>
    <xf numFmtId="0" fontId="25" fillId="17" borderId="18" xfId="17" applyFont="1" applyFill="1" applyBorder="1" applyAlignment="1">
      <alignment vertical="center" wrapText="1"/>
    </xf>
    <xf numFmtId="0" fontId="25" fillId="17" borderId="18" xfId="17" applyFont="1" applyFill="1" applyBorder="1" applyAlignment="1">
      <alignment horizontal="left" vertical="center" wrapText="1"/>
    </xf>
    <xf numFmtId="173" fontId="25" fillId="17" borderId="18" xfId="17" applyNumberFormat="1" applyFont="1" applyFill="1" applyBorder="1" applyAlignment="1">
      <alignment horizontal="right" vertical="center" wrapText="1"/>
    </xf>
    <xf numFmtId="169" fontId="25" fillId="17" borderId="18" xfId="18" applyNumberFormat="1" applyFont="1" applyFill="1" applyBorder="1" applyAlignment="1">
      <alignment horizontal="right" vertical="center" wrapText="1"/>
    </xf>
    <xf numFmtId="0" fontId="32" fillId="14" borderId="0" xfId="17" applyFont="1" applyFill="1" applyAlignment="1">
      <alignment horizontal="left" vertical="center" wrapText="1"/>
    </xf>
    <xf numFmtId="173" fontId="32" fillId="14" borderId="0" xfId="17" applyNumberFormat="1" applyFont="1" applyFill="1" applyAlignment="1">
      <alignment horizontal="right" vertical="center" wrapText="1"/>
    </xf>
    <xf numFmtId="0" fontId="31" fillId="18" borderId="20" xfId="17" applyFont="1" applyFill="1" applyBorder="1" applyAlignment="1">
      <alignment horizontal="left" vertical="center" indent="1"/>
    </xf>
    <xf numFmtId="171" fontId="31" fillId="18" borderId="20" xfId="18" applyNumberFormat="1" applyFont="1" applyFill="1" applyBorder="1" applyAlignment="1">
      <alignment horizontal="center"/>
    </xf>
    <xf numFmtId="14" fontId="31" fillId="18" borderId="20" xfId="18" applyNumberFormat="1" applyFont="1" applyFill="1" applyBorder="1" applyAlignment="1">
      <alignment horizontal="center"/>
    </xf>
    <xf numFmtId="14" fontId="31" fillId="0" borderId="20" xfId="18" applyNumberFormat="1" applyFont="1" applyFill="1" applyBorder="1" applyAlignment="1">
      <alignment horizontal="center"/>
    </xf>
    <xf numFmtId="1" fontId="31" fillId="14" borderId="20" xfId="17" applyNumberFormat="1" applyFont="1" applyFill="1" applyBorder="1" applyAlignment="1">
      <alignment horizontal="center"/>
    </xf>
    <xf numFmtId="9" fontId="31" fillId="18" borderId="21" xfId="19" applyFont="1" applyFill="1" applyBorder="1" applyAlignment="1">
      <alignment horizontal="right"/>
    </xf>
    <xf numFmtId="0" fontId="31" fillId="18" borderId="22" xfId="19" applyNumberFormat="1" applyFont="1" applyFill="1" applyBorder="1" applyAlignment="1">
      <alignment horizontal="center" vertical="center" wrapText="1"/>
    </xf>
    <xf numFmtId="174" fontId="31" fillId="0" borderId="23" xfId="19" applyNumberFormat="1" applyFont="1" applyFill="1" applyBorder="1" applyAlignment="1">
      <alignment horizontal="left"/>
    </xf>
    <xf numFmtId="169" fontId="31" fillId="0" borderId="20" xfId="18" applyNumberFormat="1" applyFont="1" applyFill="1" applyBorder="1"/>
    <xf numFmtId="173" fontId="31" fillId="14" borderId="20" xfId="18" applyNumberFormat="1" applyFont="1" applyFill="1" applyBorder="1"/>
    <xf numFmtId="169" fontId="31" fillId="14" borderId="20" xfId="18" applyNumberFormat="1" applyFont="1" applyFill="1" applyBorder="1"/>
    <xf numFmtId="173" fontId="31" fillId="14" borderId="0" xfId="17" applyNumberFormat="1" applyFont="1" applyFill="1"/>
    <xf numFmtId="174" fontId="31" fillId="18" borderId="23" xfId="19" applyNumberFormat="1" applyFont="1" applyFill="1" applyBorder="1" applyAlignment="1">
      <alignment horizontal="left"/>
    </xf>
    <xf numFmtId="174" fontId="31" fillId="14" borderId="0" xfId="17" applyNumberFormat="1" applyFont="1" applyFill="1" applyAlignment="1">
      <alignment horizontal="left"/>
    </xf>
    <xf numFmtId="173" fontId="32" fillId="19" borderId="20" xfId="17" applyNumberFormat="1" applyFont="1" applyFill="1" applyBorder="1" applyAlignment="1">
      <alignment horizontal="right" vertical="center" wrapText="1"/>
    </xf>
    <xf numFmtId="169" fontId="32" fillId="19" borderId="20" xfId="18" applyNumberFormat="1" applyFont="1" applyFill="1" applyBorder="1" applyAlignment="1">
      <alignment horizontal="right" vertical="center" wrapText="1"/>
    </xf>
    <xf numFmtId="0" fontId="31" fillId="14" borderId="26" xfId="17" applyFont="1" applyFill="1" applyBorder="1"/>
    <xf numFmtId="0" fontId="31" fillId="18" borderId="0" xfId="17" applyFont="1" applyFill="1" applyAlignment="1">
      <alignment horizontal="left" vertical="center" indent="1"/>
    </xf>
    <xf numFmtId="14" fontId="31" fillId="18" borderId="0" xfId="18" applyNumberFormat="1" applyFont="1" applyFill="1" applyBorder="1" applyAlignment="1">
      <alignment horizontal="center"/>
    </xf>
    <xf numFmtId="1" fontId="31" fillId="14" borderId="0" xfId="17" applyNumberFormat="1" applyFont="1" applyFill="1" applyAlignment="1">
      <alignment horizontal="center"/>
    </xf>
    <xf numFmtId="9" fontId="31" fillId="18" borderId="0" xfId="19" applyFont="1" applyFill="1" applyBorder="1" applyAlignment="1">
      <alignment horizontal="center"/>
    </xf>
    <xf numFmtId="41" fontId="31" fillId="14" borderId="0" xfId="20" applyFont="1" applyFill="1"/>
    <xf numFmtId="9" fontId="31" fillId="0" borderId="21" xfId="19" applyFont="1" applyFill="1" applyBorder="1" applyAlignment="1">
      <alignment horizontal="right"/>
    </xf>
    <xf numFmtId="0" fontId="31" fillId="0" borderId="20" xfId="17" applyFont="1" applyBorder="1" applyAlignment="1">
      <alignment horizontal="left" vertical="center" indent="1"/>
    </xf>
    <xf numFmtId="1" fontId="31" fillId="0" borderId="20" xfId="17" applyNumberFormat="1" applyFont="1" applyBorder="1" applyAlignment="1">
      <alignment horizontal="center"/>
    </xf>
    <xf numFmtId="171" fontId="31" fillId="18" borderId="0" xfId="18" applyNumberFormat="1" applyFont="1" applyFill="1" applyBorder="1" applyAlignment="1">
      <alignment horizontal="center"/>
    </xf>
    <xf numFmtId="174" fontId="31" fillId="18" borderId="0" xfId="19" applyNumberFormat="1" applyFont="1" applyFill="1" applyBorder="1" applyAlignment="1">
      <alignment horizontal="center"/>
    </xf>
    <xf numFmtId="169" fontId="31" fillId="14" borderId="0" xfId="17" applyNumberFormat="1" applyFont="1" applyFill="1"/>
    <xf numFmtId="43" fontId="31" fillId="14" borderId="0" xfId="17" applyNumberFormat="1" applyFont="1" applyFill="1"/>
    <xf numFmtId="0" fontId="31" fillId="14" borderId="20" xfId="17" applyFont="1" applyFill="1" applyBorder="1" applyAlignment="1">
      <alignment horizontal="left" vertical="center"/>
    </xf>
    <xf numFmtId="41" fontId="31" fillId="14" borderId="0" xfId="17" applyNumberFormat="1" applyFont="1" applyFill="1"/>
    <xf numFmtId="174" fontId="32" fillId="14" borderId="0" xfId="17" applyNumberFormat="1" applyFont="1" applyFill="1" applyAlignment="1">
      <alignment horizontal="center" vertical="center" wrapText="1"/>
    </xf>
    <xf numFmtId="10" fontId="31" fillId="18" borderId="23" xfId="19" applyNumberFormat="1" applyFont="1" applyFill="1" applyBorder="1" applyAlignment="1">
      <alignment horizontal="left"/>
    </xf>
    <xf numFmtId="169" fontId="32" fillId="14" borderId="0" xfId="18" applyNumberFormat="1" applyFont="1" applyFill="1" applyBorder="1" applyAlignment="1">
      <alignment horizontal="right" vertical="center" wrapText="1"/>
    </xf>
    <xf numFmtId="0" fontId="31" fillId="14" borderId="0" xfId="17" applyFont="1" applyFill="1" applyAlignment="1">
      <alignment horizontal="center"/>
    </xf>
    <xf numFmtId="174" fontId="31" fillId="14" borderId="0" xfId="17" applyNumberFormat="1" applyFont="1" applyFill="1" applyAlignment="1">
      <alignment horizontal="center"/>
    </xf>
    <xf numFmtId="169" fontId="31" fillId="14" borderId="0" xfId="18" applyNumberFormat="1" applyFont="1" applyFill="1"/>
    <xf numFmtId="0" fontId="30" fillId="9" borderId="14" xfId="17" applyFont="1" applyFill="1" applyBorder="1" applyAlignment="1">
      <alignment horizontal="center" vertical="center" wrapText="1"/>
    </xf>
    <xf numFmtId="0" fontId="30" fillId="9" borderId="17" xfId="17" applyFont="1" applyFill="1" applyBorder="1" applyAlignment="1">
      <alignment horizontal="center" vertical="center" wrapText="1"/>
    </xf>
    <xf numFmtId="0" fontId="32" fillId="14" borderId="29" xfId="17" applyFont="1" applyFill="1" applyBorder="1" applyAlignment="1">
      <alignment horizontal="left" vertical="center" wrapText="1"/>
    </xf>
    <xf numFmtId="171" fontId="31" fillId="0" borderId="20" xfId="18" applyNumberFormat="1" applyFont="1" applyFill="1" applyBorder="1" applyAlignment="1">
      <alignment horizontal="center"/>
    </xf>
    <xf numFmtId="169" fontId="31" fillId="14" borderId="0" xfId="18" applyNumberFormat="1" applyFont="1" applyFill="1" applyBorder="1"/>
    <xf numFmtId="0" fontId="31" fillId="14" borderId="20" xfId="17" applyFont="1" applyFill="1" applyBorder="1" applyAlignment="1">
      <alignment horizontal="left" vertical="center" wrapText="1"/>
    </xf>
    <xf numFmtId="0" fontId="31" fillId="14" borderId="23" xfId="17" applyFont="1" applyFill="1" applyBorder="1" applyAlignment="1">
      <alignment horizontal="left" vertical="center"/>
    </xf>
    <xf numFmtId="9" fontId="31" fillId="18" borderId="22" xfId="19" applyFont="1" applyFill="1" applyBorder="1" applyAlignment="1">
      <alignment horizontal="center"/>
    </xf>
    <xf numFmtId="174" fontId="31" fillId="18" borderId="0" xfId="18" applyNumberFormat="1" applyFont="1" applyFill="1" applyBorder="1" applyAlignment="1">
      <alignment horizontal="center"/>
    </xf>
    <xf numFmtId="0" fontId="31" fillId="14" borderId="31" xfId="17" applyFont="1" applyFill="1" applyBorder="1" applyAlignment="1">
      <alignment horizontal="center" vertical="center"/>
    </xf>
    <xf numFmtId="10" fontId="31" fillId="14" borderId="0" xfId="17" applyNumberFormat="1" applyFont="1" applyFill="1" applyAlignment="1">
      <alignment horizontal="right"/>
    </xf>
    <xf numFmtId="10" fontId="31" fillId="14" borderId="0" xfId="17" applyNumberFormat="1" applyFont="1" applyFill="1" applyAlignment="1">
      <alignment horizontal="center"/>
    </xf>
    <xf numFmtId="171" fontId="31" fillId="0" borderId="0" xfId="21" applyNumberFormat="1" applyFont="1" applyFill="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151" fillId="0" borderId="0" xfId="0" applyFont="1"/>
    <xf numFmtId="0" fontId="0" fillId="14" borderId="0" xfId="0" applyFill="1"/>
    <xf numFmtId="170" fontId="17" fillId="0" borderId="0" xfId="12" applyNumberFormat="1" applyFont="1" applyBorder="1" applyAlignment="1">
      <alignment horizontal="center"/>
    </xf>
    <xf numFmtId="43" fontId="0" fillId="0" borderId="0" xfId="11" applyFont="1"/>
    <xf numFmtId="0" fontId="19" fillId="0" borderId="0" xfId="12" applyFont="1" applyFill="1" applyBorder="1" applyAlignment="1">
      <alignment horizontal="left"/>
    </xf>
    <xf numFmtId="0" fontId="18" fillId="0" borderId="0" xfId="12" applyFont="1" applyFill="1" applyBorder="1" applyAlignment="1">
      <alignment horizontal="center"/>
    </xf>
    <xf numFmtId="0" fontId="0" fillId="0" borderId="0" xfId="0"/>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3" fillId="14" borderId="3" xfId="11" applyNumberFormat="1" applyFont="1" applyFill="1" applyBorder="1" applyAlignment="1">
      <alignment horizontal="right" vertical="center" wrapText="1"/>
    </xf>
    <xf numFmtId="169" fontId="12" fillId="14" borderId="3" xfId="11" applyNumberFormat="1" applyFont="1" applyFill="1" applyBorder="1" applyAlignment="1">
      <alignment horizontal="right" vertical="center" wrapText="1"/>
    </xf>
    <xf numFmtId="0" fontId="0" fillId="0" borderId="0" xfId="0" applyBorder="1"/>
    <xf numFmtId="0" fontId="0" fillId="14" borderId="0" xfId="0" applyFill="1" applyBorder="1"/>
    <xf numFmtId="43" fontId="0" fillId="14" borderId="0" xfId="11" applyFont="1" applyFill="1"/>
    <xf numFmtId="0" fontId="0" fillId="0" borderId="0" xfId="0" applyAlignment="1">
      <alignment horizontal="center"/>
    </xf>
    <xf numFmtId="0" fontId="30" fillId="114"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52" fillId="115" borderId="0" xfId="2" applyFont="1" applyFill="1" applyAlignment="1">
      <alignment horizontal="center" vertical="center"/>
    </xf>
    <xf numFmtId="170" fontId="30" fillId="20" borderId="0" xfId="5111" applyNumberFormat="1" applyFont="1" applyFill="1" applyAlignment="1">
      <alignment horizontal="center" vertical="center"/>
    </xf>
    <xf numFmtId="219" fontId="153" fillId="14" borderId="0" xfId="7867" applyNumberFormat="1" applyFont="1" applyFill="1" applyBorder="1" applyAlignment="1">
      <alignment horizontal="center" vertical="center"/>
    </xf>
    <xf numFmtId="0" fontId="154" fillId="0" borderId="0" xfId="0" applyFont="1" applyAlignment="1">
      <alignment horizontal="left"/>
    </xf>
    <xf numFmtId="0" fontId="9" fillId="0" borderId="0" xfId="0" applyFont="1" applyBorder="1"/>
    <xf numFmtId="172" fontId="155" fillId="14" borderId="0" xfId="21" applyFont="1" applyFill="1" applyBorder="1" applyAlignment="1">
      <alignment horizontal="right" vertical="center" indent="1"/>
    </xf>
    <xf numFmtId="0" fontId="31" fillId="14" borderId="0" xfId="17" applyFont="1" applyFill="1" applyBorder="1"/>
    <xf numFmtId="0" fontId="31" fillId="14" borderId="0" xfId="17" applyFont="1" applyFill="1" applyBorder="1" applyAlignment="1">
      <alignment horizontal="center"/>
    </xf>
    <xf numFmtId="0" fontId="30" fillId="9" borderId="16" xfId="17" applyFont="1" applyFill="1" applyBorder="1" applyAlignment="1">
      <alignment horizontal="center" vertical="center" wrapText="1"/>
    </xf>
    <xf numFmtId="170" fontId="20" fillId="0" borderId="110" xfId="13" applyNumberFormat="1" applyFont="1" applyFill="1" applyBorder="1" applyAlignment="1">
      <alignment horizontal="center"/>
    </xf>
    <xf numFmtId="169" fontId="20" fillId="0" borderId="110" xfId="13" applyNumberFormat="1" applyFont="1" applyFill="1" applyBorder="1" applyAlignment="1">
      <alignment horizontal="center"/>
    </xf>
    <xf numFmtId="0" fontId="33" fillId="14" borderId="0" xfId="17" applyFont="1" applyFill="1" applyAlignment="1">
      <alignment horizontal="center"/>
    </xf>
    <xf numFmtId="173" fontId="31" fillId="14" borderId="23" xfId="18" applyNumberFormat="1" applyFont="1" applyFill="1" applyBorder="1"/>
    <xf numFmtId="0" fontId="24" fillId="118" borderId="20" xfId="17" applyFont="1" applyFill="1" applyBorder="1" applyAlignment="1">
      <alignment horizontal="left" vertical="center"/>
    </xf>
    <xf numFmtId="173" fontId="31" fillId="0" borderId="20" xfId="18" applyNumberFormat="1" applyFont="1" applyFill="1" applyBorder="1"/>
    <xf numFmtId="173" fontId="25" fillId="20" borderId="18" xfId="17" applyNumberFormat="1" applyFont="1" applyFill="1" applyBorder="1" applyAlignment="1">
      <alignment horizontal="right" vertical="center" wrapText="1"/>
    </xf>
    <xf numFmtId="0" fontId="33" fillId="14" borderId="0" xfId="17" applyFont="1" applyFill="1" applyBorder="1" applyAlignment="1">
      <alignment horizontal="center"/>
    </xf>
    <xf numFmtId="170" fontId="20" fillId="0" borderId="110" xfId="23" applyNumberFormat="1" applyFont="1" applyFill="1" applyBorder="1" applyAlignment="1">
      <alignment horizontal="left" indent="2"/>
    </xf>
    <xf numFmtId="1" fontId="30" fillId="120" borderId="0" xfId="0" applyNumberFormat="1" applyFont="1" applyFill="1" applyAlignment="1">
      <alignment horizontal="center" vertical="center" wrapText="1"/>
    </xf>
    <xf numFmtId="0" fontId="25" fillId="20" borderId="18" xfId="17" applyFont="1" applyFill="1" applyBorder="1" applyAlignment="1">
      <alignment horizontal="center" vertical="center" wrapText="1"/>
    </xf>
    <xf numFmtId="0" fontId="30" fillId="14" borderId="0" xfId="17" applyFont="1" applyFill="1" applyBorder="1" applyAlignment="1">
      <alignment horizontal="center" vertical="center" wrapText="1"/>
    </xf>
    <xf numFmtId="0" fontId="30" fillId="9" borderId="15" xfId="17" applyFont="1" applyFill="1" applyBorder="1" applyAlignment="1">
      <alignment horizontal="center" vertical="center" wrapText="1"/>
    </xf>
    <xf numFmtId="0" fontId="30" fillId="9" borderId="11" xfId="17" applyFont="1" applyFill="1" applyBorder="1" applyAlignment="1">
      <alignment horizontal="center" vertical="center" wrapText="1"/>
    </xf>
    <xf numFmtId="172" fontId="156" fillId="14" borderId="0" xfId="21" applyFont="1" applyFill="1" applyBorder="1" applyAlignment="1">
      <alignment horizontal="right" vertical="center" indent="1"/>
    </xf>
    <xf numFmtId="1" fontId="31" fillId="14" borderId="0" xfId="17" applyNumberFormat="1" applyFont="1" applyFill="1"/>
    <xf numFmtId="0" fontId="31" fillId="14" borderId="0" xfId="17" applyFont="1" applyFill="1" applyAlignment="1">
      <alignment horizontal="left"/>
    </xf>
    <xf numFmtId="14" fontId="31" fillId="14" borderId="0" xfId="17" applyNumberFormat="1" applyFont="1" applyFill="1" applyAlignment="1">
      <alignment horizontal="right"/>
    </xf>
    <xf numFmtId="14" fontId="157" fillId="14" borderId="0" xfId="17" applyNumberFormat="1" applyFont="1" applyFill="1" applyAlignment="1">
      <alignment horizontal="right"/>
    </xf>
    <xf numFmtId="168" fontId="31" fillId="14" borderId="0" xfId="17" applyNumberFormat="1" applyFont="1" applyFill="1"/>
    <xf numFmtId="172" fontId="157" fillId="14" borderId="0" xfId="21" applyFont="1" applyFill="1" applyAlignment="1"/>
    <xf numFmtId="169" fontId="31" fillId="0" borderId="0" xfId="17" applyNumberFormat="1" applyFont="1"/>
    <xf numFmtId="41" fontId="31" fillId="0" borderId="0" xfId="17" applyNumberFormat="1" applyFont="1"/>
    <xf numFmtId="0" fontId="31" fillId="0" borderId="0" xfId="17" applyFont="1"/>
    <xf numFmtId="168" fontId="31" fillId="14" borderId="0" xfId="17" applyNumberFormat="1" applyFont="1" applyFill="1" applyAlignment="1">
      <alignment horizontal="center"/>
    </xf>
    <xf numFmtId="169" fontId="33" fillId="14" borderId="0" xfId="18" applyNumberFormat="1" applyFont="1" applyFill="1"/>
    <xf numFmtId="172" fontId="31" fillId="0" borderId="0" xfId="21" applyFont="1"/>
    <xf numFmtId="171" fontId="155" fillId="14" borderId="0" xfId="21" applyNumberFormat="1" applyFont="1" applyFill="1" applyBorder="1" applyAlignment="1">
      <alignment horizontal="left" vertical="center"/>
    </xf>
    <xf numFmtId="171" fontId="155" fillId="14" borderId="0" xfId="21" applyNumberFormat="1" applyFont="1" applyFill="1" applyBorder="1" applyAlignment="1">
      <alignment horizontal="left" vertical="center"/>
    </xf>
    <xf numFmtId="0" fontId="5" fillId="0" borderId="0" xfId="3" applyFill="1" applyBorder="1" applyAlignment="1">
      <alignment vertical="center"/>
    </xf>
    <xf numFmtId="0" fontId="158" fillId="0" borderId="0" xfId="0" applyFont="1"/>
    <xf numFmtId="0" fontId="159" fillId="0" borderId="0" xfId="0" applyFont="1"/>
    <xf numFmtId="0" fontId="160" fillId="0" borderId="0" xfId="0" applyFont="1"/>
    <xf numFmtId="0" fontId="0" fillId="0" borderId="0" xfId="0" applyFont="1"/>
    <xf numFmtId="0" fontId="162" fillId="0" borderId="0" xfId="0" applyFont="1"/>
    <xf numFmtId="0" fontId="9" fillId="14" borderId="0" xfId="0" applyFont="1" applyFill="1" applyBorder="1"/>
    <xf numFmtId="0" fontId="163" fillId="0" borderId="0" xfId="0" applyFont="1"/>
    <xf numFmtId="0" fontId="15" fillId="0" borderId="0" xfId="0" applyFont="1"/>
    <xf numFmtId="0" fontId="164" fillId="3" borderId="0" xfId="0" applyFont="1" applyFill="1"/>
    <xf numFmtId="0" fontId="165" fillId="3" borderId="0" xfId="0" applyFont="1" applyFill="1" applyAlignment="1">
      <alignment horizontal="center" vertical="center"/>
    </xf>
    <xf numFmtId="0" fontId="17" fillId="0" borderId="0" xfId="12" applyFont="1" applyFill="1" applyBorder="1" applyAlignment="1">
      <alignment horizontal="left"/>
    </xf>
    <xf numFmtId="0" fontId="166" fillId="0" borderId="0" xfId="12" applyFont="1" applyFill="1" applyBorder="1" applyAlignment="1">
      <alignment horizontal="left"/>
    </xf>
    <xf numFmtId="169" fontId="166" fillId="0" borderId="0" xfId="23" applyNumberFormat="1" applyFont="1" applyFill="1" applyBorder="1" applyAlignment="1">
      <alignment horizontal="center"/>
    </xf>
    <xf numFmtId="0" fontId="167" fillId="0" borderId="110" xfId="12" applyFont="1" applyFill="1" applyBorder="1" applyAlignment="1">
      <alignment horizontal="left"/>
    </xf>
    <xf numFmtId="170" fontId="167" fillId="0" borderId="110" xfId="23" applyNumberFormat="1" applyFont="1" applyFill="1" applyBorder="1" applyAlignment="1">
      <alignment horizontal="center"/>
    </xf>
    <xf numFmtId="169" fontId="167" fillId="0" borderId="110" xfId="23" applyNumberFormat="1" applyFont="1" applyFill="1" applyBorder="1" applyAlignment="1">
      <alignment horizontal="center"/>
    </xf>
    <xf numFmtId="0" fontId="168" fillId="0" borderId="0" xfId="0" applyFont="1" applyAlignment="1">
      <alignment vertical="center"/>
    </xf>
    <xf numFmtId="0" fontId="169" fillId="0" borderId="0" xfId="0" applyFont="1" applyAlignment="1">
      <alignment vertical="center"/>
    </xf>
    <xf numFmtId="0" fontId="170" fillId="0" borderId="0" xfId="0" applyFont="1"/>
    <xf numFmtId="0" fontId="170" fillId="3" borderId="0" xfId="0" applyFont="1" applyFill="1"/>
    <xf numFmtId="0" fontId="17" fillId="3" borderId="0" xfId="0" applyFont="1" applyFill="1" applyAlignment="1">
      <alignment horizontal="center" vertical="center"/>
    </xf>
    <xf numFmtId="0" fontId="171" fillId="4" borderId="2" xfId="0" applyFont="1" applyFill="1" applyBorder="1" applyAlignment="1">
      <alignment vertical="center"/>
    </xf>
    <xf numFmtId="0" fontId="171" fillId="4" borderId="6" xfId="0" applyFont="1" applyFill="1" applyBorder="1" applyAlignment="1">
      <alignment vertical="center"/>
    </xf>
    <xf numFmtId="0" fontId="172" fillId="5" borderId="3" xfId="0" applyFont="1" applyFill="1" applyBorder="1" applyAlignment="1">
      <alignment vertical="center" wrapText="1"/>
    </xf>
    <xf numFmtId="0" fontId="169"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71" fillId="7" borderId="8" xfId="0" applyFont="1" applyFill="1" applyBorder="1" applyAlignment="1">
      <alignment vertical="center"/>
    </xf>
    <xf numFmtId="170" fontId="171" fillId="7" borderId="5" xfId="11" applyNumberFormat="1" applyFont="1" applyFill="1" applyBorder="1" applyAlignment="1">
      <alignment horizontal="right" vertical="center" wrapText="1"/>
    </xf>
    <xf numFmtId="170" fontId="172" fillId="5" borderId="9" xfId="11" applyNumberFormat="1" applyFont="1" applyFill="1" applyBorder="1" applyAlignment="1">
      <alignment horizontal="right" vertical="center" wrapText="1"/>
    </xf>
    <xf numFmtId="169" fontId="172" fillId="5" borderId="9" xfId="0" applyNumberFormat="1" applyFont="1" applyFill="1" applyBorder="1" applyAlignment="1">
      <alignment wrapText="1"/>
    </xf>
    <xf numFmtId="0" fontId="171" fillId="7" borderId="0" xfId="0" applyFont="1" applyFill="1" applyAlignment="1">
      <alignment vertical="center"/>
    </xf>
    <xf numFmtId="170" fontId="171" fillId="7" borderId="9" xfId="11" applyNumberFormat="1" applyFont="1" applyFill="1" applyBorder="1" applyAlignment="1">
      <alignment horizontal="right" vertical="center" wrapText="1"/>
    </xf>
    <xf numFmtId="170" fontId="171" fillId="7" borderId="9" xfId="0" applyNumberFormat="1" applyFont="1" applyFill="1" applyBorder="1" applyAlignment="1">
      <alignment wrapText="1"/>
    </xf>
    <xf numFmtId="0" fontId="171" fillId="2" borderId="0" xfId="0" applyFont="1" applyFill="1" applyAlignment="1">
      <alignment vertical="center"/>
    </xf>
    <xf numFmtId="3" fontId="171" fillId="2" borderId="5" xfId="0" applyNumberFormat="1" applyFont="1" applyFill="1" applyBorder="1" applyAlignment="1">
      <alignment horizontal="right" vertical="center" wrapText="1"/>
    </xf>
    <xf numFmtId="0" fontId="171"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72"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72" fillId="8" borderId="2" xfId="0" applyFont="1" applyFill="1" applyBorder="1" applyAlignment="1">
      <alignment vertical="center" wrapText="1"/>
    </xf>
    <xf numFmtId="0" fontId="171" fillId="7" borderId="6" xfId="0" applyFont="1" applyFill="1" applyBorder="1" applyAlignment="1">
      <alignment vertical="center"/>
    </xf>
    <xf numFmtId="43" fontId="15" fillId="0" borderId="0" xfId="11" applyFont="1" applyFill="1" applyBorder="1"/>
    <xf numFmtId="169" fontId="163" fillId="0" borderId="0" xfId="0" applyNumberFormat="1" applyFont="1"/>
    <xf numFmtId="169" fontId="23" fillId="0" borderId="10" xfId="11" applyNumberFormat="1" applyFont="1" applyFill="1" applyBorder="1"/>
    <xf numFmtId="169" fontId="166" fillId="0" borderId="0" xfId="13" applyNumberFormat="1" applyFont="1" applyFill="1" applyBorder="1" applyAlignment="1">
      <alignment horizontal="center"/>
    </xf>
    <xf numFmtId="170" fontId="167" fillId="0" borderId="110" xfId="13" applyNumberFormat="1" applyFont="1" applyFill="1" applyBorder="1" applyAlignment="1">
      <alignment horizontal="center"/>
    </xf>
    <xf numFmtId="169" fontId="167" fillId="0" borderId="110" xfId="13" applyNumberFormat="1" applyFont="1" applyFill="1" applyBorder="1" applyAlignment="1">
      <alignment horizontal="center"/>
    </xf>
    <xf numFmtId="170" fontId="173" fillId="0" borderId="0" xfId="11" applyNumberFormat="1" applyFont="1" applyFill="1" applyBorder="1" applyAlignment="1">
      <alignment vertical="center"/>
    </xf>
    <xf numFmtId="170" fontId="163" fillId="0" borderId="0" xfId="0" applyNumberFormat="1" applyFont="1"/>
    <xf numFmtId="0" fontId="170" fillId="9" borderId="0" xfId="0" applyFont="1" applyFill="1"/>
    <xf numFmtId="0" fontId="17" fillId="9" borderId="0" xfId="0" applyFont="1" applyFill="1" applyAlignment="1">
      <alignment horizontal="center" vertical="center"/>
    </xf>
    <xf numFmtId="0" fontId="171" fillId="10" borderId="2" xfId="0" applyFont="1" applyFill="1" applyBorder="1" applyAlignment="1">
      <alignment vertical="center"/>
    </xf>
    <xf numFmtId="0" fontId="171" fillId="10" borderId="6" xfId="0" applyFont="1" applyFill="1" applyBorder="1" applyAlignment="1">
      <alignment vertical="center"/>
    </xf>
    <xf numFmtId="0" fontId="172" fillId="11" borderId="3" xfId="0" applyFont="1" applyFill="1" applyBorder="1" applyAlignment="1">
      <alignment vertical="center" wrapText="1"/>
    </xf>
    <xf numFmtId="0" fontId="169"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71" fillId="13" borderId="8" xfId="0" applyFont="1" applyFill="1" applyBorder="1" applyAlignment="1">
      <alignment vertical="center"/>
    </xf>
    <xf numFmtId="170" fontId="171" fillId="13" borderId="5" xfId="11" applyNumberFormat="1" applyFont="1" applyFill="1" applyBorder="1" applyAlignment="1">
      <alignment horizontal="right" vertical="center" wrapText="1"/>
    </xf>
    <xf numFmtId="170" fontId="172" fillId="11" borderId="9" xfId="11" applyNumberFormat="1" applyFont="1" applyFill="1" applyBorder="1" applyAlignment="1">
      <alignment horizontal="right" vertical="center" wrapText="1"/>
    </xf>
    <xf numFmtId="0" fontId="171" fillId="13" borderId="0" xfId="0" applyFont="1" applyFill="1" applyAlignment="1">
      <alignment vertical="center"/>
    </xf>
    <xf numFmtId="170" fontId="171" fillId="13" borderId="9" xfId="11" applyNumberFormat="1" applyFont="1" applyFill="1" applyBorder="1" applyAlignment="1">
      <alignment horizontal="right" vertical="center" wrapText="1"/>
    </xf>
    <xf numFmtId="0" fontId="171" fillId="14" borderId="0" xfId="0" applyFont="1" applyFill="1" applyAlignment="1">
      <alignment vertical="center"/>
    </xf>
    <xf numFmtId="3" fontId="171" fillId="14" borderId="5" xfId="0" applyNumberFormat="1" applyFont="1" applyFill="1" applyBorder="1" applyAlignment="1">
      <alignment horizontal="right" vertical="center" wrapText="1"/>
    </xf>
    <xf numFmtId="0" fontId="171"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72"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72" fillId="15" borderId="2" xfId="0" applyFont="1" applyFill="1" applyBorder="1" applyAlignment="1">
      <alignment vertical="center" wrapText="1"/>
    </xf>
    <xf numFmtId="0" fontId="171" fillId="13" borderId="6" xfId="0" applyFont="1" applyFill="1" applyBorder="1" applyAlignment="1">
      <alignment vertical="center"/>
    </xf>
    <xf numFmtId="0" fontId="167" fillId="0" borderId="0" xfId="12" applyFont="1" applyFill="1" applyBorder="1" applyAlignment="1">
      <alignment horizontal="left"/>
    </xf>
    <xf numFmtId="0" fontId="27" fillId="0" borderId="0" xfId="0" applyFont="1"/>
    <xf numFmtId="0" fontId="172"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4" fillId="0" borderId="0" xfId="0" applyFont="1" applyAlignment="1">
      <alignment horizontal="center" vertical="center"/>
    </xf>
    <xf numFmtId="0" fontId="174" fillId="0" borderId="114" xfId="0" applyFont="1" applyBorder="1"/>
    <xf numFmtId="38" fontId="175" fillId="0" borderId="114" xfId="0" applyNumberFormat="1" applyFont="1" applyBorder="1" applyAlignment="1">
      <alignment horizontal="center" vertical="center"/>
    </xf>
    <xf numFmtId="0" fontId="174" fillId="0" borderId="110" xfId="0" applyFont="1" applyBorder="1"/>
    <xf numFmtId="38" fontId="175" fillId="0" borderId="110" xfId="0" applyNumberFormat="1" applyFont="1" applyBorder="1" applyAlignment="1">
      <alignment horizontal="center" vertical="center"/>
    </xf>
    <xf numFmtId="0" fontId="165" fillId="16" borderId="11" xfId="0" applyFont="1" applyFill="1" applyBorder="1" applyAlignment="1">
      <alignment horizontal="left" vertical="center" wrapText="1"/>
    </xf>
    <xf numFmtId="0" fontId="165" fillId="16" borderId="11" xfId="0" applyFont="1" applyFill="1" applyBorder="1" applyAlignment="1">
      <alignment horizontal="center" vertical="center" wrapText="1"/>
    </xf>
    <xf numFmtId="0" fontId="17" fillId="0" borderId="0" xfId="12" applyFont="1" applyBorder="1" applyAlignment="1">
      <alignment horizontal="left"/>
    </xf>
    <xf numFmtId="169" fontId="167" fillId="0" borderId="0" xfId="13" applyNumberFormat="1" applyFont="1" applyFill="1" applyBorder="1" applyAlignment="1">
      <alignment horizontal="center"/>
    </xf>
    <xf numFmtId="0" fontId="169" fillId="11" borderId="4" xfId="0" applyFont="1" applyFill="1" applyBorder="1" applyAlignment="1">
      <alignment horizontal="right" vertical="center" wrapText="1"/>
    </xf>
    <xf numFmtId="170" fontId="171" fillId="13" borderId="4" xfId="11" applyNumberFormat="1" applyFont="1" applyFill="1" applyBorder="1" applyAlignment="1">
      <alignment horizontal="right" vertical="center" wrapText="1"/>
    </xf>
    <xf numFmtId="170" fontId="172" fillId="11" borderId="3" xfId="11" applyNumberFormat="1" applyFont="1" applyFill="1" applyBorder="1" applyAlignment="1">
      <alignment horizontal="right" vertical="center" wrapText="1"/>
    </xf>
    <xf numFmtId="170" fontId="171" fillId="13" borderId="3" xfId="11" applyNumberFormat="1" applyFont="1" applyFill="1" applyBorder="1" applyAlignment="1">
      <alignment horizontal="right" vertical="center" wrapText="1"/>
    </xf>
    <xf numFmtId="3" fontId="171" fillId="14" borderId="4" xfId="0" applyNumberFormat="1" applyFont="1" applyFill="1" applyBorder="1" applyAlignment="1">
      <alignment horizontal="right" vertical="center" wrapText="1"/>
    </xf>
    <xf numFmtId="0" fontId="171"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63" fillId="0" borderId="0" xfId="11" applyNumberFormat="1" applyFont="1"/>
    <xf numFmtId="169" fontId="166" fillId="0" borderId="0" xfId="13" applyNumberFormat="1" applyFont="1" applyFill="1" applyAlignment="1">
      <alignment horizontal="center"/>
    </xf>
    <xf numFmtId="170" fontId="166"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7" fillId="0" borderId="0" xfId="12" applyNumberFormat="1" applyFont="1" applyFill="1" applyBorder="1" applyAlignment="1">
      <alignment horizontal="left"/>
    </xf>
    <xf numFmtId="0" fontId="176" fillId="0" borderId="11" xfId="12" quotePrefix="1" applyFont="1" applyFill="1" applyBorder="1" applyAlignment="1">
      <alignment horizontal="left" vertical="center" wrapText="1"/>
    </xf>
    <xf numFmtId="0" fontId="17" fillId="0" borderId="0" xfId="12" applyFont="1" applyAlignment="1">
      <alignment horizontal="left"/>
    </xf>
    <xf numFmtId="0" fontId="17" fillId="0" borderId="0" xfId="12" applyFont="1" applyAlignment="1">
      <alignment horizontal="center"/>
    </xf>
    <xf numFmtId="0" fontId="166" fillId="0" borderId="0" xfId="12" applyFont="1" applyAlignment="1">
      <alignment horizontal="left"/>
    </xf>
    <xf numFmtId="169" fontId="166" fillId="0" borderId="0" xfId="13" applyNumberFormat="1" applyFont="1" applyAlignment="1">
      <alignment horizontal="center"/>
    </xf>
    <xf numFmtId="0" fontId="167" fillId="0" borderId="0" xfId="12" applyFont="1" applyAlignment="1">
      <alignment horizontal="left"/>
    </xf>
    <xf numFmtId="169" fontId="167" fillId="0" borderId="0" xfId="13" applyNumberFormat="1" applyFont="1" applyAlignment="1">
      <alignment horizontal="center"/>
    </xf>
    <xf numFmtId="0" fontId="167" fillId="0" borderId="110" xfId="12" applyFont="1" applyBorder="1" applyAlignment="1">
      <alignment horizontal="left"/>
    </xf>
    <xf numFmtId="170" fontId="167" fillId="0" borderId="110" xfId="13" applyNumberFormat="1" applyFont="1" applyBorder="1" applyAlignment="1">
      <alignment horizontal="center"/>
    </xf>
    <xf numFmtId="169" fontId="27" fillId="0" borderId="0" xfId="0" applyNumberFormat="1" applyFont="1"/>
    <xf numFmtId="0" fontId="171" fillId="13" borderId="100" xfId="0" applyFont="1" applyFill="1" applyBorder="1" applyAlignment="1">
      <alignment vertical="center"/>
    </xf>
    <xf numFmtId="0" fontId="172" fillId="11" borderId="4" xfId="0" applyFont="1" applyFill="1" applyBorder="1" applyAlignment="1">
      <alignment vertical="center" wrapText="1"/>
    </xf>
    <xf numFmtId="169" fontId="23" fillId="0" borderId="99" xfId="11" applyNumberFormat="1" applyFont="1" applyFill="1" applyBorder="1"/>
    <xf numFmtId="170" fontId="17" fillId="0" borderId="0" xfId="12" applyNumberFormat="1" applyFont="1" applyFill="1" applyBorder="1" applyAlignment="1">
      <alignment horizontal="center"/>
    </xf>
    <xf numFmtId="0" fontId="171" fillId="10" borderId="101" xfId="0" applyFont="1" applyFill="1" applyBorder="1" applyAlignment="1">
      <alignment vertical="center"/>
    </xf>
    <xf numFmtId="0" fontId="171" fillId="10" borderId="100" xfId="0" applyFont="1" applyFill="1" applyBorder="1" applyAlignment="1">
      <alignment vertical="center"/>
    </xf>
    <xf numFmtId="0" fontId="172" fillId="11" borderId="0" xfId="0" applyFont="1" applyFill="1" applyAlignment="1">
      <alignment vertical="center" wrapText="1"/>
    </xf>
    <xf numFmtId="0" fontId="169"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71" fillId="13" borderId="0" xfId="11" applyNumberFormat="1" applyFont="1" applyFill="1" applyBorder="1" applyAlignment="1">
      <alignment horizontal="right" vertical="center" wrapText="1"/>
    </xf>
    <xf numFmtId="170" fontId="172" fillId="11" borderId="0" xfId="11" applyNumberFormat="1" applyFont="1" applyFill="1" applyBorder="1" applyAlignment="1">
      <alignment horizontal="right" vertical="center" wrapText="1"/>
    </xf>
    <xf numFmtId="3" fontId="171" fillId="14" borderId="0" xfId="0" applyNumberFormat="1" applyFont="1" applyFill="1" applyAlignment="1">
      <alignment horizontal="right" vertical="center" wrapText="1"/>
    </xf>
    <xf numFmtId="0" fontId="171" fillId="10" borderId="0" xfId="0" applyFont="1" applyFill="1" applyAlignment="1">
      <alignment vertical="center"/>
    </xf>
    <xf numFmtId="0" fontId="171" fillId="10" borderId="0" xfId="0" applyFont="1" applyFill="1" applyAlignment="1">
      <alignment horizontal="right" vertical="center"/>
    </xf>
    <xf numFmtId="0" fontId="23" fillId="11" borderId="0" xfId="0" applyFont="1" applyFill="1" applyAlignment="1">
      <alignment horizontal="right" vertical="center" wrapText="1"/>
    </xf>
    <xf numFmtId="0" fontId="172" fillId="15" borderId="0" xfId="0" applyFont="1" applyFill="1" applyAlignment="1">
      <alignment vertical="center" wrapText="1"/>
    </xf>
    <xf numFmtId="0" fontId="23" fillId="15" borderId="0" xfId="0" applyFont="1" applyFill="1" applyAlignment="1">
      <alignment horizontal="right" vertical="center" wrapText="1"/>
    </xf>
    <xf numFmtId="0" fontId="27"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2" xfId="0" applyFont="1" applyFill="1" applyBorder="1" applyAlignment="1">
      <alignment horizontal="left" vertical="center" wrapText="1" indent="1"/>
    </xf>
    <xf numFmtId="169" fontId="23" fillId="14" borderId="13" xfId="11" applyNumberFormat="1" applyFont="1" applyFill="1" applyBorder="1"/>
    <xf numFmtId="0" fontId="171" fillId="13" borderId="0" xfId="0" applyFont="1" applyFill="1" applyBorder="1" applyAlignment="1">
      <alignment vertical="center"/>
    </xf>
    <xf numFmtId="0" fontId="172" fillId="11" borderId="0" xfId="0" applyFont="1" applyFill="1" applyBorder="1" applyAlignment="1">
      <alignment vertical="center" wrapText="1"/>
    </xf>
    <xf numFmtId="0" fontId="169" fillId="11" borderId="0" xfId="0" applyFont="1" applyFill="1" applyBorder="1" applyAlignment="1">
      <alignment horizontal="right" vertical="center" wrapText="1"/>
    </xf>
    <xf numFmtId="0" fontId="23" fillId="14" borderId="0" xfId="0" applyFont="1" applyFill="1" applyBorder="1" applyAlignment="1">
      <alignment horizontal="left" vertical="center" wrapText="1" indent="1"/>
    </xf>
    <xf numFmtId="0" fontId="171" fillId="14" borderId="0" xfId="0" applyFont="1" applyFill="1" applyBorder="1" applyAlignment="1">
      <alignment vertical="center"/>
    </xf>
    <xf numFmtId="3" fontId="171" fillId="14" borderId="0" xfId="0" applyNumberFormat="1" applyFont="1" applyFill="1" applyBorder="1" applyAlignment="1">
      <alignment horizontal="right" vertical="center" wrapText="1"/>
    </xf>
    <xf numFmtId="0" fontId="171" fillId="10" borderId="0" xfId="0" applyFont="1" applyFill="1" applyBorder="1" applyAlignment="1">
      <alignment vertical="center"/>
    </xf>
    <xf numFmtId="0" fontId="172" fillId="15" borderId="0" xfId="0" applyFont="1" applyFill="1" applyBorder="1" applyAlignment="1">
      <alignment vertical="center" wrapText="1"/>
    </xf>
    <xf numFmtId="0" fontId="23" fillId="15" borderId="0" xfId="0" applyFont="1" applyFill="1" applyBorder="1" applyAlignment="1">
      <alignment horizontal="right" vertical="center" wrapText="1"/>
    </xf>
    <xf numFmtId="0" fontId="170" fillId="0" borderId="0" xfId="0" applyFont="1" applyBorder="1"/>
    <xf numFmtId="0" fontId="27" fillId="0" borderId="0" xfId="0" applyFont="1" applyBorder="1"/>
    <xf numFmtId="0" fontId="23" fillId="12" borderId="0" xfId="0" applyFont="1" applyFill="1" applyAlignment="1">
      <alignment horizontal="left" vertical="center" wrapText="1" indent="1"/>
    </xf>
    <xf numFmtId="43" fontId="27" fillId="0" borderId="0" xfId="11" applyFont="1" applyBorder="1"/>
    <xf numFmtId="0" fontId="164" fillId="9" borderId="0" xfId="0" applyFont="1" applyFill="1"/>
    <xf numFmtId="0" fontId="165" fillId="9" borderId="0" xfId="0" applyFont="1" applyFill="1" applyAlignment="1">
      <alignment horizontal="center" vertical="center"/>
    </xf>
    <xf numFmtId="43" fontId="27" fillId="0" borderId="0" xfId="11" applyFont="1"/>
    <xf numFmtId="0" fontId="177" fillId="14" borderId="0" xfId="17" applyFont="1" applyFill="1" applyAlignment="1">
      <alignment horizontal="center" vertical="center" wrapText="1"/>
    </xf>
    <xf numFmtId="172" fontId="178" fillId="14" borderId="0" xfId="21" applyFont="1" applyFill="1" applyBorder="1" applyAlignment="1">
      <alignment horizontal="right" vertical="center" indent="1"/>
    </xf>
    <xf numFmtId="0" fontId="165" fillId="17" borderId="18" xfId="17" applyFont="1" applyFill="1" applyBorder="1" applyAlignment="1">
      <alignment vertical="center" wrapText="1"/>
    </xf>
    <xf numFmtId="0" fontId="165" fillId="17" borderId="18" xfId="17" applyFont="1" applyFill="1" applyBorder="1" applyAlignment="1">
      <alignment horizontal="left" vertical="center" wrapText="1"/>
    </xf>
    <xf numFmtId="172" fontId="179" fillId="14" borderId="0" xfId="21" applyFont="1" applyFill="1" applyBorder="1" applyAlignment="1">
      <alignment horizontal="right" vertical="center" indent="1"/>
    </xf>
    <xf numFmtId="173" fontId="165" fillId="17" borderId="18" xfId="17" applyNumberFormat="1" applyFont="1" applyFill="1" applyBorder="1" applyAlignment="1">
      <alignment horizontal="right" vertical="center" wrapText="1"/>
    </xf>
    <xf numFmtId="169" fontId="165" fillId="17" borderId="18" xfId="18" applyNumberFormat="1" applyFont="1" applyFill="1" applyBorder="1" applyAlignment="1">
      <alignment horizontal="right" vertical="center" wrapText="1"/>
    </xf>
    <xf numFmtId="169" fontId="177" fillId="14" borderId="0" xfId="18" applyNumberFormat="1" applyFont="1" applyFill="1" applyBorder="1" applyAlignment="1">
      <alignment horizontal="right" vertical="center" wrapText="1"/>
    </xf>
    <xf numFmtId="0" fontId="177" fillId="14" borderId="0" xfId="17" applyFont="1" applyFill="1" applyAlignment="1">
      <alignment horizontal="left" vertical="center" wrapText="1"/>
    </xf>
    <xf numFmtId="173" fontId="177" fillId="14" borderId="0" xfId="17" applyNumberFormat="1" applyFont="1" applyFill="1" applyAlignment="1">
      <alignment horizontal="right" vertical="center" wrapText="1"/>
    </xf>
    <xf numFmtId="0" fontId="179" fillId="18" borderId="23" xfId="17" applyFont="1" applyFill="1" applyBorder="1" applyAlignment="1">
      <alignment horizontal="left" vertical="center" indent="1"/>
    </xf>
    <xf numFmtId="171" fontId="179" fillId="18" borderId="20" xfId="18" applyNumberFormat="1" applyFont="1" applyFill="1" applyBorder="1" applyAlignment="1">
      <alignment horizontal="center"/>
    </xf>
    <xf numFmtId="14" fontId="179" fillId="18" borderId="20" xfId="18" applyNumberFormat="1" applyFont="1" applyFill="1" applyBorder="1" applyAlignment="1">
      <alignment horizontal="center"/>
    </xf>
    <xf numFmtId="14" fontId="179" fillId="0" borderId="20" xfId="18" applyNumberFormat="1" applyFont="1" applyFill="1" applyBorder="1" applyAlignment="1">
      <alignment horizontal="center"/>
    </xf>
    <xf numFmtId="1" fontId="179" fillId="14" borderId="20" xfId="17" applyNumberFormat="1" applyFont="1" applyFill="1" applyBorder="1" applyAlignment="1">
      <alignment horizontal="center"/>
    </xf>
    <xf numFmtId="9" fontId="179" fillId="18" borderId="21" xfId="19" applyFont="1" applyFill="1" applyBorder="1" applyAlignment="1">
      <alignment horizontal="right"/>
    </xf>
    <xf numFmtId="0" fontId="179" fillId="18" borderId="22" xfId="19" applyNumberFormat="1" applyFont="1" applyFill="1" applyBorder="1" applyAlignment="1">
      <alignment horizontal="center" vertical="center" wrapText="1"/>
    </xf>
    <xf numFmtId="174" fontId="179" fillId="0" borderId="23" xfId="19" applyNumberFormat="1" applyFont="1" applyFill="1" applyBorder="1" applyAlignment="1">
      <alignment horizontal="left"/>
    </xf>
    <xf numFmtId="169" fontId="179" fillId="0" borderId="20" xfId="18" applyNumberFormat="1" applyFont="1" applyFill="1" applyBorder="1"/>
    <xf numFmtId="173" fontId="179" fillId="14" borderId="20" xfId="18" applyNumberFormat="1" applyFont="1" applyFill="1" applyBorder="1"/>
    <xf numFmtId="169" fontId="179" fillId="14" borderId="20" xfId="18" applyNumberFormat="1" applyFont="1" applyFill="1" applyBorder="1"/>
    <xf numFmtId="174" fontId="179" fillId="18" borderId="23" xfId="19" applyNumberFormat="1" applyFont="1" applyFill="1" applyBorder="1" applyAlignment="1">
      <alignment horizontal="left"/>
    </xf>
    <xf numFmtId="0" fontId="179" fillId="14" borderId="109" xfId="17" applyFont="1" applyFill="1" applyBorder="1"/>
    <xf numFmtId="0" fontId="179" fillId="14" borderId="0" xfId="17" applyFont="1" applyFill="1"/>
    <xf numFmtId="0" fontId="179" fillId="14" borderId="0" xfId="17" applyFont="1" applyFill="1" applyAlignment="1">
      <alignment horizontal="right"/>
    </xf>
    <xf numFmtId="174" fontId="179" fillId="14" borderId="0" xfId="17" applyNumberFormat="1" applyFont="1" applyFill="1" applyAlignment="1">
      <alignment horizontal="left"/>
    </xf>
    <xf numFmtId="174" fontId="179" fillId="0" borderId="0" xfId="17" applyNumberFormat="1" applyFont="1" applyAlignment="1">
      <alignment horizontal="left"/>
    </xf>
    <xf numFmtId="173" fontId="177" fillId="19" borderId="20" xfId="17" applyNumberFormat="1" applyFont="1" applyFill="1" applyBorder="1" applyAlignment="1">
      <alignment horizontal="right" vertical="center" wrapText="1"/>
    </xf>
    <xf numFmtId="169" fontId="177" fillId="19" borderId="20" xfId="18" applyNumberFormat="1" applyFont="1" applyFill="1" applyBorder="1" applyAlignment="1">
      <alignment horizontal="right" vertical="center" wrapText="1"/>
    </xf>
    <xf numFmtId="0" fontId="179" fillId="18" borderId="0" xfId="17" applyFont="1" applyFill="1" applyAlignment="1">
      <alignment horizontal="left" vertical="center" indent="1"/>
    </xf>
    <xf numFmtId="14" fontId="179" fillId="18" borderId="0" xfId="18" applyNumberFormat="1" applyFont="1" applyFill="1" applyBorder="1" applyAlignment="1">
      <alignment horizontal="center"/>
    </xf>
    <xf numFmtId="1" fontId="179" fillId="14" borderId="0" xfId="17" applyNumberFormat="1" applyFont="1" applyFill="1" applyAlignment="1">
      <alignment horizontal="center"/>
    </xf>
    <xf numFmtId="9" fontId="179" fillId="18" borderId="0" xfId="19" applyFont="1" applyFill="1" applyBorder="1" applyAlignment="1">
      <alignment horizontal="center"/>
    </xf>
    <xf numFmtId="174" fontId="179" fillId="18" borderId="0" xfId="19" applyNumberFormat="1" applyFont="1" applyFill="1" applyBorder="1" applyAlignment="1">
      <alignment horizontal="left"/>
    </xf>
    <xf numFmtId="174" fontId="179" fillId="0" borderId="0" xfId="19" applyNumberFormat="1" applyFont="1" applyFill="1" applyBorder="1" applyAlignment="1">
      <alignment horizontal="left"/>
    </xf>
    <xf numFmtId="171" fontId="179" fillId="18" borderId="0" xfId="18" applyNumberFormat="1" applyFont="1" applyFill="1" applyBorder="1" applyAlignment="1"/>
    <xf numFmtId="1" fontId="179" fillId="18" borderId="0" xfId="18" applyNumberFormat="1" applyFont="1" applyFill="1" applyBorder="1" applyAlignment="1">
      <alignment horizontal="center"/>
    </xf>
    <xf numFmtId="10" fontId="179" fillId="18" borderId="0" xfId="19" applyNumberFormat="1" applyFont="1" applyFill="1" applyBorder="1" applyAlignment="1">
      <alignment horizontal="right"/>
    </xf>
    <xf numFmtId="10" fontId="179" fillId="18" borderId="0" xfId="19" applyNumberFormat="1" applyFont="1" applyFill="1" applyBorder="1" applyAlignment="1">
      <alignment horizontal="center"/>
    </xf>
    <xf numFmtId="9" fontId="179" fillId="0" borderId="21" xfId="19" applyFont="1" applyFill="1" applyBorder="1" applyAlignment="1">
      <alignment horizontal="right"/>
    </xf>
    <xf numFmtId="0" fontId="179" fillId="0" borderId="22" xfId="19" applyNumberFormat="1" applyFont="1" applyFill="1" applyBorder="1" applyAlignment="1">
      <alignment horizontal="center" vertical="center" wrapText="1"/>
    </xf>
    <xf numFmtId="0" fontId="179" fillId="14" borderId="0" xfId="17" applyFont="1" applyFill="1" applyBorder="1"/>
    <xf numFmtId="0" fontId="177" fillId="14" borderId="0" xfId="17" applyFont="1" applyFill="1" applyAlignment="1">
      <alignment vertical="center" wrapText="1"/>
    </xf>
    <xf numFmtId="0" fontId="179" fillId="0" borderId="20" xfId="17" applyFont="1" applyBorder="1" applyAlignment="1">
      <alignment horizontal="left" vertical="center" indent="1"/>
    </xf>
    <xf numFmtId="1" fontId="179" fillId="0" borderId="20" xfId="17" applyNumberFormat="1" applyFont="1" applyBorder="1" applyAlignment="1">
      <alignment horizontal="center"/>
    </xf>
    <xf numFmtId="171" fontId="179" fillId="18" borderId="0" xfId="18" applyNumberFormat="1" applyFont="1" applyFill="1" applyBorder="1" applyAlignment="1">
      <alignment horizontal="center"/>
    </xf>
    <xf numFmtId="174" fontId="179" fillId="18" borderId="0" xfId="19" applyNumberFormat="1" applyFont="1" applyFill="1" applyBorder="1" applyAlignment="1">
      <alignment horizontal="center"/>
    </xf>
    <xf numFmtId="174" fontId="179" fillId="0" borderId="0" xfId="19" applyNumberFormat="1" applyFont="1" applyFill="1" applyBorder="1" applyAlignment="1">
      <alignment horizontal="center"/>
    </xf>
    <xf numFmtId="171" fontId="179" fillId="18" borderId="0" xfId="17" applyNumberFormat="1" applyFont="1" applyFill="1" applyAlignment="1">
      <alignment horizontal="left" vertical="center" indent="1"/>
    </xf>
    <xf numFmtId="0" fontId="179" fillId="14" borderId="0" xfId="17" applyFont="1" applyFill="1" applyAlignment="1">
      <alignment horizontal="center" vertical="center"/>
    </xf>
    <xf numFmtId="173" fontId="177" fillId="14" borderId="0" xfId="17" applyNumberFormat="1" applyFont="1" applyFill="1" applyAlignment="1">
      <alignment horizontal="center" vertical="center" wrapText="1"/>
    </xf>
    <xf numFmtId="0" fontId="179" fillId="18" borderId="20" xfId="17" applyFont="1" applyFill="1" applyBorder="1" applyAlignment="1">
      <alignment horizontal="left" vertical="center" indent="1"/>
    </xf>
    <xf numFmtId="169" fontId="23" fillId="0" borderId="20" xfId="18" applyNumberFormat="1" applyFont="1" applyFill="1" applyBorder="1"/>
    <xf numFmtId="9" fontId="179" fillId="18" borderId="23" xfId="19" applyFont="1" applyFill="1" applyBorder="1" applyAlignment="1">
      <alignment horizontal="left"/>
    </xf>
    <xf numFmtId="0" fontId="179" fillId="14" borderId="20" xfId="17" applyFont="1" applyFill="1" applyBorder="1" applyAlignment="1">
      <alignment horizontal="center" vertical="center"/>
    </xf>
    <xf numFmtId="169" fontId="179" fillId="14" borderId="0" xfId="18" applyNumberFormat="1" applyFont="1" applyFill="1" applyBorder="1" applyAlignment="1">
      <alignment horizontal="center" vertical="center"/>
    </xf>
    <xf numFmtId="0" fontId="179" fillId="14" borderId="20" xfId="17" applyFont="1" applyFill="1" applyBorder="1" applyAlignment="1">
      <alignment horizontal="center" vertical="center" wrapText="1"/>
    </xf>
    <xf numFmtId="0" fontId="179" fillId="14" borderId="23" xfId="17" applyFont="1" applyFill="1" applyBorder="1" applyAlignment="1">
      <alignment horizontal="left" vertical="center" indent="1"/>
    </xf>
    <xf numFmtId="0" fontId="179" fillId="14" borderId="20" xfId="17" applyFont="1" applyFill="1" applyBorder="1" applyAlignment="1">
      <alignment horizontal="left" vertical="center" indent="1"/>
    </xf>
    <xf numFmtId="14" fontId="179" fillId="14" borderId="20" xfId="18" applyNumberFormat="1" applyFont="1" applyFill="1" applyBorder="1" applyAlignment="1">
      <alignment horizontal="center"/>
    </xf>
    <xf numFmtId="9" fontId="179" fillId="14" borderId="21" xfId="19" applyFont="1" applyFill="1" applyBorder="1" applyAlignment="1">
      <alignment horizontal="right"/>
    </xf>
    <xf numFmtId="0" fontId="179" fillId="14" borderId="22" xfId="19" applyNumberFormat="1" applyFont="1" applyFill="1" applyBorder="1" applyAlignment="1">
      <alignment horizontal="center" vertical="center" wrapText="1"/>
    </xf>
    <xf numFmtId="174" fontId="179" fillId="14" borderId="23" xfId="19" applyNumberFormat="1" applyFont="1" applyFill="1" applyBorder="1" applyAlignment="1">
      <alignment horizontal="left"/>
    </xf>
    <xf numFmtId="0" fontId="179" fillId="0" borderId="23" xfId="17" applyFont="1" applyBorder="1" applyAlignment="1">
      <alignment horizontal="left" vertical="center" indent="1"/>
    </xf>
    <xf numFmtId="173" fontId="179" fillId="0" borderId="20" xfId="18" applyNumberFormat="1" applyFont="1" applyFill="1" applyBorder="1"/>
    <xf numFmtId="169" fontId="179" fillId="14" borderId="0" xfId="18" applyNumberFormat="1" applyFont="1" applyFill="1" applyBorder="1" applyAlignment="1">
      <alignment vertical="center"/>
    </xf>
    <xf numFmtId="174" fontId="177" fillId="14" borderId="0" xfId="17" applyNumberFormat="1" applyFont="1" applyFill="1" applyAlignment="1">
      <alignment horizontal="center" vertical="center" wrapText="1"/>
    </xf>
    <xf numFmtId="10" fontId="179" fillId="18" borderId="23" xfId="19" applyNumberFormat="1" applyFont="1" applyFill="1" applyBorder="1" applyAlignment="1">
      <alignment horizontal="left"/>
    </xf>
    <xf numFmtId="14" fontId="179" fillId="18" borderId="28" xfId="18" applyNumberFormat="1" applyFont="1" applyFill="1" applyBorder="1" applyAlignment="1">
      <alignment horizontal="center"/>
    </xf>
    <xf numFmtId="0" fontId="179" fillId="14" borderId="29" xfId="17" applyFont="1" applyFill="1" applyBorder="1"/>
    <xf numFmtId="173" fontId="177" fillId="14" borderId="20" xfId="17" applyNumberFormat="1" applyFont="1" applyFill="1" applyBorder="1" applyAlignment="1">
      <alignment horizontal="right" vertical="center" wrapText="1"/>
    </xf>
    <xf numFmtId="0" fontId="179" fillId="18" borderId="28" xfId="19" applyNumberFormat="1" applyFont="1" applyFill="1" applyBorder="1" applyAlignment="1">
      <alignment horizontal="center" vertical="center" wrapText="1"/>
    </xf>
    <xf numFmtId="0" fontId="179" fillId="14" borderId="0" xfId="17" applyFont="1" applyFill="1" applyAlignment="1">
      <alignment horizontal="center"/>
    </xf>
    <xf numFmtId="174" fontId="179" fillId="14" borderId="0" xfId="17" applyNumberFormat="1" applyFont="1" applyFill="1" applyAlignment="1">
      <alignment horizontal="center"/>
    </xf>
    <xf numFmtId="174" fontId="177" fillId="0" borderId="0" xfId="17" applyNumberFormat="1" applyFont="1" applyAlignment="1">
      <alignment horizontal="center" vertical="center" wrapText="1"/>
    </xf>
    <xf numFmtId="0" fontId="179" fillId="0" borderId="28" xfId="19" applyNumberFormat="1" applyFont="1" applyFill="1" applyBorder="1" applyAlignment="1">
      <alignment horizontal="center" vertical="center" wrapText="1"/>
    </xf>
    <xf numFmtId="10" fontId="179" fillId="0" borderId="23" xfId="19" applyNumberFormat="1" applyFont="1" applyFill="1" applyBorder="1" applyAlignment="1">
      <alignment horizontal="left"/>
    </xf>
    <xf numFmtId="0" fontId="165" fillId="20" borderId="18" xfId="17" applyFont="1" applyFill="1" applyBorder="1" applyAlignment="1">
      <alignment horizontal="center" vertical="center" wrapText="1"/>
    </xf>
    <xf numFmtId="174" fontId="165" fillId="20" borderId="18" xfId="17" applyNumberFormat="1" applyFont="1" applyFill="1" applyBorder="1" applyAlignment="1">
      <alignment horizontal="center" vertical="center" wrapText="1"/>
    </xf>
    <xf numFmtId="169" fontId="165" fillId="20" borderId="18" xfId="18" applyNumberFormat="1" applyFont="1" applyFill="1" applyBorder="1" applyAlignment="1">
      <alignment horizontal="center" vertical="center" wrapText="1"/>
    </xf>
    <xf numFmtId="173" fontId="165" fillId="20" borderId="30" xfId="17" applyNumberFormat="1" applyFont="1" applyFill="1" applyBorder="1" applyAlignment="1">
      <alignment horizontal="right" vertical="center" wrapText="1"/>
    </xf>
    <xf numFmtId="0" fontId="179" fillId="18" borderId="111" xfId="17" applyFont="1" applyFill="1" applyBorder="1" applyAlignment="1">
      <alignment horizontal="left" vertical="center" indent="1"/>
    </xf>
    <xf numFmtId="171" fontId="179" fillId="18" borderId="19" xfId="18" applyNumberFormat="1" applyFont="1" applyFill="1" applyBorder="1" applyAlignment="1">
      <alignment horizontal="center"/>
    </xf>
    <xf numFmtId="14" fontId="179" fillId="18" borderId="19" xfId="18" applyNumberFormat="1" applyFont="1" applyFill="1" applyBorder="1" applyAlignment="1">
      <alignment horizontal="center"/>
    </xf>
    <xf numFmtId="14" fontId="179" fillId="0" borderId="19" xfId="18" applyNumberFormat="1" applyFont="1" applyFill="1" applyBorder="1" applyAlignment="1">
      <alignment horizontal="center"/>
    </xf>
    <xf numFmtId="1" fontId="179" fillId="14" borderId="19" xfId="17" applyNumberFormat="1" applyFont="1" applyFill="1" applyBorder="1" applyAlignment="1">
      <alignment horizontal="center"/>
    </xf>
    <xf numFmtId="9" fontId="179" fillId="18" borderId="116" xfId="19" applyFont="1" applyFill="1" applyBorder="1" applyAlignment="1">
      <alignment horizontal="right"/>
    </xf>
    <xf numFmtId="0" fontId="179" fillId="18" borderId="26" xfId="19" applyNumberFormat="1" applyFont="1" applyFill="1" applyBorder="1" applyAlignment="1">
      <alignment horizontal="center" vertical="center" wrapText="1"/>
    </xf>
    <xf numFmtId="174" fontId="179" fillId="18" borderId="111" xfId="19" applyNumberFormat="1" applyFont="1" applyFill="1" applyBorder="1" applyAlignment="1">
      <alignment horizontal="left"/>
    </xf>
    <xf numFmtId="169" fontId="179" fillId="0" borderId="19" xfId="18" applyNumberFormat="1" applyFont="1" applyFill="1" applyBorder="1"/>
    <xf numFmtId="0" fontId="179" fillId="14" borderId="38" xfId="17" applyFont="1" applyFill="1" applyBorder="1"/>
    <xf numFmtId="0" fontId="179" fillId="18" borderId="117" xfId="17" applyFont="1" applyFill="1" applyBorder="1" applyAlignment="1">
      <alignment horizontal="left" vertical="center" indent="1"/>
    </xf>
    <xf numFmtId="14" fontId="179" fillId="18" borderId="117" xfId="18" applyNumberFormat="1" applyFont="1" applyFill="1" applyBorder="1" applyAlignment="1">
      <alignment horizontal="center"/>
    </xf>
    <xf numFmtId="1" fontId="179" fillId="14" borderId="117" xfId="17" applyNumberFormat="1" applyFont="1" applyFill="1" applyBorder="1" applyAlignment="1">
      <alignment horizontal="center"/>
    </xf>
    <xf numFmtId="9" fontId="179" fillId="18" borderId="117" xfId="19" applyFont="1" applyFill="1" applyBorder="1" applyAlignment="1">
      <alignment horizontal="right"/>
    </xf>
    <xf numFmtId="9" fontId="179" fillId="18" borderId="117" xfId="19" applyFont="1" applyFill="1" applyBorder="1" applyAlignment="1">
      <alignment horizontal="center"/>
    </xf>
    <xf numFmtId="174" fontId="179" fillId="18" borderId="117" xfId="19" applyNumberFormat="1" applyFont="1" applyFill="1" applyBorder="1" applyAlignment="1">
      <alignment horizontal="left"/>
    </xf>
    <xf numFmtId="172" fontId="179" fillId="14" borderId="117" xfId="21" applyFont="1" applyFill="1" applyBorder="1" applyAlignment="1">
      <alignment horizontal="right" vertical="center" indent="1"/>
    </xf>
    <xf numFmtId="174" fontId="179" fillId="0" borderId="118" xfId="19" applyNumberFormat="1" applyFont="1" applyFill="1" applyBorder="1" applyAlignment="1">
      <alignment horizontal="left"/>
    </xf>
    <xf numFmtId="8" fontId="27" fillId="0" borderId="0" xfId="0" applyNumberFormat="1" applyFont="1" applyFill="1" applyBorder="1"/>
    <xf numFmtId="0" fontId="180" fillId="0" borderId="0" xfId="3" applyFont="1" applyBorder="1"/>
    <xf numFmtId="0" fontId="27" fillId="14" borderId="0" xfId="0" applyFont="1" applyFill="1" applyBorder="1"/>
    <xf numFmtId="0" fontId="180" fillId="14" borderId="0" xfId="3" applyFont="1" applyFill="1" applyBorder="1"/>
    <xf numFmtId="0" fontId="180" fillId="0" borderId="0" xfId="3" applyFont="1" applyBorder="1" applyAlignment="1"/>
    <xf numFmtId="0" fontId="9" fillId="123" borderId="0" xfId="0" applyFont="1" applyFill="1"/>
    <xf numFmtId="0" fontId="181" fillId="123" borderId="0" xfId="0" applyFont="1" applyFill="1"/>
    <xf numFmtId="8" fontId="182" fillId="123" borderId="0" xfId="0" applyNumberFormat="1" applyFont="1" applyFill="1"/>
    <xf numFmtId="0" fontId="182" fillId="123" borderId="0" xfId="0" applyFont="1" applyFill="1"/>
    <xf numFmtId="0" fontId="26" fillId="123" borderId="0" xfId="0" applyFont="1" applyFill="1"/>
    <xf numFmtId="0" fontId="92" fillId="14" borderId="0" xfId="14" applyFont="1" applyFill="1"/>
    <xf numFmtId="0" fontId="183" fillId="14" borderId="0" xfId="14" applyFont="1" applyFill="1"/>
    <xf numFmtId="171" fontId="92" fillId="14" borderId="0" xfId="15" applyNumberFormat="1" applyFont="1" applyFill="1" applyBorder="1"/>
    <xf numFmtId="171" fontId="184" fillId="14" borderId="0" xfId="0" applyNumberFormat="1" applyFont="1" applyFill="1"/>
    <xf numFmtId="0" fontId="25" fillId="119" borderId="11" xfId="0" applyFont="1" applyFill="1" applyBorder="1" applyAlignment="1">
      <alignment horizontal="left" vertical="center" wrapText="1"/>
    </xf>
    <xf numFmtId="0" fontId="25" fillId="119" borderId="11" xfId="0" applyFont="1" applyFill="1" applyBorder="1" applyAlignment="1">
      <alignment horizontal="center" vertical="center" wrapText="1"/>
    </xf>
    <xf numFmtId="0" fontId="185" fillId="0" borderId="105" xfId="0" applyFont="1" applyBorder="1" applyAlignment="1">
      <alignment horizontal="left" vertical="center"/>
    </xf>
    <xf numFmtId="3" fontId="185" fillId="0" borderId="105" xfId="0" applyNumberFormat="1" applyFont="1" applyBorder="1" applyAlignment="1">
      <alignment horizontal="center" vertical="center"/>
    </xf>
    <xf numFmtId="14" fontId="185" fillId="0" borderId="105" xfId="0" applyNumberFormat="1" applyFont="1" applyBorder="1" applyAlignment="1">
      <alignment horizontal="center" vertical="center"/>
    </xf>
    <xf numFmtId="9" fontId="185" fillId="0" borderId="106" xfId="0" applyNumberFormat="1" applyFont="1" applyBorder="1" applyAlignment="1">
      <alignment horizontal="center" vertical="center"/>
    </xf>
    <xf numFmtId="175" fontId="185" fillId="0" borderId="105" xfId="0" applyNumberFormat="1" applyFont="1" applyBorder="1" applyAlignment="1">
      <alignment horizontal="center" vertical="center"/>
    </xf>
    <xf numFmtId="0" fontId="185" fillId="0" borderId="107" xfId="0" applyFont="1" applyBorder="1" applyAlignment="1">
      <alignment horizontal="left" vertical="center"/>
    </xf>
    <xf numFmtId="3" fontId="185" fillId="0" borderId="107" xfId="0" applyNumberFormat="1" applyFont="1" applyBorder="1" applyAlignment="1">
      <alignment horizontal="center" vertical="center"/>
    </xf>
    <xf numFmtId="14" fontId="185" fillId="0" borderId="107" xfId="0" applyNumberFormat="1" applyFont="1" applyBorder="1" applyAlignment="1">
      <alignment horizontal="center" vertical="center"/>
    </xf>
    <xf numFmtId="175" fontId="185" fillId="0" borderId="107" xfId="0" applyNumberFormat="1" applyFont="1" applyBorder="1" applyAlignment="1">
      <alignment horizontal="center" vertical="center"/>
    </xf>
    <xf numFmtId="0" fontId="185" fillId="0" borderId="0" xfId="0" applyFont="1" applyAlignment="1">
      <alignment horizontal="center" vertical="center"/>
    </xf>
    <xf numFmtId="0" fontId="185" fillId="0" borderId="0" xfId="0" applyFont="1" applyAlignment="1">
      <alignment horizontal="left" vertical="center"/>
    </xf>
    <xf numFmtId="3" fontId="185" fillId="0" borderId="0" xfId="0" applyNumberFormat="1" applyFont="1" applyAlignment="1">
      <alignment horizontal="center" vertical="center"/>
    </xf>
    <xf numFmtId="175" fontId="185" fillId="0" borderId="0" xfId="0" applyNumberFormat="1" applyFont="1" applyAlignment="1">
      <alignment horizontal="center" vertical="center"/>
    </xf>
    <xf numFmtId="0" fontId="163" fillId="0" borderId="0" xfId="0" applyFont="1" applyAlignment="1">
      <alignment horizontal="center" vertical="center"/>
    </xf>
    <xf numFmtId="0" fontId="186" fillId="0" borderId="0" xfId="0" applyFont="1" applyAlignment="1">
      <alignment horizontal="left" vertical="center"/>
    </xf>
    <xf numFmtId="0" fontId="165" fillId="122" borderId="104" xfId="0" applyFont="1" applyFill="1" applyBorder="1" applyAlignment="1">
      <alignment horizontal="center" vertical="center" wrapText="1"/>
    </xf>
    <xf numFmtId="0" fontId="174" fillId="121" borderId="114" xfId="0" applyFont="1" applyFill="1" applyBorder="1"/>
    <xf numFmtId="38" fontId="174" fillId="121" borderId="114" xfId="0" applyNumberFormat="1" applyFont="1" applyFill="1" applyBorder="1" applyAlignment="1">
      <alignment horizontal="center" vertical="center"/>
    </xf>
    <xf numFmtId="0" fontId="187" fillId="0" borderId="1" xfId="0" applyFont="1" applyFill="1" applyBorder="1" applyAlignment="1">
      <alignment vertical="center"/>
    </xf>
    <xf numFmtId="0" fontId="188" fillId="0" borderId="0" xfId="0" applyFont="1"/>
    <xf numFmtId="0" fontId="155" fillId="0" borderId="0" xfId="0" applyFont="1"/>
    <xf numFmtId="0" fontId="189" fillId="0" borderId="0" xfId="0" applyFont="1"/>
    <xf numFmtId="0" fontId="9" fillId="0" borderId="114" xfId="0" applyFont="1" applyBorder="1"/>
    <xf numFmtId="0" fontId="0" fillId="0" borderId="114" xfId="0" applyBorder="1"/>
    <xf numFmtId="0" fontId="0" fillId="121" borderId="114" xfId="0" applyFont="1" applyFill="1" applyBorder="1"/>
    <xf numFmtId="0" fontId="0" fillId="0" borderId="0" xfId="0" applyFont="1" applyFill="1" applyBorder="1"/>
    <xf numFmtId="0" fontId="159" fillId="121" borderId="114" xfId="0" applyFont="1" applyFill="1" applyBorder="1"/>
    <xf numFmtId="0" fontId="165" fillId="119" borderId="14" xfId="17" applyFont="1" applyFill="1" applyBorder="1" applyAlignment="1">
      <alignment horizontal="center" vertical="center" wrapText="1"/>
    </xf>
    <xf numFmtId="0" fontId="165" fillId="119" borderId="15" xfId="17" applyFont="1" applyFill="1" applyBorder="1" applyAlignment="1">
      <alignment horizontal="center" vertical="center" wrapText="1"/>
    </xf>
    <xf numFmtId="0" fontId="165" fillId="119" borderId="16" xfId="17" applyFont="1" applyFill="1" applyBorder="1" applyAlignment="1">
      <alignment horizontal="center" vertical="center" wrapText="1"/>
    </xf>
    <xf numFmtId="0" fontId="165" fillId="119" borderId="17" xfId="17" applyFont="1" applyFill="1" applyBorder="1" applyAlignment="1">
      <alignment horizontal="center" vertical="center" wrapText="1"/>
    </xf>
    <xf numFmtId="0" fontId="165" fillId="119" borderId="11" xfId="17" applyFont="1" applyFill="1" applyBorder="1" applyAlignment="1">
      <alignment horizontal="center" vertical="center" wrapText="1"/>
    </xf>
    <xf numFmtId="172" fontId="164" fillId="119" borderId="0" xfId="21" applyFont="1" applyFill="1" applyBorder="1" applyAlignment="1">
      <alignment horizontal="right" vertical="center" indent="1"/>
    </xf>
    <xf numFmtId="0" fontId="26" fillId="17" borderId="18" xfId="17" applyFont="1" applyFill="1" applyBorder="1" applyAlignment="1">
      <alignment vertical="center" wrapText="1"/>
    </xf>
    <xf numFmtId="0" fontId="169" fillId="0" borderId="0" xfId="16" applyFont="1"/>
    <xf numFmtId="0" fontId="164" fillId="9" borderId="0" xfId="0" applyFont="1" applyFill="1" applyAlignment="1">
      <alignment horizontal="center" vertical="center"/>
    </xf>
    <xf numFmtId="171" fontId="171" fillId="122" borderId="0" xfId="21" applyNumberFormat="1" applyFont="1" applyFill="1" applyBorder="1" applyAlignment="1">
      <alignment vertical="center"/>
    </xf>
    <xf numFmtId="0" fontId="23" fillId="12" borderId="12" xfId="0" applyFont="1" applyFill="1" applyBorder="1" applyAlignment="1">
      <alignment horizontal="left" vertical="center" wrapText="1" indent="1"/>
    </xf>
    <xf numFmtId="169" fontId="23" fillId="0" borderId="13" xfId="21" applyNumberFormat="1" applyFont="1" applyFill="1" applyBorder="1"/>
    <xf numFmtId="171" fontId="171" fillId="121" borderId="0" xfId="21" applyNumberFormat="1" applyFont="1" applyFill="1" applyBorder="1" applyAlignment="1">
      <alignment vertical="center"/>
    </xf>
    <xf numFmtId="171" fontId="173" fillId="121" borderId="0" xfId="21" applyNumberFormat="1" applyFont="1" applyFill="1" applyBorder="1" applyAlignment="1">
      <alignment vertical="center"/>
    </xf>
    <xf numFmtId="171" fontId="173" fillId="122" borderId="0" xfId="21" applyNumberFormat="1" applyFont="1" applyFill="1" applyBorder="1" applyAlignment="1">
      <alignment vertical="center"/>
    </xf>
    <xf numFmtId="0" fontId="23" fillId="12" borderId="12" xfId="0" applyFont="1" applyFill="1" applyBorder="1" applyAlignment="1">
      <alignment horizontal="left" vertical="center" wrapText="1" indent="2"/>
    </xf>
    <xf numFmtId="171" fontId="173" fillId="0" borderId="0" xfId="21" applyNumberFormat="1" applyFont="1" applyFill="1" applyBorder="1" applyAlignment="1">
      <alignment vertical="center"/>
    </xf>
    <xf numFmtId="171" fontId="169" fillId="0" borderId="0" xfId="16" applyNumberFormat="1" applyFont="1"/>
    <xf numFmtId="171" fontId="171" fillId="20" borderId="0" xfId="21" applyNumberFormat="1" applyFont="1" applyFill="1" applyBorder="1" applyAlignment="1">
      <alignment vertical="center"/>
    </xf>
    <xf numFmtId="171" fontId="173" fillId="20" borderId="0" xfId="21" applyNumberFormat="1" applyFont="1" applyFill="1" applyBorder="1" applyAlignment="1">
      <alignment vertical="center"/>
    </xf>
    <xf numFmtId="0" fontId="165" fillId="119" borderId="11" xfId="0" applyFont="1" applyFill="1" applyBorder="1" applyAlignment="1">
      <alignment horizontal="left" vertical="center" wrapText="1"/>
    </xf>
    <xf numFmtId="0" fontId="164" fillId="119" borderId="11" xfId="0" applyFont="1" applyFill="1" applyBorder="1" applyAlignment="1">
      <alignment horizontal="center" vertical="center" wrapText="1"/>
    </xf>
    <xf numFmtId="0" fontId="165" fillId="119" borderId="0" xfId="0" applyFont="1" applyFill="1" applyBorder="1" applyAlignment="1">
      <alignment horizontal="center"/>
    </xf>
    <xf numFmtId="0" fontId="165" fillId="119" borderId="0" xfId="0" applyFont="1" applyFill="1" applyBorder="1" applyAlignment="1">
      <alignment horizontal="center" vertical="center"/>
    </xf>
    <xf numFmtId="0" fontId="161" fillId="0" borderId="0" xfId="0" applyFont="1"/>
    <xf numFmtId="0" fontId="176" fillId="0" borderId="0" xfId="12" quotePrefix="1" applyFont="1" applyFill="1" applyBorder="1" applyAlignment="1">
      <alignment horizontal="left" vertical="center" wrapText="1"/>
    </xf>
    <xf numFmtId="0" fontId="165" fillId="124" borderId="110" xfId="12" applyFont="1" applyFill="1" applyBorder="1" applyAlignment="1">
      <alignment horizontal="left"/>
    </xf>
    <xf numFmtId="169" fontId="164" fillId="124" borderId="110" xfId="13" applyNumberFormat="1" applyFont="1" applyFill="1" applyBorder="1" applyAlignment="1">
      <alignment horizontal="center"/>
    </xf>
    <xf numFmtId="0" fontId="190" fillId="0" borderId="0" xfId="0" applyFont="1" applyAlignment="1">
      <alignment vertical="center"/>
    </xf>
    <xf numFmtId="1" fontId="30" fillId="114"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110" xfId="12" applyFont="1" applyFill="1" applyBorder="1" applyAlignment="1">
      <alignment horizontal="left"/>
    </xf>
    <xf numFmtId="170" fontId="20" fillId="0" borderId="0" xfId="23" applyNumberFormat="1" applyFont="1" applyFill="1" applyBorder="1" applyAlignment="1">
      <alignment horizontal="left" indent="2"/>
    </xf>
    <xf numFmtId="0" fontId="152" fillId="14" borderId="0" xfId="2" applyFont="1" applyFill="1" applyAlignment="1">
      <alignment vertical="center"/>
    </xf>
    <xf numFmtId="0" fontId="152" fillId="14" borderId="0" xfId="2" applyFont="1" applyFill="1" applyAlignment="1">
      <alignment horizontal="center" vertical="center"/>
    </xf>
    <xf numFmtId="0" fontId="30" fillId="20" borderId="0" xfId="7868" applyFont="1" applyFill="1" applyAlignment="1">
      <alignment horizontal="left" vertical="center"/>
    </xf>
    <xf numFmtId="170" fontId="30" fillId="20" borderId="0" xfId="11" applyNumberFormat="1" applyFont="1" applyFill="1" applyAlignment="1">
      <alignment horizontal="center" vertical="center"/>
    </xf>
    <xf numFmtId="0" fontId="152" fillId="115" borderId="0" xfId="2" applyFont="1" applyFill="1" applyAlignment="1">
      <alignment vertical="center"/>
    </xf>
    <xf numFmtId="0" fontId="0" fillId="0" borderId="0" xfId="0" applyAlignment="1">
      <alignment horizontal="center" vertical="center"/>
    </xf>
    <xf numFmtId="0" fontId="30" fillId="9" borderId="0" xfId="5264" applyFont="1" applyFill="1" applyAlignment="1">
      <alignment vertical="center" wrapText="1"/>
    </xf>
    <xf numFmtId="1" fontId="30" fillId="116" borderId="0" xfId="0" applyNumberFormat="1" applyFont="1" applyFill="1" applyAlignment="1">
      <alignment horizontal="center" vertical="center" wrapText="1"/>
    </xf>
    <xf numFmtId="0" fontId="30" fillId="116" borderId="0" xfId="0" applyFont="1" applyFill="1" applyAlignment="1">
      <alignment horizontal="center" vertical="center" wrapText="1"/>
    </xf>
    <xf numFmtId="170" fontId="30" fillId="20" borderId="0" xfId="11" applyNumberFormat="1" applyFont="1" applyFill="1" applyAlignment="1">
      <alignment horizontal="left" vertical="center"/>
    </xf>
    <xf numFmtId="0" fontId="191" fillId="0" borderId="0" xfId="2106" applyFont="1"/>
    <xf numFmtId="0" fontId="191" fillId="0" borderId="0" xfId="2106" applyFont="1" applyAlignment="1">
      <alignment horizontal="center"/>
    </xf>
    <xf numFmtId="0" fontId="191" fillId="0" borderId="0" xfId="2106" applyFont="1" applyAlignment="1">
      <alignment horizontal="center" vertical="center"/>
    </xf>
    <xf numFmtId="219" fontId="30" fillId="20" borderId="0" xfId="7868" applyNumberFormat="1" applyFont="1" applyFill="1" applyAlignment="1">
      <alignment horizontal="left" vertical="center" indent="3"/>
    </xf>
    <xf numFmtId="0" fontId="20" fillId="0" borderId="110" xfId="12" applyFont="1" applyFill="1" applyBorder="1" applyAlignment="1">
      <alignment horizontal="left" wrapText="1"/>
    </xf>
    <xf numFmtId="0" fontId="192" fillId="14" borderId="0" xfId="0" applyFont="1" applyFill="1" applyAlignment="1">
      <alignment vertical="center"/>
    </xf>
    <xf numFmtId="169" fontId="19" fillId="0" borderId="0" xfId="23" applyNumberFormat="1" applyFont="1" applyFill="1" applyBorder="1" applyAlignment="1">
      <alignment horizontal="right" indent="2"/>
    </xf>
    <xf numFmtId="0" fontId="193" fillId="14" borderId="0" xfId="0" applyFont="1" applyFill="1" applyAlignment="1">
      <alignment vertical="center"/>
    </xf>
    <xf numFmtId="0" fontId="193" fillId="0" borderId="0" xfId="0" applyFont="1" applyAlignment="1">
      <alignment horizontal="center" vertical="center"/>
    </xf>
    <xf numFmtId="0" fontId="153" fillId="14" borderId="0" xfId="0" applyFont="1" applyFill="1" applyAlignment="1">
      <alignment horizontal="center" vertical="center"/>
    </xf>
    <xf numFmtId="0" fontId="153" fillId="14" borderId="0" xfId="0" applyFont="1" applyFill="1" applyAlignment="1">
      <alignment vertical="center"/>
    </xf>
    <xf numFmtId="0" fontId="192" fillId="14" borderId="0" xfId="2" applyFont="1" applyFill="1" applyAlignment="1">
      <alignment vertical="center"/>
    </xf>
    <xf numFmtId="219" fontId="192" fillId="14" borderId="0" xfId="7867" applyNumberFormat="1" applyFont="1" applyFill="1" applyBorder="1" applyAlignment="1">
      <alignment horizontal="center" vertical="center"/>
    </xf>
    <xf numFmtId="170" fontId="192" fillId="14" borderId="0" xfId="5111" applyNumberFormat="1" applyFont="1" applyFill="1" applyBorder="1" applyAlignment="1">
      <alignment horizontal="center" vertical="center"/>
    </xf>
    <xf numFmtId="0" fontId="30" fillId="14" borderId="0" xfId="7868" applyFont="1" applyFill="1" applyAlignment="1">
      <alignment horizontal="left" vertical="center"/>
    </xf>
    <xf numFmtId="219" fontId="30" fillId="14" borderId="0" xfId="7867" applyNumberFormat="1" applyFont="1" applyFill="1" applyBorder="1" applyAlignment="1">
      <alignment horizontal="center" vertical="center"/>
    </xf>
    <xf numFmtId="0" fontId="153" fillId="0" borderId="0" xfId="0" applyFont="1" applyAlignment="1">
      <alignment vertical="center"/>
    </xf>
    <xf numFmtId="0" fontId="153" fillId="0" borderId="0" xfId="0" applyFont="1" applyAlignment="1">
      <alignment horizontal="center" vertical="center"/>
    </xf>
    <xf numFmtId="0" fontId="31" fillId="14" borderId="0" xfId="17" applyFont="1" applyFill="1" applyAlignment="1">
      <alignment horizontal="left"/>
    </xf>
    <xf numFmtId="0" fontId="165" fillId="119" borderId="15" xfId="17" applyFont="1" applyFill="1" applyBorder="1" applyAlignment="1">
      <alignment horizontal="center" vertical="center" wrapText="1"/>
    </xf>
    <xf numFmtId="0" fontId="25" fillId="20" borderId="18" xfId="17" applyFont="1" applyFill="1" applyBorder="1" applyAlignment="1">
      <alignment horizontal="center" vertical="center" wrapText="1"/>
    </xf>
    <xf numFmtId="0" fontId="31" fillId="0" borderId="22" xfId="19" applyNumberFormat="1" applyFont="1" applyFill="1" applyBorder="1" applyAlignment="1">
      <alignment horizontal="center" vertical="center" wrapText="1"/>
    </xf>
    <xf numFmtId="0" fontId="31" fillId="14" borderId="26" xfId="17" applyFont="1" applyFill="1" applyBorder="1" applyAlignment="1">
      <alignment horizontal="center" vertical="center"/>
    </xf>
    <xf numFmtId="171" fontId="31" fillId="18" borderId="0" xfId="18" applyNumberFormat="1" applyFont="1" applyFill="1" applyBorder="1" applyAlignment="1"/>
    <xf numFmtId="174" fontId="31" fillId="0" borderId="0" xfId="19" applyNumberFormat="1" applyFont="1" applyFill="1" applyBorder="1" applyAlignment="1">
      <alignment horizontal="center"/>
    </xf>
    <xf numFmtId="0" fontId="32" fillId="14" borderId="0" xfId="17" applyFont="1" applyFill="1" applyAlignment="1">
      <alignment vertical="center" wrapText="1"/>
    </xf>
    <xf numFmtId="0" fontId="32" fillId="0" borderId="0" xfId="17" applyFont="1" applyAlignment="1">
      <alignment horizontal="center" vertical="center" wrapText="1"/>
    </xf>
    <xf numFmtId="0" fontId="31" fillId="0" borderId="111" xfId="17" applyFont="1" applyBorder="1" applyAlignment="1">
      <alignment horizontal="center" vertical="center"/>
    </xf>
    <xf numFmtId="0" fontId="31" fillId="18" borderId="0" xfId="17" applyFont="1" applyFill="1" applyAlignment="1">
      <alignment horizontal="left" vertical="center" wrapText="1"/>
    </xf>
    <xf numFmtId="171" fontId="31" fillId="18" borderId="0" xfId="18" applyNumberFormat="1" applyFont="1" applyFill="1" applyBorder="1" applyAlignment="1">
      <alignment vertical="center" wrapText="1"/>
    </xf>
    <xf numFmtId="14" fontId="31" fillId="18" borderId="0" xfId="18" applyNumberFormat="1" applyFont="1" applyFill="1" applyBorder="1" applyAlignment="1">
      <alignment horizontal="center" vertical="center" wrapText="1"/>
    </xf>
    <xf numFmtId="171" fontId="31" fillId="18" borderId="0" xfId="18" applyNumberFormat="1" applyFont="1" applyFill="1" applyBorder="1" applyAlignment="1">
      <alignment horizontal="center" vertical="center" wrapText="1"/>
    </xf>
    <xf numFmtId="9" fontId="31" fillId="18" borderId="0" xfId="19" applyFont="1" applyFill="1" applyBorder="1" applyAlignment="1">
      <alignment horizontal="right" vertical="center" wrapText="1"/>
    </xf>
    <xf numFmtId="9" fontId="31" fillId="18" borderId="0" xfId="19" applyFont="1" applyFill="1" applyBorder="1" applyAlignment="1">
      <alignment horizontal="center" vertical="center" wrapText="1"/>
    </xf>
    <xf numFmtId="174" fontId="31" fillId="18" borderId="0" xfId="19" applyNumberFormat="1" applyFont="1" applyFill="1" applyBorder="1" applyAlignment="1">
      <alignment horizontal="left" vertical="center" wrapText="1"/>
    </xf>
    <xf numFmtId="174" fontId="31" fillId="0" borderId="0" xfId="19" applyNumberFormat="1" applyFont="1" applyFill="1" applyBorder="1" applyAlignment="1">
      <alignment horizontal="left" vertical="center" wrapText="1"/>
    </xf>
    <xf numFmtId="171" fontId="31" fillId="18" borderId="0" xfId="17" applyNumberFormat="1" applyFont="1" applyFill="1" applyAlignment="1">
      <alignment horizontal="left" vertical="center" indent="1"/>
    </xf>
    <xf numFmtId="171" fontId="179" fillId="18" borderId="26" xfId="18" applyNumberFormat="1" applyFont="1" applyFill="1" applyBorder="1" applyAlignment="1">
      <alignment horizontal="center"/>
    </xf>
    <xf numFmtId="14" fontId="179" fillId="18" borderId="116" xfId="18" applyNumberFormat="1" applyFont="1" applyFill="1" applyBorder="1" applyAlignment="1">
      <alignment horizontal="center"/>
    </xf>
    <xf numFmtId="14" fontId="179" fillId="18" borderId="26" xfId="18" applyNumberFormat="1" applyFont="1" applyFill="1" applyBorder="1" applyAlignment="1">
      <alignment horizontal="center"/>
    </xf>
    <xf numFmtId="14" fontId="179" fillId="18" borderId="29" xfId="18" applyNumberFormat="1" applyFont="1" applyFill="1" applyBorder="1" applyAlignment="1">
      <alignment horizontal="center"/>
    </xf>
    <xf numFmtId="171" fontId="179" fillId="18" borderId="29" xfId="18" applyNumberFormat="1" applyFont="1" applyFill="1" applyBorder="1" applyAlignment="1">
      <alignment horizontal="center"/>
    </xf>
    <xf numFmtId="0" fontId="185" fillId="0" borderId="107" xfId="0" applyFont="1" applyBorder="1" applyAlignment="1">
      <alignment horizontal="center" vertical="center"/>
    </xf>
    <xf numFmtId="1" fontId="30" fillId="114" borderId="0" xfId="0" applyNumberFormat="1" applyFont="1" applyFill="1" applyAlignment="1">
      <alignment vertical="center"/>
    </xf>
    <xf numFmtId="1" fontId="30" fillId="116" borderId="0" xfId="0" applyNumberFormat="1" applyFont="1" applyFill="1" applyAlignment="1">
      <alignment vertical="center"/>
    </xf>
    <xf numFmtId="0" fontId="165" fillId="16" borderId="0" xfId="0" applyFont="1" applyFill="1" applyBorder="1" applyAlignment="1">
      <alignment horizontal="center" vertical="center" wrapText="1"/>
    </xf>
    <xf numFmtId="0" fontId="164" fillId="119" borderId="0" xfId="0" applyFont="1" applyFill="1" applyBorder="1" applyAlignment="1">
      <alignment horizontal="center" vertical="center" wrapText="1"/>
    </xf>
    <xf numFmtId="9" fontId="31" fillId="18" borderId="0" xfId="19" applyFont="1" applyFill="1" applyBorder="1" applyAlignment="1">
      <alignment horizontal="right"/>
    </xf>
    <xf numFmtId="174" fontId="31" fillId="0" borderId="0" xfId="17" applyNumberFormat="1" applyFont="1" applyAlignment="1">
      <alignment horizontal="left"/>
    </xf>
    <xf numFmtId="175" fontId="31" fillId="14" borderId="20" xfId="17" applyNumberFormat="1" applyFont="1" applyFill="1" applyBorder="1" applyAlignment="1">
      <alignment horizontal="center"/>
    </xf>
    <xf numFmtId="174" fontId="31" fillId="18" borderId="0" xfId="19" applyNumberFormat="1" applyFont="1" applyFill="1" applyBorder="1" applyAlignment="1">
      <alignment horizontal="left"/>
    </xf>
    <xf numFmtId="169" fontId="23" fillId="0" borderId="0" xfId="21" applyNumberFormat="1" applyFont="1" applyFill="1" applyBorder="1"/>
    <xf numFmtId="0" fontId="194" fillId="0" borderId="0" xfId="0" applyFont="1" applyAlignment="1">
      <alignment horizontal="center" vertical="center"/>
    </xf>
    <xf numFmtId="0" fontId="194" fillId="0" borderId="0" xfId="0" applyFont="1" applyAlignment="1">
      <alignment horizontal="left" vertical="center"/>
    </xf>
    <xf numFmtId="3" fontId="194" fillId="0" borderId="0" xfId="0" applyNumberFormat="1" applyFont="1" applyAlignment="1">
      <alignment horizontal="center" vertical="center"/>
    </xf>
    <xf numFmtId="175" fontId="194" fillId="0" borderId="0" xfId="0" applyNumberFormat="1" applyFont="1" applyAlignment="1">
      <alignment horizontal="center" vertical="center"/>
    </xf>
    <xf numFmtId="0" fontId="195" fillId="0" borderId="0" xfId="0" applyFont="1" applyAlignment="1">
      <alignment horizontal="left" vertical="center"/>
    </xf>
    <xf numFmtId="0" fontId="186" fillId="0" borderId="120" xfId="0" applyFont="1" applyBorder="1" applyAlignment="1">
      <alignment horizontal="left" vertical="center"/>
    </xf>
    <xf numFmtId="0" fontId="185" fillId="0" borderId="121" xfId="0" applyFont="1" applyBorder="1" applyAlignment="1">
      <alignment horizontal="left" vertical="center"/>
    </xf>
    <xf numFmtId="0" fontId="186" fillId="0" borderId="108" xfId="0" applyFont="1" applyBorder="1" applyAlignment="1">
      <alignment horizontal="left" vertical="center"/>
    </xf>
    <xf numFmtId="0" fontId="163" fillId="14" borderId="0" xfId="0" applyFont="1" applyFill="1"/>
    <xf numFmtId="0" fontId="165" fillId="16" borderId="114" xfId="0" applyFont="1" applyFill="1" applyBorder="1" applyAlignment="1">
      <alignment horizontal="left" vertical="center" wrapText="1"/>
    </xf>
    <xf numFmtId="0" fontId="165" fillId="16" borderId="114" xfId="0" applyFont="1" applyFill="1" applyBorder="1" applyAlignment="1">
      <alignment horizontal="center" vertical="center" wrapText="1"/>
    </xf>
    <xf numFmtId="0" fontId="196" fillId="16" borderId="114" xfId="0" applyFont="1" applyFill="1" applyBorder="1" applyAlignment="1">
      <alignment horizontal="center" vertical="center" wrapText="1"/>
    </xf>
    <xf numFmtId="0" fontId="197" fillId="0" borderId="0" xfId="12" applyFont="1" applyAlignment="1">
      <alignment horizontal="center"/>
    </xf>
    <xf numFmtId="169" fontId="198" fillId="0" borderId="0" xfId="13" applyNumberFormat="1" applyFont="1" applyAlignment="1">
      <alignment horizontal="center"/>
    </xf>
    <xf numFmtId="169" fontId="199" fillId="0" borderId="0" xfId="13" applyNumberFormat="1" applyFont="1" applyAlignment="1">
      <alignment horizontal="center"/>
    </xf>
    <xf numFmtId="170" fontId="199" fillId="0" borderId="110" xfId="13" applyNumberFormat="1" applyFont="1" applyBorder="1" applyAlignment="1">
      <alignment horizontal="center"/>
    </xf>
    <xf numFmtId="169" fontId="199" fillId="0" borderId="110" xfId="13" applyNumberFormat="1" applyFont="1" applyBorder="1" applyAlignment="1">
      <alignment horizontal="center"/>
    </xf>
    <xf numFmtId="0" fontId="200" fillId="0" borderId="0" xfId="0" applyFont="1"/>
    <xf numFmtId="0" fontId="200" fillId="0" borderId="0" xfId="0" applyFont="1" applyAlignment="1">
      <alignment horizontal="center"/>
    </xf>
    <xf numFmtId="0" fontId="201" fillId="10" borderId="6" xfId="0" applyFont="1" applyFill="1" applyBorder="1" applyAlignment="1">
      <alignment vertical="center"/>
    </xf>
    <xf numFmtId="0" fontId="202" fillId="11" borderId="4" xfId="0" applyFont="1" applyFill="1" applyBorder="1" applyAlignment="1">
      <alignment horizontal="right" vertical="center" wrapText="1"/>
    </xf>
    <xf numFmtId="170" fontId="201" fillId="13" borderId="4" xfId="11" applyNumberFormat="1" applyFont="1" applyFill="1" applyBorder="1" applyAlignment="1">
      <alignment horizontal="right" vertical="center" wrapText="1"/>
    </xf>
    <xf numFmtId="170" fontId="203" fillId="11" borderId="3" xfId="11" applyNumberFormat="1" applyFont="1" applyFill="1" applyBorder="1" applyAlignment="1">
      <alignment horizontal="right" vertical="center" wrapText="1"/>
    </xf>
    <xf numFmtId="170" fontId="201" fillId="13" borderId="3" xfId="11" applyNumberFormat="1" applyFont="1" applyFill="1" applyBorder="1" applyAlignment="1">
      <alignment horizontal="right" vertical="center" wrapText="1"/>
    </xf>
    <xf numFmtId="3" fontId="201" fillId="14" borderId="4" xfId="0" applyNumberFormat="1" applyFont="1" applyFill="1" applyBorder="1" applyAlignment="1">
      <alignment horizontal="right" vertical="center" wrapText="1"/>
    </xf>
    <xf numFmtId="0" fontId="201" fillId="10" borderId="4" xfId="0" applyFont="1" applyFill="1" applyBorder="1" applyAlignment="1">
      <alignment horizontal="right" vertical="center"/>
    </xf>
    <xf numFmtId="0" fontId="204" fillId="11" borderId="4" xfId="0" applyFont="1" applyFill="1" applyBorder="1" applyAlignment="1">
      <alignment horizontal="right" vertical="center" wrapText="1"/>
    </xf>
    <xf numFmtId="0" fontId="204" fillId="15" borderId="4" xfId="0" applyFont="1" applyFill="1" applyBorder="1" applyAlignment="1">
      <alignment horizontal="right" vertical="center" wrapText="1"/>
    </xf>
    <xf numFmtId="170" fontId="198" fillId="0" borderId="0" xfId="11" applyNumberFormat="1" applyFont="1" applyAlignment="1">
      <alignment horizontal="center"/>
    </xf>
    <xf numFmtId="0" fontId="176" fillId="0" borderId="114" xfId="12" quotePrefix="1" applyFont="1" applyFill="1" applyBorder="1" applyAlignment="1">
      <alignment horizontal="left" vertical="center" wrapText="1"/>
    </xf>
    <xf numFmtId="169" fontId="197" fillId="0" borderId="0" xfId="12" applyNumberFormat="1" applyFont="1" applyAlignment="1">
      <alignment horizontal="center"/>
    </xf>
    <xf numFmtId="0" fontId="202" fillId="11" borderId="5" xfId="0" applyFont="1" applyFill="1" applyBorder="1" applyAlignment="1">
      <alignment horizontal="right" vertical="center" wrapText="1"/>
    </xf>
    <xf numFmtId="169" fontId="204" fillId="0" borderId="10" xfId="11" applyNumberFormat="1" applyFont="1" applyBorder="1"/>
    <xf numFmtId="169" fontId="204" fillId="0" borderId="0" xfId="11" applyNumberFormat="1" applyFont="1"/>
    <xf numFmtId="169" fontId="204" fillId="0" borderId="99" xfId="11" applyNumberFormat="1" applyFont="1" applyBorder="1"/>
    <xf numFmtId="170" fontId="203" fillId="11" borderId="9" xfId="11" applyNumberFormat="1" applyFont="1" applyFill="1" applyBorder="1" applyAlignment="1">
      <alignment horizontal="right" vertical="center" wrapText="1"/>
    </xf>
    <xf numFmtId="170" fontId="201" fillId="13" borderId="9" xfId="11" applyNumberFormat="1" applyFont="1" applyFill="1" applyBorder="1" applyAlignment="1">
      <alignment horizontal="right" vertical="center" wrapText="1"/>
    </xf>
    <xf numFmtId="0" fontId="201" fillId="10" borderId="5" xfId="0" applyFont="1" applyFill="1" applyBorder="1" applyAlignment="1">
      <alignment horizontal="right" vertical="center"/>
    </xf>
    <xf numFmtId="0" fontId="204" fillId="11" borderId="5" xfId="0" applyFont="1" applyFill="1" applyBorder="1" applyAlignment="1">
      <alignment horizontal="right" vertical="center" wrapText="1"/>
    </xf>
    <xf numFmtId="169" fontId="205" fillId="14" borderId="0" xfId="13" applyNumberFormat="1" applyFont="1" applyFill="1" applyAlignment="1">
      <alignment horizontal="center"/>
    </xf>
    <xf numFmtId="0" fontId="166" fillId="0" borderId="0" xfId="0" applyFont="1" applyAlignment="1">
      <alignment wrapText="1"/>
    </xf>
    <xf numFmtId="0" fontId="167" fillId="0" borderId="110" xfId="0" applyFont="1" applyBorder="1" applyAlignment="1">
      <alignment wrapText="1"/>
    </xf>
    <xf numFmtId="0" fontId="17" fillId="0" borderId="0" xfId="0" applyFont="1" applyAlignment="1">
      <alignment wrapText="1"/>
    </xf>
    <xf numFmtId="0" fontId="17" fillId="3" borderId="0" xfId="0" applyFont="1" applyFill="1" applyAlignment="1">
      <alignment wrapText="1"/>
    </xf>
    <xf numFmtId="0" fontId="171" fillId="4" borderId="2" xfId="0" applyFont="1" applyFill="1" applyBorder="1" applyAlignment="1">
      <alignment wrapText="1"/>
    </xf>
    <xf numFmtId="0" fontId="169" fillId="5" borderId="5" xfId="0" applyFont="1" applyFill="1" applyBorder="1" applyAlignment="1">
      <alignment wrapText="1"/>
    </xf>
    <xf numFmtId="0" fontId="23" fillId="0" borderId="7" xfId="0" applyFont="1" applyBorder="1" applyAlignment="1">
      <alignment wrapText="1"/>
    </xf>
    <xf numFmtId="0" fontId="23" fillId="0" borderId="122" xfId="0" applyFont="1" applyBorder="1" applyAlignment="1">
      <alignment wrapText="1"/>
    </xf>
    <xf numFmtId="0" fontId="171" fillId="7" borderId="5" xfId="0" applyFont="1" applyFill="1" applyBorder="1" applyAlignment="1">
      <alignment wrapText="1"/>
    </xf>
    <xf numFmtId="0" fontId="172" fillId="5" borderId="9" xfId="0" applyFont="1" applyFill="1" applyBorder="1" applyAlignment="1">
      <alignment wrapText="1"/>
    </xf>
    <xf numFmtId="0" fontId="171" fillId="7" borderId="9" xfId="0" applyFont="1" applyFill="1" applyBorder="1" applyAlignment="1">
      <alignment wrapText="1"/>
    </xf>
    <xf numFmtId="0" fontId="171" fillId="2" borderId="5" xfId="0" applyFont="1" applyFill="1" applyBorder="1" applyAlignment="1">
      <alignment wrapText="1"/>
    </xf>
    <xf numFmtId="0" fontId="171" fillId="4" borderId="5" xfId="0" applyFont="1" applyFill="1" applyBorder="1" applyAlignment="1">
      <alignment wrapText="1"/>
    </xf>
    <xf numFmtId="0" fontId="23" fillId="5" borderId="5" xfId="0" applyFont="1" applyFill="1" applyBorder="1" applyAlignment="1">
      <alignment wrapText="1"/>
    </xf>
    <xf numFmtId="0" fontId="23" fillId="8" borderId="5" xfId="0" applyFont="1" applyFill="1" applyBorder="1" applyAlignment="1">
      <alignment wrapText="1"/>
    </xf>
    <xf numFmtId="0" fontId="15" fillId="0" borderId="0" xfId="0" applyFont="1" applyAlignment="1">
      <alignment wrapText="1"/>
    </xf>
    <xf numFmtId="0" fontId="206" fillId="0" borderId="0" xfId="0" applyFont="1" applyAlignment="1">
      <alignment wrapText="1"/>
    </xf>
    <xf numFmtId="170" fontId="19" fillId="0" borderId="0" xfId="11" applyNumberFormat="1" applyFont="1" applyFill="1" applyBorder="1" applyAlignment="1">
      <alignment horizontal="right" indent="2"/>
    </xf>
    <xf numFmtId="170" fontId="20" fillId="0" borderId="11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30" fillId="20" borderId="0" xfId="11" applyNumberFormat="1" applyFont="1" applyFill="1" applyAlignment="1">
      <alignment horizontal="right" vertical="center"/>
    </xf>
    <xf numFmtId="170" fontId="152" fillId="115" borderId="0" xfId="11" applyNumberFormat="1" applyFont="1" applyFill="1" applyAlignment="1">
      <alignment horizontal="right" vertical="center"/>
    </xf>
    <xf numFmtId="170" fontId="30" fillId="116" borderId="0" xfId="11" applyNumberFormat="1" applyFont="1" applyFill="1" applyAlignment="1">
      <alignment horizontal="right" vertical="center" wrapText="1"/>
    </xf>
    <xf numFmtId="170" fontId="152" fillId="14" borderId="0" xfId="11" applyNumberFormat="1" applyFont="1" applyFill="1" applyAlignment="1">
      <alignment horizontal="right" vertical="center"/>
    </xf>
    <xf numFmtId="170" fontId="0" fillId="0" borderId="0" xfId="11" applyNumberFormat="1" applyFont="1" applyAlignment="1">
      <alignment horizontal="right"/>
    </xf>
    <xf numFmtId="170" fontId="191" fillId="0" borderId="0" xfId="11" applyNumberFormat="1" applyFont="1" applyAlignment="1">
      <alignment horizontal="right"/>
    </xf>
    <xf numFmtId="219" fontId="30" fillId="14" borderId="0" xfId="7868" applyNumberFormat="1" applyFont="1" applyFill="1" applyAlignment="1">
      <alignment horizontal="left" vertical="center" indent="3"/>
    </xf>
    <xf numFmtId="170" fontId="30" fillId="14" borderId="0" xfId="11" applyNumberFormat="1" applyFont="1" applyFill="1" applyAlignment="1">
      <alignment horizontal="right" vertical="center"/>
    </xf>
    <xf numFmtId="170" fontId="153" fillId="14" borderId="0" xfId="11" applyNumberFormat="1" applyFont="1" applyFill="1" applyBorder="1" applyAlignment="1">
      <alignment horizontal="right" vertical="center"/>
    </xf>
    <xf numFmtId="170" fontId="30" fillId="14" borderId="0" xfId="11" applyNumberFormat="1" applyFont="1" applyFill="1" applyBorder="1" applyAlignment="1">
      <alignment horizontal="right" vertical="center"/>
    </xf>
    <xf numFmtId="170" fontId="153" fillId="0" borderId="0" xfId="11" applyNumberFormat="1" applyFont="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219" fontId="207" fillId="14" borderId="0" xfId="7868" applyNumberFormat="1" applyFont="1" applyFill="1" applyAlignment="1">
      <alignment vertical="center"/>
    </xf>
    <xf numFmtId="170" fontId="20" fillId="0" borderId="110" xfId="7869" applyNumberFormat="1" applyFont="1" applyFill="1" applyBorder="1" applyAlignment="1">
      <alignment horizontal="right"/>
    </xf>
    <xf numFmtId="170" fontId="20" fillId="0" borderId="110" xfId="7869" applyNumberFormat="1" applyFont="1" applyFill="1" applyBorder="1" applyAlignment="1">
      <alignment horizontal="right" indent="2"/>
    </xf>
    <xf numFmtId="0" fontId="9" fillId="0" borderId="0" xfId="0" applyFont="1" applyAlignment="1">
      <alignment wrapText="1"/>
    </xf>
    <xf numFmtId="169" fontId="19" fillId="0" borderId="0" xfId="23" applyNumberFormat="1" applyFont="1" applyFill="1" applyBorder="1" applyAlignment="1">
      <alignment horizontal="center"/>
    </xf>
    <xf numFmtId="170" fontId="20" fillId="0" borderId="110" xfId="23" applyNumberFormat="1" applyFont="1" applyFill="1" applyBorder="1" applyAlignment="1">
      <alignment horizontal="center"/>
    </xf>
    <xf numFmtId="169" fontId="20" fillId="0" borderId="110" xfId="23" applyNumberFormat="1" applyFont="1" applyFill="1" applyBorder="1" applyAlignment="1">
      <alignment horizontal="center"/>
    </xf>
    <xf numFmtId="0" fontId="165" fillId="16" borderId="0" xfId="0" applyFont="1" applyFill="1" applyAlignment="1">
      <alignment horizontal="center" vertical="center" wrapText="1"/>
    </xf>
    <xf numFmtId="169" fontId="19" fillId="14" borderId="0" xfId="23" applyNumberFormat="1" applyFont="1" applyFill="1" applyBorder="1" applyAlignment="1">
      <alignment horizontal="left" indent="2"/>
    </xf>
    <xf numFmtId="170" fontId="19" fillId="14" borderId="0" xfId="11" applyNumberFormat="1" applyFont="1" applyFill="1" applyBorder="1" applyAlignment="1">
      <alignment horizontal="left" indent="2"/>
    </xf>
    <xf numFmtId="170" fontId="19" fillId="14" borderId="0" xfId="11" applyNumberFormat="1" applyFont="1" applyFill="1" applyBorder="1" applyAlignment="1">
      <alignment horizontal="right" indent="2"/>
    </xf>
    <xf numFmtId="39" fontId="30" fillId="114" borderId="0" xfId="0" applyNumberFormat="1" applyFont="1" applyFill="1" applyAlignment="1">
      <alignment horizontal="left" vertical="center" wrapText="1"/>
    </xf>
    <xf numFmtId="39" fontId="30" fillId="116" borderId="0" xfId="0" applyNumberFormat="1" applyFont="1" applyFill="1" applyAlignment="1">
      <alignment horizontal="left" vertical="center" wrapText="1"/>
    </xf>
    <xf numFmtId="1" fontId="30" fillId="114" borderId="0" xfId="0" applyNumberFormat="1" applyFont="1" applyFill="1" applyAlignment="1">
      <alignment vertical="center" wrapText="1"/>
    </xf>
    <xf numFmtId="0" fontId="31" fillId="14" borderId="0" xfId="17" applyFont="1" applyFill="1" applyAlignment="1">
      <alignment horizontal="left"/>
    </xf>
    <xf numFmtId="171" fontId="155" fillId="14" borderId="0" xfId="21" applyNumberFormat="1" applyFont="1" applyFill="1" applyBorder="1" applyAlignment="1">
      <alignment horizontal="left" vertical="center"/>
    </xf>
    <xf numFmtId="0" fontId="179" fillId="14" borderId="19" xfId="17" applyFont="1" applyFill="1" applyBorder="1" applyAlignment="1">
      <alignment horizontal="center" vertical="center"/>
    </xf>
    <xf numFmtId="0" fontId="179" fillId="14" borderId="24" xfId="17" applyFont="1" applyFill="1" applyBorder="1" applyAlignment="1">
      <alignment horizontal="center" vertical="center"/>
    </xf>
    <xf numFmtId="0" fontId="179" fillId="14" borderId="25" xfId="17" applyFont="1" applyFill="1" applyBorder="1" applyAlignment="1">
      <alignment horizontal="center" vertical="center"/>
    </xf>
    <xf numFmtId="0" fontId="165" fillId="119" borderId="15" xfId="17" applyFont="1" applyFill="1" applyBorder="1" applyAlignment="1">
      <alignment horizontal="center" vertical="center" wrapText="1"/>
    </xf>
    <xf numFmtId="0" fontId="165" fillId="119" borderId="11" xfId="17" applyFont="1" applyFill="1" applyBorder="1" applyAlignment="1">
      <alignment horizontal="center" vertical="center" wrapText="1"/>
    </xf>
    <xf numFmtId="0" fontId="165" fillId="119" borderId="102" xfId="17" applyFont="1" applyFill="1" applyBorder="1" applyAlignment="1">
      <alignment horizontal="center" vertical="center" wrapText="1"/>
    </xf>
    <xf numFmtId="0" fontId="179" fillId="14" borderId="109" xfId="17" applyFont="1" applyFill="1" applyBorder="1" applyAlignment="1">
      <alignment horizontal="center" vertical="center"/>
    </xf>
    <xf numFmtId="0" fontId="179" fillId="14" borderId="115" xfId="17" applyFont="1" applyFill="1" applyBorder="1" applyAlignment="1">
      <alignment horizontal="center" vertical="center"/>
    </xf>
    <xf numFmtId="0" fontId="179" fillId="0" borderId="109" xfId="17" applyFont="1" applyBorder="1" applyAlignment="1">
      <alignment horizontal="center" vertical="center"/>
    </xf>
    <xf numFmtId="0" fontId="179" fillId="0" borderId="38" xfId="17" applyFont="1" applyBorder="1" applyAlignment="1">
      <alignment horizontal="center" vertical="center"/>
    </xf>
    <xf numFmtId="0" fontId="31" fillId="0" borderId="111" xfId="17" applyFont="1" applyBorder="1" applyAlignment="1">
      <alignment horizontal="center" vertical="center"/>
    </xf>
    <xf numFmtId="0" fontId="31" fillId="0" borderId="113" xfId="17" applyFont="1" applyBorder="1" applyAlignment="1">
      <alignment horizontal="center" vertical="center"/>
    </xf>
    <xf numFmtId="0" fontId="31" fillId="0" borderId="112" xfId="17" applyFont="1" applyBorder="1" applyAlignment="1">
      <alignment horizontal="center" vertical="center"/>
    </xf>
    <xf numFmtId="0" fontId="179" fillId="0" borderId="19" xfId="17" applyFont="1" applyBorder="1" applyAlignment="1">
      <alignment horizontal="center" vertical="center"/>
    </xf>
    <xf numFmtId="0" fontId="179" fillId="0" borderId="24" xfId="17" applyFont="1" applyBorder="1" applyAlignment="1">
      <alignment horizontal="center" vertical="center"/>
    </xf>
    <xf numFmtId="0" fontId="179" fillId="0" borderId="27" xfId="17" applyFont="1" applyBorder="1" applyAlignment="1">
      <alignment horizontal="center" vertical="center"/>
    </xf>
    <xf numFmtId="0" fontId="179" fillId="14" borderId="43" xfId="17" applyFont="1" applyFill="1" applyBorder="1" applyAlignment="1">
      <alignment horizontal="center" vertical="center"/>
    </xf>
    <xf numFmtId="0" fontId="179" fillId="14" borderId="41" xfId="17" applyFont="1" applyFill="1" applyBorder="1" applyAlignment="1">
      <alignment horizontal="center" vertical="center"/>
    </xf>
    <xf numFmtId="0" fontId="165" fillId="20" borderId="18" xfId="17" applyFont="1" applyFill="1" applyBorder="1" applyAlignment="1">
      <alignment horizontal="center" vertical="center" wrapText="1"/>
    </xf>
    <xf numFmtId="0" fontId="179" fillId="14" borderId="109" xfId="17" applyFont="1" applyFill="1" applyBorder="1" applyAlignment="1">
      <alignment horizontal="center" vertical="center" wrapText="1"/>
    </xf>
    <xf numFmtId="0" fontId="31" fillId="14" borderId="20" xfId="17" applyFont="1" applyFill="1" applyBorder="1" applyAlignment="1">
      <alignment horizontal="center" vertical="center" wrapText="1"/>
    </xf>
    <xf numFmtId="0" fontId="25" fillId="20" borderId="18" xfId="17" applyFont="1" applyFill="1" applyBorder="1" applyAlignment="1">
      <alignment horizontal="center" vertical="center" wrapText="1"/>
    </xf>
    <xf numFmtId="0" fontId="30" fillId="14" borderId="0" xfId="17" applyFont="1" applyFill="1" applyBorder="1" applyAlignment="1">
      <alignment horizontal="center" vertical="center" wrapText="1"/>
    </xf>
    <xf numFmtId="0" fontId="30" fillId="9" borderId="15" xfId="17" applyFont="1" applyFill="1" applyBorder="1" applyAlignment="1">
      <alignment horizontal="center" vertical="center" wrapText="1"/>
    </xf>
    <xf numFmtId="0" fontId="30" fillId="9" borderId="11" xfId="17" applyFont="1" applyFill="1" applyBorder="1" applyAlignment="1">
      <alignment horizontal="center" vertical="center" wrapText="1"/>
    </xf>
    <xf numFmtId="0" fontId="30" fillId="9" borderId="102" xfId="17" applyFont="1" applyFill="1" applyBorder="1" applyAlignment="1">
      <alignment horizontal="center" vertical="center" wrapText="1"/>
    </xf>
    <xf numFmtId="0" fontId="31" fillId="14" borderId="111" xfId="17" applyFont="1" applyFill="1" applyBorder="1" applyAlignment="1">
      <alignment horizontal="center" vertical="center"/>
    </xf>
    <xf numFmtId="0" fontId="31" fillId="14" borderId="112" xfId="17" applyFont="1" applyFill="1" applyBorder="1" applyAlignment="1">
      <alignment horizontal="center" vertical="center"/>
    </xf>
    <xf numFmtId="0" fontId="31" fillId="14" borderId="113" xfId="17" applyFont="1" applyFill="1" applyBorder="1" applyAlignment="1">
      <alignment horizontal="center" vertical="center"/>
    </xf>
    <xf numFmtId="0" fontId="31" fillId="14" borderId="119" xfId="17" applyFont="1" applyFill="1" applyBorder="1" applyAlignment="1">
      <alignment horizontal="center" vertical="center"/>
    </xf>
    <xf numFmtId="0" fontId="31" fillId="14" borderId="25" xfId="17" applyFont="1" applyFill="1" applyBorder="1" applyAlignment="1">
      <alignment horizontal="center" vertical="center"/>
    </xf>
    <xf numFmtId="0" fontId="31" fillId="14" borderId="19" xfId="17" applyFont="1" applyFill="1" applyBorder="1" applyAlignment="1">
      <alignment horizontal="center" vertical="center"/>
    </xf>
    <xf numFmtId="0" fontId="31" fillId="14" borderId="19" xfId="17" applyFont="1" applyFill="1" applyBorder="1" applyAlignment="1">
      <alignment horizontal="center" vertical="center" wrapText="1"/>
    </xf>
    <xf numFmtId="0" fontId="31" fillId="14" borderId="24" xfId="17" applyFont="1" applyFill="1" applyBorder="1" applyAlignment="1">
      <alignment horizontal="center" vertical="center" wrapText="1"/>
    </xf>
    <xf numFmtId="0" fontId="31" fillId="14" borderId="25" xfId="17" applyFont="1" applyFill="1" applyBorder="1" applyAlignment="1">
      <alignment horizontal="center" vertical="center" wrapText="1"/>
    </xf>
    <xf numFmtId="0" fontId="31" fillId="14" borderId="115" xfId="17" applyFont="1" applyFill="1" applyBorder="1" applyAlignment="1">
      <alignment horizontal="center" vertical="center"/>
    </xf>
    <xf numFmtId="0" fontId="31" fillId="14" borderId="43" xfId="17" applyFont="1" applyFill="1" applyBorder="1" applyAlignment="1">
      <alignment horizontal="center" vertical="center"/>
    </xf>
    <xf numFmtId="0" fontId="31" fillId="14" borderId="41" xfId="17" applyFont="1" applyFill="1" applyBorder="1" applyAlignment="1">
      <alignment horizontal="center" vertical="center"/>
    </xf>
    <xf numFmtId="0" fontId="165" fillId="117" borderId="103" xfId="0" applyFont="1" applyFill="1" applyBorder="1" applyAlignment="1">
      <alignment horizontal="center" vertical="center"/>
    </xf>
    <xf numFmtId="0" fontId="185" fillId="0" borderId="105" xfId="0" applyFont="1" applyBorder="1" applyAlignment="1">
      <alignment horizontal="center" vertical="center"/>
    </xf>
    <xf numFmtId="0" fontId="185" fillId="0" borderId="107" xfId="0" applyFont="1" applyBorder="1" applyAlignment="1">
      <alignment horizontal="center" vertical="center"/>
    </xf>
    <xf numFmtId="0" fontId="165" fillId="119" borderId="0" xfId="0" applyFont="1" applyFill="1" applyAlignment="1">
      <alignment horizontal="center" vertical="center"/>
    </xf>
  </cellXfs>
  <cellStyles count="7870">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sharedStrings" Target="sharedStrings.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449132</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19844</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631031</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1249509</xdr:colOff>
      <xdr:row>3</xdr:row>
      <xdr:rowOff>133350</xdr:rowOff>
    </xdr:to>
    <xdr:pic>
      <xdr:nvPicPr>
        <xdr:cNvPr id="3" name="Imagen 2">
          <a:extLst>
            <a:ext uri="{FF2B5EF4-FFF2-40B4-BE49-F238E27FC236}">
              <a16:creationId xmlns:a16="http://schemas.microsoft.com/office/drawing/2014/main" id="{8936D4DE-B052-4A79-A2A5-892001C389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99766" y="0"/>
          <a:ext cx="1306659" cy="676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6</xdr:col>
      <xdr:colOff>53340</xdr:colOff>
      <xdr:row>4</xdr:row>
      <xdr:rowOff>113722</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632845</xdr:colOff>
      <xdr:row>0</xdr:row>
      <xdr:rowOff>0</xdr:rowOff>
    </xdr:from>
    <xdr:to>
      <xdr:col>23</xdr:col>
      <xdr:colOff>774914</xdr:colOff>
      <xdr:row>6</xdr:row>
      <xdr:rowOff>211897</xdr:rowOff>
    </xdr:to>
    <xdr:pic>
      <xdr:nvPicPr>
        <xdr:cNvPr id="3" name="Imagen 2">
          <a:extLst>
            <a:ext uri="{FF2B5EF4-FFF2-40B4-BE49-F238E27FC236}">
              <a16:creationId xmlns:a16="http://schemas.microsoft.com/office/drawing/2014/main" id="{6E3794FE-51D0-4D93-B79A-FEE3019C7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9320" y="0"/>
          <a:ext cx="2505560" cy="12967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632460</xdr:colOff>
      <xdr:row>0</xdr:row>
      <xdr:rowOff>0</xdr:rowOff>
    </xdr:from>
    <xdr:to>
      <xdr:col>6</xdr:col>
      <xdr:colOff>144780</xdr:colOff>
      <xdr:row>3</xdr:row>
      <xdr:rowOff>161245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6360" y="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7</xdr:col>
      <xdr:colOff>152400</xdr:colOff>
      <xdr:row>4</xdr:row>
      <xdr:rowOff>154231</xdr:rowOff>
    </xdr:to>
    <xdr:pic>
      <xdr:nvPicPr>
        <xdr:cNvPr id="3" name="Imagen 2">
          <a:extLst>
            <a:ext uri="{FF2B5EF4-FFF2-40B4-BE49-F238E27FC236}">
              <a16:creationId xmlns:a16="http://schemas.microsoft.com/office/drawing/2014/main" id="{0BF1821B-42B3-4E4F-A09C-B46F44957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85761" y="45720"/>
          <a:ext cx="1623059" cy="840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556684</xdr:colOff>
      <xdr:row>4</xdr:row>
      <xdr:rowOff>107809</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15</xdr:col>
      <xdr:colOff>99358</xdr:colOff>
      <xdr:row>3</xdr:row>
      <xdr:rowOff>155789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469053</xdr:colOff>
      <xdr:row>0</xdr:row>
      <xdr:rowOff>0</xdr:rowOff>
    </xdr:from>
    <xdr:to>
      <xdr:col>17</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828676</xdr:colOff>
      <xdr:row>5</xdr:row>
      <xdr:rowOff>14067</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48576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15</xdr:col>
      <xdr:colOff>48847</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707570</xdr:colOff>
      <xdr:row>0</xdr:row>
      <xdr:rowOff>0</xdr:rowOff>
    </xdr:from>
    <xdr:to>
      <xdr:col>13</xdr:col>
      <xdr:colOff>959184</xdr:colOff>
      <xdr:row>4</xdr:row>
      <xdr:rowOff>76200</xdr:rowOff>
    </xdr:to>
    <xdr:pic>
      <xdr:nvPicPr>
        <xdr:cNvPr id="3" name="Imagen 2">
          <a:extLst>
            <a:ext uri="{FF2B5EF4-FFF2-40B4-BE49-F238E27FC236}">
              <a16:creationId xmlns:a16="http://schemas.microsoft.com/office/drawing/2014/main" id="{F4D08902-CDC5-4A93-8558-27CA19939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25399" y="0"/>
          <a:ext cx="1514357" cy="7837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8.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5.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4.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54" Type="http://schemas.openxmlformats.org/officeDocument/2006/relationships/drawing" Target="../drawings/drawing12.xm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9.bin"/><Relationship Id="rId1" Type="http://schemas.openxmlformats.org/officeDocument/2006/relationships/customProperty" Target="../customProperty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customProperty" Target="../customProperty6.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6.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P54"/>
  <sheetViews>
    <sheetView showGridLines="0" zoomScale="96" zoomScaleNormal="96" workbookViewId="0"/>
  </sheetViews>
  <sheetFormatPr baseColWidth="10" defaultColWidth="11.453125" defaultRowHeight="14.5"/>
  <cols>
    <col min="1" max="1" width="2.453125" style="106" customWidth="1"/>
    <col min="2" max="2" width="39.453125" customWidth="1"/>
  </cols>
  <sheetData>
    <row r="1" spans="2:16">
      <c r="N1" s="106"/>
      <c r="O1" s="106"/>
    </row>
    <row r="2" spans="2:16">
      <c r="N2" s="106"/>
      <c r="O2" s="106"/>
    </row>
    <row r="3" spans="2:16">
      <c r="N3" s="106"/>
      <c r="O3" s="106"/>
    </row>
    <row r="4" spans="2:16">
      <c r="N4" s="106"/>
      <c r="O4" s="106"/>
    </row>
    <row r="5" spans="2:16">
      <c r="N5" s="106"/>
      <c r="O5" s="106"/>
    </row>
    <row r="6" spans="2:16" s="106" customFormat="1"/>
    <row r="7" spans="2:16">
      <c r="N7" s="106"/>
      <c r="O7" s="106"/>
    </row>
    <row r="8" spans="2:16" s="106" customFormat="1">
      <c r="B8" s="445" t="s">
        <v>855</v>
      </c>
      <c r="C8" s="445"/>
      <c r="D8" s="445"/>
      <c r="E8" s="445"/>
      <c r="F8" s="445"/>
      <c r="G8" s="445"/>
      <c r="H8" s="445"/>
      <c r="I8" s="445"/>
      <c r="J8" s="445"/>
      <c r="K8" s="445"/>
      <c r="L8" s="445"/>
      <c r="M8" s="445"/>
    </row>
    <row r="9" spans="2:16" s="106" customFormat="1">
      <c r="B9" s="473" t="s">
        <v>845</v>
      </c>
    </row>
    <row r="10" spans="2:16" s="106" customFormat="1">
      <c r="B10" s="5" t="s">
        <v>861</v>
      </c>
    </row>
    <row r="11" spans="2:16" s="106" customFormat="1">
      <c r="B11" s="5"/>
    </row>
    <row r="12" spans="2:16" s="106" customFormat="1">
      <c r="B12" s="161"/>
    </row>
    <row r="13" spans="2:16" s="106" customFormat="1">
      <c r="B13" s="448" t="s">
        <v>853</v>
      </c>
      <c r="C13" s="446"/>
      <c r="D13" s="446"/>
      <c r="E13" s="446"/>
      <c r="F13" s="446"/>
      <c r="G13" s="446"/>
      <c r="H13" s="446"/>
      <c r="I13" s="446"/>
      <c r="J13" s="446"/>
      <c r="K13" s="446"/>
      <c r="L13" s="446"/>
      <c r="M13" s="446"/>
      <c r="N13" s="447"/>
      <c r="O13" s="447"/>
      <c r="P13" s="447"/>
    </row>
    <row r="14" spans="2:16">
      <c r="B14" s="5"/>
      <c r="C14" s="106"/>
      <c r="N14" s="106"/>
      <c r="O14" s="106"/>
    </row>
    <row r="15" spans="2:16" s="106" customFormat="1">
      <c r="B15" s="442" t="s">
        <v>846</v>
      </c>
      <c r="C15" s="164"/>
      <c r="D15" s="164"/>
      <c r="E15" s="164"/>
      <c r="F15" s="164"/>
      <c r="G15" s="164"/>
      <c r="H15" s="164"/>
      <c r="I15" s="164"/>
      <c r="J15" s="164"/>
      <c r="K15" s="164"/>
      <c r="L15" s="164"/>
      <c r="M15" s="164"/>
    </row>
    <row r="16" spans="2:16" s="106" customFormat="1">
      <c r="B16" s="163" t="s">
        <v>852</v>
      </c>
    </row>
    <row r="17" spans="1:16">
      <c r="B17" s="441" t="s">
        <v>992</v>
      </c>
    </row>
    <row r="18" spans="1:16" s="106" customFormat="1">
      <c r="B18" s="441" t="s">
        <v>847</v>
      </c>
    </row>
    <row r="19" spans="1:16" s="106" customFormat="1">
      <c r="B19" s="5"/>
    </row>
    <row r="20" spans="1:16" s="106" customFormat="1">
      <c r="B20" s="441" t="s">
        <v>848</v>
      </c>
      <c r="C20" s="443"/>
      <c r="D20" s="443"/>
      <c r="E20" s="443"/>
      <c r="F20" s="443"/>
      <c r="G20" s="443"/>
      <c r="H20" s="443"/>
      <c r="I20" s="443"/>
      <c r="J20" s="443"/>
      <c r="K20" s="443"/>
      <c r="L20" s="443"/>
      <c r="M20" s="443"/>
      <c r="N20" s="443"/>
      <c r="O20" s="443"/>
      <c r="P20" s="443"/>
    </row>
    <row r="21" spans="1:16" s="106" customFormat="1">
      <c r="B21" s="441" t="s">
        <v>849</v>
      </c>
      <c r="C21" s="443"/>
      <c r="D21" s="443"/>
      <c r="E21" s="443"/>
      <c r="F21" s="443"/>
      <c r="G21" s="443"/>
      <c r="H21" s="443"/>
      <c r="I21" s="443"/>
      <c r="J21" s="443"/>
      <c r="K21" s="443"/>
      <c r="L21" s="443"/>
    </row>
    <row r="22" spans="1:16" s="106" customFormat="1">
      <c r="B22" s="444" t="s">
        <v>854</v>
      </c>
      <c r="C22" s="445"/>
      <c r="D22" s="445"/>
      <c r="E22" s="445"/>
      <c r="F22" s="445"/>
      <c r="G22" s="445"/>
      <c r="H22" s="445"/>
      <c r="I22" s="445"/>
      <c r="J22" s="445"/>
      <c r="K22" s="445"/>
      <c r="L22" s="445"/>
      <c r="M22" s="445"/>
      <c r="N22" s="445"/>
      <c r="O22" s="445"/>
      <c r="P22" s="116"/>
    </row>
    <row r="23" spans="1:16" s="106" customFormat="1">
      <c r="B23" s="5"/>
    </row>
    <row r="24" spans="1:16">
      <c r="B24" s="162"/>
      <c r="C24" s="106"/>
    </row>
    <row r="25" spans="1:16" ht="15" thickBot="1">
      <c r="B25" s="440" t="s">
        <v>850</v>
      </c>
      <c r="C25" s="106"/>
    </row>
    <row r="26" spans="1:16" ht="15" thickTop="1">
      <c r="B26" s="2" t="s">
        <v>0</v>
      </c>
      <c r="C26" s="106"/>
    </row>
    <row r="27" spans="1:16" s="106" customFormat="1">
      <c r="B27" s="2" t="s">
        <v>1</v>
      </c>
      <c r="C27" s="2" t="s">
        <v>2</v>
      </c>
    </row>
    <row r="28" spans="1:16" s="106" customFormat="1">
      <c r="B28" s="2"/>
      <c r="C28" s="2" t="s">
        <v>3</v>
      </c>
    </row>
    <row r="29" spans="1:16" s="106" customFormat="1">
      <c r="B29" s="2"/>
      <c r="C29" s="2" t="s">
        <v>4</v>
      </c>
    </row>
    <row r="30" spans="1:16" s="1" customFormat="1">
      <c r="A30" s="106"/>
      <c r="B30" s="2"/>
      <c r="C30" s="106"/>
    </row>
    <row r="31" spans="1:16" s="106" customFormat="1">
      <c r="B31" s="2" t="s">
        <v>5</v>
      </c>
    </row>
    <row r="32" spans="1:16" s="1" customFormat="1">
      <c r="A32" s="106"/>
      <c r="B32" s="2" t="s">
        <v>856</v>
      </c>
      <c r="C32" s="106"/>
    </row>
    <row r="33" spans="1:3" s="106" customFormat="1">
      <c r="B33" s="2" t="s">
        <v>6</v>
      </c>
      <c r="C33" s="2" t="s">
        <v>7</v>
      </c>
    </row>
    <row r="34" spans="1:3" s="106" customFormat="1">
      <c r="B34" s="2"/>
      <c r="C34" s="2" t="s">
        <v>8</v>
      </c>
    </row>
    <row r="35" spans="1:3" s="106" customFormat="1">
      <c r="B35" s="2"/>
      <c r="C35" s="2" t="s">
        <v>9</v>
      </c>
    </row>
    <row r="36" spans="1:3" s="1" customFormat="1">
      <c r="A36" s="106"/>
      <c r="B36" s="2"/>
      <c r="C36" s="106"/>
    </row>
    <row r="37" spans="1:3" s="1" customFormat="1">
      <c r="A37" s="106"/>
      <c r="B37" s="2" t="s">
        <v>10</v>
      </c>
      <c r="C37" s="106"/>
    </row>
    <row r="38" spans="1:3" s="1" customFormat="1">
      <c r="A38" s="106"/>
      <c r="B38" s="2" t="s">
        <v>11</v>
      </c>
      <c r="C38" s="106"/>
    </row>
    <row r="39" spans="1:3" s="1" customFormat="1">
      <c r="A39" s="106"/>
      <c r="B39" s="2"/>
      <c r="C39" s="106"/>
    </row>
    <row r="40" spans="1:3" s="1" customFormat="1" ht="15" thickBot="1">
      <c r="A40" s="106"/>
      <c r="B40" s="3" t="s">
        <v>12</v>
      </c>
      <c r="C40" s="106"/>
    </row>
    <row r="41" spans="1:3" s="1" customFormat="1" ht="15" thickTop="1">
      <c r="A41" s="106"/>
      <c r="B41" s="2"/>
      <c r="C41" s="106"/>
    </row>
    <row r="42" spans="1:3" s="1" customFormat="1" ht="15" thickBot="1">
      <c r="A42" s="106"/>
      <c r="B42" s="3" t="s">
        <v>13</v>
      </c>
      <c r="C42" s="106"/>
    </row>
    <row r="43" spans="1:3" s="1" customFormat="1" ht="15" thickTop="1">
      <c r="A43" s="106"/>
      <c r="B43" s="2"/>
      <c r="C43" s="106"/>
    </row>
    <row r="44" spans="1:3" s="1" customFormat="1" ht="15" thickBot="1">
      <c r="A44" s="106"/>
      <c r="B44" s="3" t="s">
        <v>14</v>
      </c>
      <c r="C44" s="106"/>
    </row>
    <row r="45" spans="1:3" ht="15" thickTop="1">
      <c r="B45" s="2"/>
      <c r="C45" s="106"/>
    </row>
    <row r="46" spans="1:3" ht="15" thickBot="1">
      <c r="B46" s="3" t="s">
        <v>857</v>
      </c>
      <c r="C46" s="106"/>
    </row>
    <row r="47" spans="1:3" s="1" customFormat="1" ht="15" thickTop="1">
      <c r="A47" s="106"/>
      <c r="B47" s="106"/>
      <c r="C47" s="106"/>
    </row>
    <row r="48" spans="1:3" s="106" customFormat="1" ht="15" thickBot="1">
      <c r="B48" s="3" t="s">
        <v>993</v>
      </c>
    </row>
    <row r="49" spans="1:3" s="106" customFormat="1" ht="15" thickTop="1"/>
    <row r="50" spans="1:3" s="1" customFormat="1" ht="15" thickBot="1">
      <c r="A50" s="106"/>
      <c r="B50" s="3" t="s">
        <v>15</v>
      </c>
      <c r="C50" s="106"/>
    </row>
    <row r="51" spans="1:3" ht="15" thickTop="1">
      <c r="B51" s="106"/>
      <c r="C51" s="2"/>
    </row>
    <row r="52" spans="1:3" s="106" customFormat="1" ht="15" thickBot="1">
      <c r="B52" s="3" t="s">
        <v>16</v>
      </c>
      <c r="C52" s="2"/>
    </row>
    <row r="53" spans="1:3" ht="15" thickTop="1">
      <c r="B53" s="160"/>
      <c r="C53" s="106"/>
    </row>
    <row r="54" spans="1:3">
      <c r="B54" s="106"/>
    </row>
  </sheetData>
  <hyperlinks>
    <hyperlink ref="B26" location="EEFF_Consolidados!A1" display="Estados financieros trimestrales consolidados" xr:uid="{00000000-0004-0000-0000-000000000000}"/>
    <hyperlink ref="B27" location="EEFF_TE_Col!A1" display="Estados financieros trimestrales TE Colombia" xr:uid="{7E6F6CFF-E761-49BF-A934-0EA116AF33ED}"/>
    <hyperlink ref="B31" location="EEFF_TE_Bra!A1" display="Estados financieros trimestrales TE Brasil" xr:uid="{1CE76657-47E0-4197-B72B-0ED45E4C882B}"/>
    <hyperlink ref="B33" location="EEFF_TE_Per!A1" display="Estados financieros trimestrales TE Perú" xr:uid="{200DF45A-7917-4E73-8BDF-BE4CF58F9F28}"/>
    <hyperlink ref="B37" location="EEFF_TE_Chi!A1" display="Estados financieros trimestrales TE Chile" xr:uid="{9404645F-4732-49CF-86CA-3B4C5E10EA64}"/>
    <hyperlink ref="B38" location="EEFF_Vías_Chi!A1" display="Estados financieros trimestrales Vías Chile" xr:uid="{7BD5C8AC-35BD-4061-8513-DD7A2BA25D7D}"/>
    <hyperlink ref="B40" location="'Deuda_Consolidada Créditos'!A1" display="Deuda Consolidada Créditos" xr:uid="{8A1642F2-8656-41A0-B082-8565DBAF0118}"/>
    <hyperlink ref="B44" location="CAPEX!A1" display="CAPEX" xr:uid="{996044DD-0C6C-4E11-8CDE-49E6BE1A26D7}"/>
    <hyperlink ref="B46" location="'Regulación TE'!A1" display="Regulación TE" xr:uid="{13DB8F89-E104-4408-8442-B29EDBBBE8CA}"/>
    <hyperlink ref="B50" location="Dividendos!A1" display="Dividendos" xr:uid="{77B44262-DE9D-4708-A60D-A4C9378FD338}"/>
    <hyperlink ref="B42" location="'Deuda_Consolidada Bonos'!A1" display="Deuda Consolidada Bonos" xr:uid="{4D595DFC-CF37-4502-A9B0-DB417757387B}"/>
    <hyperlink ref="C28" location="EEFF_TE_Col!A92" display="Intercolombia" xr:uid="{071F9AAF-13FB-457D-B7A5-124627FBFAB4}"/>
    <hyperlink ref="C29" location="EEFF_TE_Col!A183" display="Transelca" xr:uid="{E6F78E96-2CDA-4E58-BC07-31864051A819}"/>
    <hyperlink ref="C33" location="EEFF_TE_Per!A3" display="Transmantaro" xr:uid="{C47B0ADD-CB04-48AF-83AF-403E121AD9B1}"/>
    <hyperlink ref="C34" location="EEFF_TE_Per!A116" display="REP" xr:uid="{E15AAFC1-A4A4-4A2F-8FCF-B1A6A884844E}"/>
    <hyperlink ref="C35" location="EEFF_TE_Per!A168" display="ISA Perú" xr:uid="{83C3C887-AEF0-4559-98C9-B708470631E1}"/>
    <hyperlink ref="B52" location="Proyectos!A1" display="Proyectos" xr:uid="{D169357F-578B-4BF9-980B-22F719388FDC}"/>
    <hyperlink ref="B51:C51" location="Proyectos!A1" display="Dividendos" xr:uid="{25976DEF-6DD5-49CE-A887-FCC69AD9C702}"/>
    <hyperlink ref="B32" location="'Flujo RBSE'!A1" display="Flujo RBSE" xr:uid="{4A62FAF4-6ACC-41F8-9AAC-FD873A5D1D17}"/>
    <hyperlink ref="C27" location="EEFF_TE_Col!A3" display="ISA" xr:uid="{147FB5A3-52FC-4FC0-8BC8-AD20892016A9}"/>
    <hyperlink ref="B48" location="'Regulación Vías'!A1" display="Regulación Vías" xr:uid="{E4288118-EEC3-4CE7-A1C2-0661B347AD57}"/>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285A-702D-4F9E-BCF4-56CECF62D836}">
  <dimension ref="A1:Q88"/>
  <sheetViews>
    <sheetView showGridLines="0" zoomScale="80" zoomScaleNormal="80" workbookViewId="0">
      <pane xSplit="1" ySplit="5" topLeftCell="B6" activePane="bottomRight" state="frozen"/>
      <selection pane="topRight" activeCell="B1" sqref="B1"/>
      <selection pane="bottomLeft" activeCell="A4" sqref="A4"/>
      <selection pane="bottomRight" activeCell="O89" sqref="O89"/>
    </sheetView>
  </sheetViews>
  <sheetFormatPr baseColWidth="10" defaultColWidth="10.81640625" defaultRowHeight="14.5"/>
  <cols>
    <col min="1" max="1" width="5.1796875" style="1" customWidth="1"/>
    <col min="2" max="2" width="17.54296875" style="1" customWidth="1"/>
    <col min="3" max="3" width="10.81640625" style="1"/>
    <col min="4" max="4" width="32.81640625" style="1" customWidth="1"/>
    <col min="5" max="5" width="10.81640625" style="1"/>
    <col min="6" max="7" width="14.54296875" style="1" customWidth="1"/>
    <col min="8" max="12" width="10.81640625" style="1"/>
    <col min="13" max="13" width="21" style="1" customWidth="1"/>
    <col min="14" max="14" width="16.54296875" style="1" customWidth="1"/>
    <col min="15" max="15" width="16" style="1" customWidth="1"/>
    <col min="16" max="17" width="10.81640625" style="1"/>
    <col min="18" max="18" width="10.81640625" style="1" customWidth="1"/>
    <col min="19" max="16384" width="10.81640625" style="1"/>
  </cols>
  <sheetData>
    <row r="1" spans="1:15">
      <c r="A1" s="2" t="s">
        <v>17</v>
      </c>
      <c r="B1" s="106"/>
      <c r="C1" s="106"/>
      <c r="D1" s="106"/>
      <c r="E1" s="106"/>
      <c r="F1" s="106"/>
      <c r="G1" s="106"/>
      <c r="H1" s="106"/>
      <c r="I1" s="106"/>
      <c r="J1" s="106"/>
      <c r="K1" s="106"/>
      <c r="L1" s="106"/>
    </row>
    <row r="2" spans="1:15" s="106" customFormat="1">
      <c r="A2" s="2"/>
    </row>
    <row r="3" spans="1:15" s="106" customFormat="1">
      <c r="A3" s="2"/>
    </row>
    <row r="5" spans="1:15" s="39" customFormat="1" ht="36" customHeight="1">
      <c r="B5" s="84" t="s">
        <v>405</v>
      </c>
      <c r="C5" s="144" t="s">
        <v>433</v>
      </c>
      <c r="D5" s="143" t="s">
        <v>406</v>
      </c>
      <c r="E5" s="130" t="s">
        <v>407</v>
      </c>
      <c r="F5" s="85" t="s">
        <v>434</v>
      </c>
      <c r="G5" s="144" t="s">
        <v>409</v>
      </c>
      <c r="H5" s="85" t="s">
        <v>410</v>
      </c>
      <c r="I5" s="667" t="s">
        <v>411</v>
      </c>
      <c r="J5" s="668"/>
      <c r="K5" s="669"/>
      <c r="L5" s="133"/>
      <c r="M5" s="85" t="s">
        <v>956</v>
      </c>
      <c r="N5" s="85" t="s">
        <v>957</v>
      </c>
      <c r="O5" s="85" t="s">
        <v>958</v>
      </c>
    </row>
    <row r="6" spans="1:15" s="39" customFormat="1" ht="3.75" customHeight="1">
      <c r="B6" s="40"/>
      <c r="C6" s="40"/>
      <c r="D6" s="40"/>
      <c r="E6" s="40"/>
      <c r="F6" s="40"/>
      <c r="G6" s="40"/>
      <c r="H6" s="40"/>
      <c r="I6" s="40"/>
      <c r="J6" s="40"/>
      <c r="K6" s="40"/>
      <c r="L6" s="81"/>
      <c r="M6" s="40"/>
      <c r="N6" s="40"/>
      <c r="O6" s="40"/>
    </row>
    <row r="7" spans="1:15" s="39" customFormat="1" ht="15" thickBot="1">
      <c r="A7" s="119" t="s">
        <v>105</v>
      </c>
      <c r="B7" s="41" t="s">
        <v>412</v>
      </c>
      <c r="C7" s="41"/>
      <c r="D7" s="41"/>
      <c r="E7" s="41"/>
      <c r="F7" s="41"/>
      <c r="G7" s="41"/>
      <c r="H7" s="41"/>
      <c r="I7" s="41"/>
      <c r="J7" s="42"/>
      <c r="K7" s="42"/>
      <c r="L7" s="133"/>
      <c r="M7" s="42"/>
      <c r="N7" s="43">
        <f>+N30+N33+N37</f>
        <v>4491590.2014150014</v>
      </c>
      <c r="O7" s="44">
        <f>+O30+O33+O37</f>
        <v>1308547.7644326293</v>
      </c>
    </row>
    <row r="8" spans="1:15" s="39" customFormat="1" ht="4.5" customHeight="1" thickTop="1">
      <c r="B8" s="86"/>
      <c r="C8" s="45"/>
      <c r="D8" s="40"/>
      <c r="E8" s="40"/>
      <c r="F8" s="40"/>
      <c r="G8" s="40"/>
      <c r="H8" s="40"/>
      <c r="I8" s="40"/>
      <c r="J8" s="40"/>
      <c r="K8" s="40"/>
      <c r="L8" s="81"/>
      <c r="M8" s="40"/>
      <c r="N8" s="46"/>
      <c r="O8" s="80"/>
    </row>
    <row r="9" spans="1:15" s="39" customFormat="1" ht="14">
      <c r="B9" s="670" t="s">
        <v>2</v>
      </c>
      <c r="C9" s="76" t="s">
        <v>435</v>
      </c>
      <c r="D9" s="47" t="s">
        <v>436</v>
      </c>
      <c r="E9" s="48" t="s">
        <v>437</v>
      </c>
      <c r="F9" s="49">
        <v>40878</v>
      </c>
      <c r="G9" s="50">
        <v>45261</v>
      </c>
      <c r="H9" s="51">
        <v>12.008219178082191</v>
      </c>
      <c r="I9" s="52" t="s">
        <v>438</v>
      </c>
      <c r="J9" s="53" t="s">
        <v>439</v>
      </c>
      <c r="K9" s="59">
        <v>4.4699999999999997E-2</v>
      </c>
      <c r="L9" s="133"/>
      <c r="M9" s="57">
        <v>180000000000</v>
      </c>
      <c r="N9" s="134">
        <v>179999.99999994738</v>
      </c>
      <c r="O9" s="57">
        <v>52439.912600130338</v>
      </c>
    </row>
    <row r="10" spans="1:15" s="39" customFormat="1" ht="14">
      <c r="B10" s="671"/>
      <c r="C10" s="76" t="s">
        <v>435</v>
      </c>
      <c r="D10" s="47" t="s">
        <v>440</v>
      </c>
      <c r="E10" s="48" t="s">
        <v>437</v>
      </c>
      <c r="F10" s="49">
        <v>40878</v>
      </c>
      <c r="G10" s="50">
        <v>51836</v>
      </c>
      <c r="H10" s="51">
        <v>30.021917808219179</v>
      </c>
      <c r="I10" s="52" t="s">
        <v>438</v>
      </c>
      <c r="J10" s="53" t="s">
        <v>439</v>
      </c>
      <c r="K10" s="59">
        <v>4.8399999999999999E-2</v>
      </c>
      <c r="L10" s="81"/>
      <c r="M10" s="57">
        <v>120000000000</v>
      </c>
      <c r="N10" s="134">
        <v>119999.99999996492</v>
      </c>
      <c r="O10" s="57">
        <v>34959.941733420223</v>
      </c>
    </row>
    <row r="11" spans="1:15" s="39" customFormat="1" ht="14">
      <c r="B11" s="671"/>
      <c r="C11" s="76" t="s">
        <v>435</v>
      </c>
      <c r="D11" s="47" t="s">
        <v>441</v>
      </c>
      <c r="E11" s="48" t="s">
        <v>437</v>
      </c>
      <c r="F11" s="49">
        <v>41416</v>
      </c>
      <c r="G11" s="50">
        <v>44703</v>
      </c>
      <c r="H11" s="51">
        <v>9.0054794520547947</v>
      </c>
      <c r="I11" s="52" t="s">
        <v>438</v>
      </c>
      <c r="J11" s="53" t="s">
        <v>439</v>
      </c>
      <c r="K11" s="59">
        <v>2.8400000000000002E-2</v>
      </c>
      <c r="L11" s="133"/>
      <c r="M11" s="57">
        <v>120000000000</v>
      </c>
      <c r="N11" s="134">
        <v>119999.99999996492</v>
      </c>
      <c r="O11" s="57">
        <v>34959.941733420223</v>
      </c>
    </row>
    <row r="12" spans="1:15" s="39" customFormat="1" ht="14">
      <c r="B12" s="671"/>
      <c r="C12" s="76" t="s">
        <v>435</v>
      </c>
      <c r="D12" s="47" t="s">
        <v>442</v>
      </c>
      <c r="E12" s="48" t="s">
        <v>437</v>
      </c>
      <c r="F12" s="49">
        <v>41416</v>
      </c>
      <c r="G12" s="50">
        <v>46895</v>
      </c>
      <c r="H12" s="51">
        <v>15.010958904109589</v>
      </c>
      <c r="I12" s="52" t="s">
        <v>438</v>
      </c>
      <c r="J12" s="53" t="s">
        <v>439</v>
      </c>
      <c r="K12" s="59">
        <v>3.2500000000000001E-2</v>
      </c>
      <c r="L12" s="81"/>
      <c r="M12" s="57">
        <v>100000000000</v>
      </c>
      <c r="N12" s="134">
        <v>99999.999999970765</v>
      </c>
      <c r="O12" s="57">
        <v>29133.284777850185</v>
      </c>
    </row>
    <row r="13" spans="1:15" s="39" customFormat="1" ht="14">
      <c r="B13" s="671"/>
      <c r="C13" s="76" t="s">
        <v>435</v>
      </c>
      <c r="D13" s="47" t="s">
        <v>443</v>
      </c>
      <c r="E13" s="48" t="s">
        <v>437</v>
      </c>
      <c r="F13" s="49">
        <v>42131</v>
      </c>
      <c r="G13" s="50">
        <v>45784</v>
      </c>
      <c r="H13" s="51">
        <v>10.008219178082191</v>
      </c>
      <c r="I13" s="52" t="s">
        <v>438</v>
      </c>
      <c r="J13" s="53" t="s">
        <v>439</v>
      </c>
      <c r="K13" s="59">
        <v>3.7999999999999999E-2</v>
      </c>
      <c r="L13" s="133"/>
      <c r="M13" s="57">
        <v>100000000000</v>
      </c>
      <c r="N13" s="134">
        <v>99999.999999970765</v>
      </c>
      <c r="O13" s="57">
        <v>29133.284777850185</v>
      </c>
    </row>
    <row r="14" spans="1:15" s="39" customFormat="1" ht="14">
      <c r="B14" s="671"/>
      <c r="C14" s="76" t="s">
        <v>435</v>
      </c>
      <c r="D14" s="47" t="s">
        <v>444</v>
      </c>
      <c r="E14" s="48" t="s">
        <v>437</v>
      </c>
      <c r="F14" s="49">
        <v>42131</v>
      </c>
      <c r="G14" s="50">
        <v>47610</v>
      </c>
      <c r="H14" s="51">
        <v>15.010958904109589</v>
      </c>
      <c r="I14" s="52" t="s">
        <v>438</v>
      </c>
      <c r="J14" s="53" t="s">
        <v>439</v>
      </c>
      <c r="K14" s="59">
        <v>4.1399999999999999E-2</v>
      </c>
      <c r="L14" s="81"/>
      <c r="M14" s="57">
        <v>120000000000</v>
      </c>
      <c r="N14" s="134">
        <v>119999.99999996492</v>
      </c>
      <c r="O14" s="57">
        <v>34959.941733420223</v>
      </c>
    </row>
    <row r="15" spans="1:15" s="39" customFormat="1" ht="14">
      <c r="B15" s="671"/>
      <c r="C15" s="76" t="s">
        <v>435</v>
      </c>
      <c r="D15" s="47" t="s">
        <v>445</v>
      </c>
      <c r="E15" s="48" t="s">
        <v>437</v>
      </c>
      <c r="F15" s="49">
        <v>42131</v>
      </c>
      <c r="G15" s="50">
        <v>49436</v>
      </c>
      <c r="H15" s="51">
        <v>20.013698630136986</v>
      </c>
      <c r="I15" s="52" t="s">
        <v>438</v>
      </c>
      <c r="J15" s="53" t="s">
        <v>439</v>
      </c>
      <c r="K15" s="59">
        <v>4.3400000000000001E-2</v>
      </c>
      <c r="L15" s="133"/>
      <c r="M15" s="57">
        <v>280000000000</v>
      </c>
      <c r="N15" s="134">
        <v>279999.99999991816</v>
      </c>
      <c r="O15" s="57">
        <v>81573.197377980541</v>
      </c>
    </row>
    <row r="16" spans="1:15" s="39" customFormat="1" ht="14">
      <c r="B16" s="671"/>
      <c r="C16" s="76" t="s">
        <v>435</v>
      </c>
      <c r="D16" s="47" t="s">
        <v>446</v>
      </c>
      <c r="E16" s="48" t="s">
        <v>437</v>
      </c>
      <c r="F16" s="49">
        <v>42416</v>
      </c>
      <c r="G16" s="50">
        <v>45338</v>
      </c>
      <c r="H16" s="51">
        <v>8.0054794520547947</v>
      </c>
      <c r="I16" s="52" t="s">
        <v>438</v>
      </c>
      <c r="J16" s="53" t="s">
        <v>439</v>
      </c>
      <c r="K16" s="59">
        <v>4.7300000000000002E-2</v>
      </c>
      <c r="L16" s="81"/>
      <c r="M16" s="57">
        <v>115000000000</v>
      </c>
      <c r="N16" s="134">
        <v>114999.99999996639</v>
      </c>
      <c r="O16" s="57">
        <v>33503.277494527712</v>
      </c>
    </row>
    <row r="17" spans="2:15" s="39" customFormat="1" ht="14">
      <c r="B17" s="671"/>
      <c r="C17" s="76" t="s">
        <v>435</v>
      </c>
      <c r="D17" s="47" t="s">
        <v>447</v>
      </c>
      <c r="E17" s="48" t="s">
        <v>437</v>
      </c>
      <c r="F17" s="49">
        <v>42416</v>
      </c>
      <c r="G17" s="50">
        <v>46799</v>
      </c>
      <c r="H17" s="51">
        <v>12.008219178082191</v>
      </c>
      <c r="I17" s="52" t="s">
        <v>438</v>
      </c>
      <c r="J17" s="53" t="s">
        <v>439</v>
      </c>
      <c r="K17" s="59">
        <v>5.0500000000000003E-2</v>
      </c>
      <c r="L17" s="133"/>
      <c r="M17" s="57">
        <v>152000000000</v>
      </c>
      <c r="N17" s="134">
        <v>151999.99999995556</v>
      </c>
      <c r="O17" s="57">
        <v>44282.592862332276</v>
      </c>
    </row>
    <row r="18" spans="2:15" s="39" customFormat="1" ht="14">
      <c r="B18" s="671"/>
      <c r="C18" s="76" t="s">
        <v>435</v>
      </c>
      <c r="D18" s="47" t="s">
        <v>448</v>
      </c>
      <c r="E18" s="48" t="s">
        <v>437</v>
      </c>
      <c r="F18" s="49">
        <v>42416</v>
      </c>
      <c r="G18" s="50">
        <v>51548</v>
      </c>
      <c r="H18" s="51">
        <v>25.019178082191782</v>
      </c>
      <c r="I18" s="52" t="s">
        <v>438</v>
      </c>
      <c r="J18" s="53" t="s">
        <v>439</v>
      </c>
      <c r="K18" s="59">
        <v>5.3800000000000001E-2</v>
      </c>
      <c r="L18" s="81"/>
      <c r="M18" s="57">
        <v>133000000000</v>
      </c>
      <c r="N18" s="134">
        <v>132999.99999996112</v>
      </c>
      <c r="O18" s="57">
        <v>38747.268754540746</v>
      </c>
    </row>
    <row r="19" spans="2:15" s="39" customFormat="1" ht="14">
      <c r="B19" s="671"/>
      <c r="C19" s="76" t="s">
        <v>435</v>
      </c>
      <c r="D19" s="47" t="s">
        <v>449</v>
      </c>
      <c r="E19" s="48" t="s">
        <v>437</v>
      </c>
      <c r="F19" s="49">
        <v>42843</v>
      </c>
      <c r="G19" s="50">
        <v>45400</v>
      </c>
      <c r="H19" s="51">
        <v>7.0054794520547947</v>
      </c>
      <c r="I19" s="69" t="s">
        <v>450</v>
      </c>
      <c r="J19" s="53">
        <v>0</v>
      </c>
      <c r="K19" s="54">
        <v>6.7500000000000004E-2</v>
      </c>
      <c r="L19" s="133"/>
      <c r="M19" s="57">
        <v>260780000000</v>
      </c>
      <c r="N19" s="134">
        <v>260779.99999992378</v>
      </c>
      <c r="O19" s="57">
        <v>75973.780043677718</v>
      </c>
    </row>
    <row r="20" spans="2:15" s="39" customFormat="1" ht="14">
      <c r="B20" s="671"/>
      <c r="C20" s="76" t="s">
        <v>435</v>
      </c>
      <c r="D20" s="47" t="s">
        <v>451</v>
      </c>
      <c r="E20" s="48" t="s">
        <v>437</v>
      </c>
      <c r="F20" s="49">
        <v>42843</v>
      </c>
      <c r="G20" s="50">
        <v>48322</v>
      </c>
      <c r="H20" s="51">
        <v>15.010958904109589</v>
      </c>
      <c r="I20" s="52" t="s">
        <v>438</v>
      </c>
      <c r="J20" s="53" t="s">
        <v>439</v>
      </c>
      <c r="K20" s="59">
        <v>3.8100000000000002E-2</v>
      </c>
      <c r="L20" s="81"/>
      <c r="M20" s="57">
        <v>196300000000</v>
      </c>
      <c r="N20" s="134">
        <v>196299.99999994261</v>
      </c>
      <c r="O20" s="57">
        <v>57188.638018919919</v>
      </c>
    </row>
    <row r="21" spans="2:15" s="39" customFormat="1" ht="14">
      <c r="B21" s="671"/>
      <c r="C21" s="76" t="s">
        <v>435</v>
      </c>
      <c r="D21" s="47" t="s">
        <v>452</v>
      </c>
      <c r="E21" s="48" t="s">
        <v>437</v>
      </c>
      <c r="F21" s="49">
        <v>42843</v>
      </c>
      <c r="G21" s="50">
        <v>51974</v>
      </c>
      <c r="H21" s="51">
        <v>25.016438356164382</v>
      </c>
      <c r="I21" s="52" t="s">
        <v>438</v>
      </c>
      <c r="J21" s="53" t="s">
        <v>439</v>
      </c>
      <c r="K21" s="59">
        <v>0.04</v>
      </c>
      <c r="L21" s="133"/>
      <c r="M21" s="57">
        <v>242920000000</v>
      </c>
      <c r="N21" s="134">
        <v>242919.99999992899</v>
      </c>
      <c r="O21" s="57">
        <v>70770.575382353665</v>
      </c>
    </row>
    <row r="22" spans="2:15" s="39" customFormat="1" ht="14">
      <c r="B22" s="671"/>
      <c r="C22" s="76" t="s">
        <v>435</v>
      </c>
      <c r="D22" s="47" t="s">
        <v>453</v>
      </c>
      <c r="E22" s="48" t="s">
        <v>437</v>
      </c>
      <c r="F22" s="49">
        <v>43067</v>
      </c>
      <c r="G22" s="50">
        <v>45989</v>
      </c>
      <c r="H22" s="51">
        <v>8.0054794520547947</v>
      </c>
      <c r="I22" s="69" t="s">
        <v>450</v>
      </c>
      <c r="J22" s="53">
        <v>0</v>
      </c>
      <c r="K22" s="54">
        <v>6.9900000000000004E-2</v>
      </c>
      <c r="L22" s="81"/>
      <c r="M22" s="57">
        <v>150080000000</v>
      </c>
      <c r="N22" s="134">
        <v>150079.99999995614</v>
      </c>
      <c r="O22" s="57">
        <v>43723.23379459756</v>
      </c>
    </row>
    <row r="23" spans="2:15" s="39" customFormat="1" ht="14">
      <c r="B23" s="671"/>
      <c r="C23" s="76" t="s">
        <v>435</v>
      </c>
      <c r="D23" s="47" t="s">
        <v>454</v>
      </c>
      <c r="E23" s="48" t="s">
        <v>437</v>
      </c>
      <c r="F23" s="49">
        <v>43067</v>
      </c>
      <c r="G23" s="50">
        <v>48180</v>
      </c>
      <c r="H23" s="51">
        <v>14.008219178082191</v>
      </c>
      <c r="I23" s="52" t="s">
        <v>438</v>
      </c>
      <c r="J23" s="53" t="s">
        <v>439</v>
      </c>
      <c r="K23" s="59">
        <v>3.7499999999999999E-2</v>
      </c>
      <c r="L23" s="133"/>
      <c r="M23" s="57">
        <v>120100000000</v>
      </c>
      <c r="N23" s="134">
        <v>120099.99999996489</v>
      </c>
      <c r="O23" s="57">
        <v>34989.075018198069</v>
      </c>
    </row>
    <row r="24" spans="2:15" s="39" customFormat="1" ht="14">
      <c r="B24" s="671"/>
      <c r="C24" s="76" t="s">
        <v>435</v>
      </c>
      <c r="D24" s="47" t="s">
        <v>455</v>
      </c>
      <c r="E24" s="48" t="s">
        <v>437</v>
      </c>
      <c r="F24" s="49">
        <v>43067</v>
      </c>
      <c r="G24" s="50">
        <v>54024</v>
      </c>
      <c r="H24" s="51">
        <v>30.019178082191782</v>
      </c>
      <c r="I24" s="52" t="s">
        <v>438</v>
      </c>
      <c r="J24" s="53" t="s">
        <v>439</v>
      </c>
      <c r="K24" s="59">
        <v>3.9800000000000002E-2</v>
      </c>
      <c r="L24" s="81"/>
      <c r="M24" s="57">
        <v>229820000000</v>
      </c>
      <c r="N24" s="134">
        <v>229819.99999993283</v>
      </c>
      <c r="O24" s="57">
        <v>66954.115076455317</v>
      </c>
    </row>
    <row r="25" spans="2:15" s="39" customFormat="1" ht="14">
      <c r="B25" s="671"/>
      <c r="C25" s="76" t="s">
        <v>435</v>
      </c>
      <c r="D25" s="47" t="s">
        <v>456</v>
      </c>
      <c r="E25" s="48" t="s">
        <v>437</v>
      </c>
      <c r="F25" s="49">
        <v>43306</v>
      </c>
      <c r="G25" s="50">
        <v>46593</v>
      </c>
      <c r="H25" s="51">
        <v>9.0054794520547947</v>
      </c>
      <c r="I25" s="52" t="s">
        <v>438</v>
      </c>
      <c r="J25" s="53" t="s">
        <v>439</v>
      </c>
      <c r="K25" s="59">
        <v>3.49E-2</v>
      </c>
      <c r="L25" s="133"/>
      <c r="M25" s="57">
        <v>156500000000</v>
      </c>
      <c r="N25" s="134">
        <v>156499.99999995425</v>
      </c>
      <c r="O25" s="57">
        <v>45593.590677335538</v>
      </c>
    </row>
    <row r="26" spans="2:15" s="39" customFormat="1" ht="14">
      <c r="B26" s="671"/>
      <c r="C26" s="76" t="s">
        <v>435</v>
      </c>
      <c r="D26" s="47" t="s">
        <v>457</v>
      </c>
      <c r="E26" s="48" t="s">
        <v>437</v>
      </c>
      <c r="F26" s="49">
        <v>43306</v>
      </c>
      <c r="G26" s="50">
        <v>48785</v>
      </c>
      <c r="H26" s="51">
        <v>15.010958904109589</v>
      </c>
      <c r="I26" s="52" t="s">
        <v>438</v>
      </c>
      <c r="J26" s="53" t="s">
        <v>439</v>
      </c>
      <c r="K26" s="59">
        <v>3.8899999999999997E-2</v>
      </c>
      <c r="L26" s="81"/>
      <c r="M26" s="57">
        <v>142063000000</v>
      </c>
      <c r="N26" s="134">
        <v>142062.99999995847</v>
      </c>
      <c r="O26" s="57">
        <v>41387.61835395731</v>
      </c>
    </row>
    <row r="27" spans="2:15" s="39" customFormat="1" ht="14">
      <c r="B27" s="671"/>
      <c r="C27" s="76" t="s">
        <v>435</v>
      </c>
      <c r="D27" s="47" t="s">
        <v>458</v>
      </c>
      <c r="E27" s="48" t="s">
        <v>437</v>
      </c>
      <c r="F27" s="49">
        <v>43306</v>
      </c>
      <c r="G27" s="50">
        <v>52437</v>
      </c>
      <c r="H27" s="51">
        <v>25.016438356164382</v>
      </c>
      <c r="I27" s="52" t="s">
        <v>438</v>
      </c>
      <c r="J27" s="53" t="s">
        <v>439</v>
      </c>
      <c r="K27" s="59">
        <v>4.07E-2</v>
      </c>
      <c r="L27" s="133"/>
      <c r="M27" s="57">
        <v>201437000000</v>
      </c>
      <c r="N27" s="134">
        <v>201436.99999994112</v>
      </c>
      <c r="O27" s="57">
        <v>58685.21485795809</v>
      </c>
    </row>
    <row r="28" spans="2:15" s="39" customFormat="1" ht="14">
      <c r="B28" s="671"/>
      <c r="C28" s="135" t="s">
        <v>435</v>
      </c>
      <c r="D28" s="47" t="s">
        <v>459</v>
      </c>
      <c r="E28" s="48" t="s">
        <v>437</v>
      </c>
      <c r="F28" s="49">
        <v>44056</v>
      </c>
      <c r="G28" s="50">
        <v>47343</v>
      </c>
      <c r="H28" s="51">
        <v>9.0054794520547947</v>
      </c>
      <c r="I28" s="69" t="s">
        <v>450</v>
      </c>
      <c r="J28" s="53">
        <v>0</v>
      </c>
      <c r="K28" s="59" t="s">
        <v>460</v>
      </c>
      <c r="L28" s="81"/>
      <c r="M28" s="57">
        <v>160000000000</v>
      </c>
      <c r="N28" s="134">
        <v>159999.99999995323</v>
      </c>
      <c r="O28" s="57">
        <v>46613.255644560297</v>
      </c>
    </row>
    <row r="29" spans="2:15" s="39" customFormat="1" ht="20.5" customHeight="1">
      <c r="B29" s="672"/>
      <c r="C29" s="135" t="s">
        <v>435</v>
      </c>
      <c r="D29" s="47" t="s">
        <v>461</v>
      </c>
      <c r="E29" s="48" t="s">
        <v>462</v>
      </c>
      <c r="F29" s="49">
        <v>44056</v>
      </c>
      <c r="G29" s="50">
        <v>51361</v>
      </c>
      <c r="H29" s="51">
        <v>20.013698630136986</v>
      </c>
      <c r="I29" s="69" t="s">
        <v>450</v>
      </c>
      <c r="J29" s="53">
        <v>0</v>
      </c>
      <c r="K29" s="59">
        <v>3.6700000000000003E-2</v>
      </c>
      <c r="L29" s="133"/>
      <c r="M29" s="57">
        <v>509780000</v>
      </c>
      <c r="N29" s="134">
        <v>140221.41222795902</v>
      </c>
      <c r="O29" s="57">
        <v>40851.103343906485</v>
      </c>
    </row>
    <row r="30" spans="2:15" s="39" customFormat="1" ht="14">
      <c r="B30" s="63"/>
      <c r="C30" s="147"/>
      <c r="E30" s="81"/>
      <c r="F30" s="81"/>
      <c r="G30" s="81"/>
      <c r="H30" s="81"/>
      <c r="I30" s="81"/>
      <c r="J30" s="81"/>
      <c r="K30" s="82"/>
      <c r="L30" s="81"/>
      <c r="M30" s="82"/>
      <c r="N30" s="61">
        <v>3420221.4122270015</v>
      </c>
      <c r="O30" s="62">
        <v>996422.84405739268</v>
      </c>
    </row>
    <row r="31" spans="2:15" s="39" customFormat="1" ht="14">
      <c r="B31" s="673" t="s">
        <v>959</v>
      </c>
      <c r="C31" s="76" t="s">
        <v>435</v>
      </c>
      <c r="D31" s="47" t="s">
        <v>960</v>
      </c>
      <c r="E31" s="48" t="s">
        <v>467</v>
      </c>
      <c r="F31" s="49">
        <v>42559</v>
      </c>
      <c r="G31" s="50">
        <v>48959</v>
      </c>
      <c r="H31" s="51">
        <v>17.534246575342465</v>
      </c>
      <c r="I31" s="52" t="s">
        <v>450</v>
      </c>
      <c r="J31" s="53">
        <v>0</v>
      </c>
      <c r="K31" s="59">
        <v>6.7500000000000004E-2</v>
      </c>
      <c r="L31" s="133"/>
      <c r="M31" s="57">
        <v>150800000</v>
      </c>
      <c r="N31" s="134">
        <v>517621.0000002468</v>
      </c>
      <c r="O31" s="57">
        <v>150800.00000007189</v>
      </c>
    </row>
    <row r="32" spans="2:15" s="39" customFormat="1" ht="14">
      <c r="B32" s="674"/>
      <c r="C32" s="76" t="s">
        <v>435</v>
      </c>
      <c r="D32" s="47" t="s">
        <v>961</v>
      </c>
      <c r="E32" s="48" t="s">
        <v>462</v>
      </c>
      <c r="F32" s="49">
        <v>42559</v>
      </c>
      <c r="G32" s="50">
        <v>48959</v>
      </c>
      <c r="H32" s="51">
        <v>17.534246575342465</v>
      </c>
      <c r="I32" s="52" t="s">
        <v>450</v>
      </c>
      <c r="J32" s="53">
        <v>0</v>
      </c>
      <c r="K32" s="59">
        <v>6.25E-2</v>
      </c>
      <c r="L32" s="133"/>
      <c r="M32" s="57">
        <v>1358773563.5</v>
      </c>
      <c r="N32" s="134">
        <v>373747.78918775328</v>
      </c>
      <c r="O32" s="57">
        <v>108885.00777501916</v>
      </c>
    </row>
    <row r="33" spans="1:15" s="39" customFormat="1" ht="14">
      <c r="B33" s="128"/>
      <c r="C33" s="510"/>
      <c r="E33" s="81"/>
      <c r="F33" s="81"/>
      <c r="G33" s="81"/>
      <c r="H33" s="81"/>
      <c r="I33" s="81"/>
      <c r="J33" s="81"/>
      <c r="K33" s="82"/>
      <c r="L33" s="133"/>
      <c r="M33" s="88"/>
      <c r="N33" s="61">
        <v>891368.78918800014</v>
      </c>
      <c r="O33" s="61">
        <v>259685.00777509104</v>
      </c>
    </row>
    <row r="34" spans="1:15" s="39" customFormat="1" ht="14">
      <c r="B34" s="128"/>
      <c r="C34" s="510"/>
      <c r="E34" s="81"/>
      <c r="F34" s="81"/>
      <c r="G34" s="81"/>
      <c r="H34" s="81"/>
      <c r="I34" s="81"/>
      <c r="J34" s="81"/>
      <c r="K34" s="82"/>
      <c r="L34" s="133"/>
      <c r="M34" s="82"/>
      <c r="N34" s="46"/>
      <c r="O34" s="46"/>
    </row>
    <row r="35" spans="1:15" s="39" customFormat="1" ht="14">
      <c r="B35" s="673" t="s">
        <v>463</v>
      </c>
      <c r="C35" s="76" t="s">
        <v>435</v>
      </c>
      <c r="D35" s="47" t="s">
        <v>464</v>
      </c>
      <c r="E35" s="48" t="s">
        <v>437</v>
      </c>
      <c r="F35" s="49">
        <v>40827</v>
      </c>
      <c r="G35" s="50">
        <v>44480</v>
      </c>
      <c r="H35" s="51">
        <v>10.008219178082191</v>
      </c>
      <c r="I35" s="52" t="s">
        <v>438</v>
      </c>
      <c r="J35" s="53" t="s">
        <v>439</v>
      </c>
      <c r="K35" s="59">
        <v>4.2000000000000003E-2</v>
      </c>
      <c r="L35" s="81"/>
      <c r="M35" s="57">
        <v>80000000000</v>
      </c>
      <c r="N35" s="134">
        <v>80000</v>
      </c>
      <c r="O35" s="57">
        <v>23306.627822286962</v>
      </c>
    </row>
    <row r="36" spans="1:15" s="39" customFormat="1" ht="21.65" customHeight="1">
      <c r="B36" s="674"/>
      <c r="C36" s="76" t="s">
        <v>435</v>
      </c>
      <c r="D36" s="47" t="s">
        <v>465</v>
      </c>
      <c r="E36" s="48" t="s">
        <v>437</v>
      </c>
      <c r="F36" s="49">
        <v>40827</v>
      </c>
      <c r="G36" s="50">
        <v>46306</v>
      </c>
      <c r="H36" s="51">
        <v>15.010958904109589</v>
      </c>
      <c r="I36" s="52" t="s">
        <v>438</v>
      </c>
      <c r="J36" s="53" t="s">
        <v>439</v>
      </c>
      <c r="K36" s="59">
        <v>4.48E-2</v>
      </c>
      <c r="L36" s="133"/>
      <c r="M36" s="57">
        <v>100000000000</v>
      </c>
      <c r="N36" s="134">
        <v>100000</v>
      </c>
      <c r="O36" s="57">
        <v>29133.284777858706</v>
      </c>
    </row>
    <row r="37" spans="1:15" s="39" customFormat="1">
      <c r="A37" s="119" t="s">
        <v>105</v>
      </c>
      <c r="C37" s="147"/>
      <c r="E37" s="81"/>
      <c r="F37" s="81"/>
      <c r="G37" s="81"/>
      <c r="H37" s="81"/>
      <c r="I37" s="81"/>
      <c r="J37" s="81"/>
      <c r="K37" s="82"/>
      <c r="L37" s="81"/>
      <c r="M37" s="82"/>
      <c r="N37" s="61">
        <v>180000</v>
      </c>
      <c r="O37" s="62">
        <v>52439.912600145668</v>
      </c>
    </row>
    <row r="38" spans="1:15" s="39" customFormat="1" ht="4.5" customHeight="1">
      <c r="C38" s="147"/>
      <c r="E38" s="81"/>
      <c r="F38" s="81"/>
      <c r="G38" s="81"/>
      <c r="H38" s="81"/>
      <c r="I38" s="81"/>
      <c r="J38" s="81"/>
      <c r="K38" s="81"/>
      <c r="L38" s="133"/>
      <c r="M38" s="81"/>
      <c r="N38" s="46"/>
      <c r="O38" s="80"/>
    </row>
    <row r="39" spans="1:15" s="39" customFormat="1" thickBot="1">
      <c r="B39" s="41" t="s">
        <v>414</v>
      </c>
      <c r="C39" s="41"/>
      <c r="D39" s="41"/>
      <c r="E39" s="41"/>
      <c r="F39" s="41"/>
      <c r="G39" s="41"/>
      <c r="H39" s="41"/>
      <c r="I39" s="41"/>
      <c r="J39" s="42"/>
      <c r="K39" s="42"/>
      <c r="L39" s="81"/>
      <c r="M39" s="42"/>
      <c r="N39" s="43">
        <f>+N48+N52</f>
        <v>4132846.0782255</v>
      </c>
      <c r="O39" s="44">
        <f>+O48+O52</f>
        <v>1204033.8174000001</v>
      </c>
    </row>
    <row r="40" spans="1:15" s="39" customFormat="1" thickTop="1">
      <c r="B40" s="45"/>
      <c r="C40" s="45"/>
      <c r="D40" s="40"/>
      <c r="E40" s="40"/>
      <c r="F40" s="40"/>
      <c r="G40" s="40"/>
      <c r="H40" s="40"/>
      <c r="I40" s="40"/>
      <c r="J40" s="40"/>
      <c r="K40" s="40"/>
      <c r="L40" s="133"/>
      <c r="M40" s="40"/>
      <c r="N40" s="46"/>
      <c r="O40" s="80"/>
    </row>
    <row r="41" spans="1:15" s="39" customFormat="1" ht="14">
      <c r="B41" s="670" t="s">
        <v>8</v>
      </c>
      <c r="C41" s="76" t="s">
        <v>435</v>
      </c>
      <c r="D41" s="70" t="s">
        <v>466</v>
      </c>
      <c r="E41" s="87" t="s">
        <v>467</v>
      </c>
      <c r="F41" s="50">
        <v>40563</v>
      </c>
      <c r="G41" s="50">
        <v>46041</v>
      </c>
      <c r="H41" s="71">
        <v>15.008219178082191</v>
      </c>
      <c r="I41" s="69" t="s">
        <v>450</v>
      </c>
      <c r="J41" s="53">
        <v>0</v>
      </c>
      <c r="K41" s="54">
        <v>6.5000000000000002E-2</v>
      </c>
      <c r="L41" s="81"/>
      <c r="M41" s="55">
        <v>38000000</v>
      </c>
      <c r="N41" s="136">
        <v>130634.1268498592</v>
      </c>
      <c r="O41" s="55">
        <v>38058.012192238653</v>
      </c>
    </row>
    <row r="42" spans="1:15" s="39" customFormat="1" ht="14">
      <c r="B42" s="671"/>
      <c r="C42" s="76" t="s">
        <v>435</v>
      </c>
      <c r="D42" s="70" t="s">
        <v>468</v>
      </c>
      <c r="E42" s="87" t="s">
        <v>467</v>
      </c>
      <c r="F42" s="50">
        <v>41201</v>
      </c>
      <c r="G42" s="50">
        <v>47957</v>
      </c>
      <c r="H42" s="71">
        <v>18.509589041095889</v>
      </c>
      <c r="I42" s="69" t="s">
        <v>450</v>
      </c>
      <c r="J42" s="53">
        <v>0</v>
      </c>
      <c r="K42" s="54">
        <v>5.8749999999999997E-2</v>
      </c>
      <c r="L42" s="133"/>
      <c r="M42" s="55">
        <v>40000000</v>
      </c>
      <c r="N42" s="136">
        <v>137509.6072103781</v>
      </c>
      <c r="O42" s="55">
        <v>40061.065465514381</v>
      </c>
    </row>
    <row r="43" spans="1:15" s="39" customFormat="1" ht="14">
      <c r="B43" s="671"/>
      <c r="C43" s="76" t="s">
        <v>435</v>
      </c>
      <c r="D43" s="70" t="s">
        <v>469</v>
      </c>
      <c r="E43" s="87" t="s">
        <v>470</v>
      </c>
      <c r="F43" s="50">
        <v>41220</v>
      </c>
      <c r="G43" s="50">
        <v>44873</v>
      </c>
      <c r="H43" s="71">
        <v>10.008219178082191</v>
      </c>
      <c r="I43" s="69" t="s">
        <v>450</v>
      </c>
      <c r="J43" s="53">
        <v>0</v>
      </c>
      <c r="K43" s="54">
        <v>5.3749999999999999E-2</v>
      </c>
      <c r="L43" s="81"/>
      <c r="M43" s="55">
        <v>104140000</v>
      </c>
      <c r="N43" s="136">
        <v>98869.445559850705</v>
      </c>
      <c r="O43" s="55">
        <v>28803.917133241284</v>
      </c>
    </row>
    <row r="44" spans="1:15" s="39" customFormat="1" ht="14">
      <c r="B44" s="671"/>
      <c r="C44" s="76" t="s">
        <v>435</v>
      </c>
      <c r="D44" s="70" t="s">
        <v>471</v>
      </c>
      <c r="E44" s="87" t="s">
        <v>470</v>
      </c>
      <c r="F44" s="50">
        <v>41312</v>
      </c>
      <c r="G44" s="50">
        <v>44964</v>
      </c>
      <c r="H44" s="71">
        <v>10.005479452054795</v>
      </c>
      <c r="I44" s="69" t="s">
        <v>450</v>
      </c>
      <c r="J44" s="53">
        <v>0</v>
      </c>
      <c r="K44" s="54">
        <v>5.1249999999999997E-2</v>
      </c>
      <c r="L44" s="133"/>
      <c r="M44" s="55">
        <v>77305000</v>
      </c>
      <c r="N44" s="136">
        <v>73392.572392973481</v>
      </c>
      <c r="O44" s="55">
        <v>21381.667121041071</v>
      </c>
    </row>
    <row r="45" spans="1:15" s="39" customFormat="1" ht="14">
      <c r="B45" s="671"/>
      <c r="C45" s="76" t="s">
        <v>435</v>
      </c>
      <c r="D45" s="70" t="s">
        <v>472</v>
      </c>
      <c r="E45" s="87" t="s">
        <v>467</v>
      </c>
      <c r="F45" s="50">
        <v>41834</v>
      </c>
      <c r="G45" s="50">
        <v>44391</v>
      </c>
      <c r="H45" s="71">
        <v>7.0054794520547947</v>
      </c>
      <c r="I45" s="69" t="s">
        <v>450</v>
      </c>
      <c r="J45" s="53">
        <v>0</v>
      </c>
      <c r="K45" s="54">
        <v>3.7499999999999999E-2</v>
      </c>
      <c r="L45" s="81"/>
      <c r="M45" s="55">
        <v>3333333</v>
      </c>
      <c r="N45" s="136">
        <v>11459.132788284784</v>
      </c>
      <c r="O45" s="55">
        <v>3338.4217882839862</v>
      </c>
    </row>
    <row r="46" spans="1:15" s="39" customFormat="1" ht="14">
      <c r="B46" s="671"/>
      <c r="C46" s="89" t="s">
        <v>473</v>
      </c>
      <c r="D46" s="47" t="s">
        <v>474</v>
      </c>
      <c r="E46" s="87" t="s">
        <v>467</v>
      </c>
      <c r="F46" s="50">
        <v>41221</v>
      </c>
      <c r="G46" s="50">
        <v>44873</v>
      </c>
      <c r="H46" s="51">
        <v>10.005479452054795</v>
      </c>
      <c r="I46" s="69" t="s">
        <v>450</v>
      </c>
      <c r="J46" s="53">
        <v>0</v>
      </c>
      <c r="K46" s="54">
        <v>5.3749999999999999E-2</v>
      </c>
      <c r="L46" s="133"/>
      <c r="M46" s="55">
        <v>12318207.960000001</v>
      </c>
      <c r="N46" s="136">
        <v>42346.798452883828</v>
      </c>
      <c r="O46" s="57">
        <v>12337.013387584509</v>
      </c>
    </row>
    <row r="47" spans="1:15" s="39" customFormat="1" ht="16" customHeight="1">
      <c r="B47" s="672"/>
      <c r="C47" s="89" t="s">
        <v>473</v>
      </c>
      <c r="D47" s="47" t="s">
        <v>474</v>
      </c>
      <c r="E47" s="87" t="s">
        <v>467</v>
      </c>
      <c r="F47" s="50">
        <v>41312</v>
      </c>
      <c r="G47" s="50">
        <v>44964</v>
      </c>
      <c r="H47" s="51">
        <v>10.005479452054795</v>
      </c>
      <c r="I47" s="69" t="s">
        <v>450</v>
      </c>
      <c r="J47" s="53">
        <v>0</v>
      </c>
      <c r="K47" s="54">
        <v>5.1249999999999997E-2</v>
      </c>
      <c r="L47" s="81"/>
      <c r="M47" s="55">
        <v>10038395.33</v>
      </c>
      <c r="N47" s="136">
        <v>34509.394971269845</v>
      </c>
      <c r="O47" s="57">
        <v>10053.720312096095</v>
      </c>
    </row>
    <row r="48" spans="1:15" s="39" customFormat="1" ht="14">
      <c r="B48" s="63"/>
      <c r="C48" s="147"/>
      <c r="D48" s="64"/>
      <c r="E48" s="72"/>
      <c r="F48" s="65"/>
      <c r="G48" s="65"/>
      <c r="H48" s="81"/>
      <c r="I48" s="67"/>
      <c r="J48" s="67"/>
      <c r="K48" s="73"/>
      <c r="L48" s="133"/>
      <c r="M48" s="73"/>
      <c r="N48" s="61">
        <v>528721.07822549995</v>
      </c>
      <c r="O48" s="62">
        <v>154033.81739999997</v>
      </c>
    </row>
    <row r="49" spans="1:15" s="39" customFormat="1" ht="14">
      <c r="C49" s="147"/>
      <c r="D49" s="64"/>
      <c r="E49" s="72"/>
      <c r="F49" s="65"/>
      <c r="G49" s="65"/>
      <c r="H49" s="81"/>
      <c r="I49" s="67"/>
      <c r="J49" s="67"/>
      <c r="K49" s="73"/>
      <c r="L49" s="81"/>
      <c r="M49" s="73"/>
      <c r="N49" s="46"/>
      <c r="O49" s="46"/>
    </row>
    <row r="50" spans="1:15" s="39" customFormat="1" ht="14">
      <c r="B50" s="675" t="s">
        <v>415</v>
      </c>
      <c r="C50" s="90" t="s">
        <v>435</v>
      </c>
      <c r="D50" s="47" t="s">
        <v>475</v>
      </c>
      <c r="E50" s="48" t="s">
        <v>467</v>
      </c>
      <c r="F50" s="49">
        <v>41401</v>
      </c>
      <c r="G50" s="50">
        <v>45047</v>
      </c>
      <c r="H50" s="51">
        <v>9.9890410958904106</v>
      </c>
      <c r="I50" s="69" t="s">
        <v>450</v>
      </c>
      <c r="J50" s="91">
        <v>0</v>
      </c>
      <c r="K50" s="59">
        <v>4.3749999999999997E-2</v>
      </c>
      <c r="L50" s="133"/>
      <c r="M50" s="57">
        <v>450000000</v>
      </c>
      <c r="N50" s="134">
        <v>1544625</v>
      </c>
      <c r="O50" s="55">
        <v>450000</v>
      </c>
    </row>
    <row r="51" spans="1:15" s="39" customFormat="1" ht="17.149999999999999" customHeight="1">
      <c r="B51" s="674"/>
      <c r="C51" s="90" t="s">
        <v>435</v>
      </c>
      <c r="D51" s="47" t="s">
        <v>475</v>
      </c>
      <c r="E51" s="48" t="s">
        <v>467</v>
      </c>
      <c r="F51" s="49">
        <v>43571</v>
      </c>
      <c r="G51" s="50">
        <v>49050</v>
      </c>
      <c r="H51" s="51">
        <v>15.010958904109589</v>
      </c>
      <c r="I51" s="69" t="s">
        <v>450</v>
      </c>
      <c r="J51" s="91">
        <v>0</v>
      </c>
      <c r="K51" s="59">
        <v>4.7E-2</v>
      </c>
      <c r="L51" s="81"/>
      <c r="M51" s="57">
        <v>600000000</v>
      </c>
      <c r="N51" s="134">
        <v>2059500</v>
      </c>
      <c r="O51" s="55">
        <v>600000</v>
      </c>
    </row>
    <row r="52" spans="1:15" s="39" customFormat="1">
      <c r="A52" s="119" t="s">
        <v>105</v>
      </c>
      <c r="C52" s="147"/>
      <c r="D52" s="64"/>
      <c r="E52" s="72"/>
      <c r="F52" s="65"/>
      <c r="G52" s="65"/>
      <c r="H52" s="81"/>
      <c r="I52" s="67"/>
      <c r="J52" s="67"/>
      <c r="K52" s="73"/>
      <c r="L52" s="133"/>
      <c r="M52" s="73"/>
      <c r="N52" s="61">
        <v>3604125</v>
      </c>
      <c r="O52" s="62">
        <v>1050000</v>
      </c>
    </row>
    <row r="53" spans="1:15" s="39" customFormat="1" ht="4.5" customHeight="1">
      <c r="C53" s="147"/>
      <c r="D53" s="64"/>
      <c r="E53" s="72"/>
      <c r="F53" s="65"/>
      <c r="G53" s="65"/>
      <c r="H53" s="81"/>
      <c r="I53" s="67"/>
      <c r="J53" s="67"/>
      <c r="K53" s="67"/>
      <c r="L53" s="81"/>
      <c r="M53" s="67"/>
      <c r="N53" s="46"/>
      <c r="O53" s="80"/>
    </row>
    <row r="54" spans="1:15" s="39" customFormat="1" thickBot="1">
      <c r="B54" s="41" t="s">
        <v>418</v>
      </c>
      <c r="C54" s="41"/>
      <c r="D54" s="41"/>
      <c r="E54" s="41"/>
      <c r="F54" s="41"/>
      <c r="G54" s="41"/>
      <c r="H54" s="41"/>
      <c r="I54" s="41"/>
      <c r="J54" s="42"/>
      <c r="K54" s="42"/>
      <c r="L54" s="133"/>
      <c r="M54" s="42"/>
      <c r="N54" s="43">
        <v>2200308.0177015029</v>
      </c>
      <c r="O54" s="44">
        <v>641022.00078703661</v>
      </c>
    </row>
    <row r="55" spans="1:15" s="39" customFormat="1" thickTop="1">
      <c r="B55" s="45"/>
      <c r="C55" s="45"/>
      <c r="D55" s="40"/>
      <c r="E55" s="40"/>
      <c r="F55" s="40"/>
      <c r="G55" s="40"/>
      <c r="H55" s="40"/>
      <c r="I55" s="40"/>
      <c r="J55" s="40"/>
      <c r="K55" s="40"/>
      <c r="L55" s="81"/>
      <c r="M55" s="40"/>
      <c r="N55" s="46"/>
      <c r="O55" s="80"/>
    </row>
    <row r="56" spans="1:15" s="39" customFormat="1" ht="14">
      <c r="B56" s="679" t="s">
        <v>419</v>
      </c>
      <c r="C56" s="90" t="s">
        <v>435</v>
      </c>
      <c r="D56" s="47" t="s">
        <v>476</v>
      </c>
      <c r="E56" s="48" t="s">
        <v>477</v>
      </c>
      <c r="F56" s="49">
        <v>42566</v>
      </c>
      <c r="G56" s="49">
        <v>44392</v>
      </c>
      <c r="H56" s="51">
        <v>5.0027397260273974</v>
      </c>
      <c r="I56" s="52" t="s">
        <v>478</v>
      </c>
      <c r="J56" s="91" t="s">
        <v>439</v>
      </c>
      <c r="K56" s="59">
        <v>6.0413000000000001E-2</v>
      </c>
      <c r="L56" s="133"/>
      <c r="M56" s="55">
        <v>172537857.98340002</v>
      </c>
      <c r="N56" s="134">
        <v>113963.89968999685</v>
      </c>
      <c r="O56" s="57">
        <v>33201.427440640007</v>
      </c>
    </row>
    <row r="57" spans="1:15" s="39" customFormat="1" ht="14">
      <c r="B57" s="680"/>
      <c r="C57" s="90" t="s">
        <v>435</v>
      </c>
      <c r="D57" s="47" t="s">
        <v>479</v>
      </c>
      <c r="E57" s="48" t="s">
        <v>477</v>
      </c>
      <c r="F57" s="49">
        <v>42824</v>
      </c>
      <c r="G57" s="49">
        <v>45337</v>
      </c>
      <c r="H57" s="51">
        <v>6.8849315068493153</v>
      </c>
      <c r="I57" s="52" t="s">
        <v>478</v>
      </c>
      <c r="J57" s="91" t="s">
        <v>439</v>
      </c>
      <c r="K57" s="59">
        <v>5.0373000000000001E-2</v>
      </c>
      <c r="L57" s="81"/>
      <c r="M57" s="55">
        <v>341791029</v>
      </c>
      <c r="N57" s="134">
        <v>225758.21329394492</v>
      </c>
      <c r="O57" s="57">
        <v>65770.783188330635</v>
      </c>
    </row>
    <row r="58" spans="1:15" s="39" customFormat="1" ht="14">
      <c r="B58" s="680"/>
      <c r="C58" s="90" t="s">
        <v>435</v>
      </c>
      <c r="D58" s="47" t="s">
        <v>480</v>
      </c>
      <c r="E58" s="48" t="s">
        <v>477</v>
      </c>
      <c r="F58" s="49">
        <v>43084</v>
      </c>
      <c r="G58" s="49">
        <v>44178</v>
      </c>
      <c r="H58" s="51">
        <v>2.9972602739726026</v>
      </c>
      <c r="I58" s="52" t="s">
        <v>481</v>
      </c>
      <c r="J58" s="91">
        <v>0</v>
      </c>
      <c r="K58" s="79">
        <v>1.0565</v>
      </c>
      <c r="L58" s="133"/>
      <c r="M58" s="55">
        <v>0</v>
      </c>
      <c r="N58" s="134">
        <v>0</v>
      </c>
      <c r="O58" s="57">
        <v>0</v>
      </c>
    </row>
    <row r="59" spans="1:15" s="39" customFormat="1" ht="14">
      <c r="B59" s="680"/>
      <c r="C59" s="90" t="s">
        <v>435</v>
      </c>
      <c r="D59" s="47" t="s">
        <v>482</v>
      </c>
      <c r="E59" s="48" t="s">
        <v>477</v>
      </c>
      <c r="F59" s="49">
        <v>43222</v>
      </c>
      <c r="G59" s="49">
        <v>45762</v>
      </c>
      <c r="H59" s="51">
        <v>6.9589041095890414</v>
      </c>
      <c r="I59" s="52" t="s">
        <v>478</v>
      </c>
      <c r="J59" s="91" t="s">
        <v>439</v>
      </c>
      <c r="K59" s="79">
        <v>4.7E-2</v>
      </c>
      <c r="L59" s="81"/>
      <c r="M59" s="55">
        <v>687345739.73999989</v>
      </c>
      <c r="N59" s="134">
        <v>454002.39606320171</v>
      </c>
      <c r="O59" s="57">
        <v>132265.81094339452</v>
      </c>
    </row>
    <row r="60" spans="1:15" s="39" customFormat="1" ht="14.5" customHeight="1">
      <c r="B60" s="680"/>
      <c r="C60" s="90" t="s">
        <v>435</v>
      </c>
      <c r="D60" s="47" t="s">
        <v>483</v>
      </c>
      <c r="E60" s="48" t="s">
        <v>477</v>
      </c>
      <c r="F60" s="49">
        <v>43819</v>
      </c>
      <c r="G60" s="49">
        <v>47467</v>
      </c>
      <c r="H60" s="51">
        <v>9.9945205479452053</v>
      </c>
      <c r="I60" s="52" t="s">
        <v>478</v>
      </c>
      <c r="J60" s="91" t="s">
        <v>439</v>
      </c>
      <c r="K60" s="79">
        <v>3.5000000000000003E-2</v>
      </c>
      <c r="L60" s="133"/>
      <c r="M60" s="55">
        <v>425996524.81575</v>
      </c>
      <c r="N60" s="134">
        <v>281377.23389993771</v>
      </c>
      <c r="O60" s="57">
        <v>81974.430852130434</v>
      </c>
    </row>
    <row r="61" spans="1:15" s="39" customFormat="1" ht="14.5" customHeight="1">
      <c r="B61" s="680"/>
      <c r="C61" s="90" t="s">
        <v>435</v>
      </c>
      <c r="D61" s="47" t="s">
        <v>962</v>
      </c>
      <c r="E61" s="48" t="s">
        <v>477</v>
      </c>
      <c r="F61" s="49">
        <v>44172</v>
      </c>
      <c r="G61" s="49">
        <v>47072</v>
      </c>
      <c r="H61" s="51">
        <v>7.9452054794520546</v>
      </c>
      <c r="I61" s="52" t="s">
        <v>481</v>
      </c>
      <c r="J61" s="91" t="s">
        <v>439</v>
      </c>
      <c r="K61" s="79">
        <v>2.8299999999999999E-2</v>
      </c>
      <c r="L61" s="133"/>
      <c r="M61" s="55">
        <v>800000000</v>
      </c>
      <c r="N61" s="134">
        <v>528412.26161952876</v>
      </c>
      <c r="O61" s="57">
        <v>153943.84897874107</v>
      </c>
    </row>
    <row r="62" spans="1:15" s="39" customFormat="1" ht="14.5" customHeight="1">
      <c r="B62" s="681"/>
      <c r="C62" s="90" t="s">
        <v>435</v>
      </c>
      <c r="D62" s="47" t="s">
        <v>963</v>
      </c>
      <c r="E62" s="48" t="s">
        <v>477</v>
      </c>
      <c r="F62" s="49">
        <v>44172</v>
      </c>
      <c r="G62" s="49">
        <v>52732</v>
      </c>
      <c r="H62" s="51">
        <v>23.452054794520549</v>
      </c>
      <c r="I62" s="52" t="s">
        <v>478</v>
      </c>
      <c r="J62" s="91" t="s">
        <v>439</v>
      </c>
      <c r="K62" s="79">
        <v>5.2999999999999999E-2</v>
      </c>
      <c r="L62" s="133"/>
      <c r="M62" s="55">
        <v>802027880</v>
      </c>
      <c r="N62" s="134">
        <v>529751.70744089514</v>
      </c>
      <c r="O62" s="57">
        <v>154334.07354432487</v>
      </c>
    </row>
    <row r="63" spans="1:15" s="39" customFormat="1" ht="14">
      <c r="C63" s="147"/>
      <c r="D63" s="64"/>
      <c r="E63" s="72"/>
      <c r="F63" s="65"/>
      <c r="G63" s="65"/>
      <c r="H63" s="66"/>
      <c r="I63" s="72"/>
      <c r="J63" s="72"/>
      <c r="K63" s="81"/>
      <c r="L63" s="81"/>
      <c r="M63" s="92"/>
      <c r="N63" s="61">
        <v>2133265.7120075049</v>
      </c>
      <c r="O63" s="62">
        <v>621490.37494756153</v>
      </c>
    </row>
    <row r="64" spans="1:15" s="39" customFormat="1" ht="14">
      <c r="C64" s="147"/>
      <c r="D64" s="64"/>
      <c r="E64" s="72"/>
      <c r="F64" s="65"/>
      <c r="G64" s="65"/>
      <c r="H64" s="66"/>
      <c r="I64" s="72"/>
      <c r="J64" s="72"/>
      <c r="K64" s="92"/>
      <c r="L64" s="133"/>
      <c r="M64" s="92"/>
      <c r="N64" s="46"/>
      <c r="O64" s="80"/>
    </row>
    <row r="65" spans="1:15" s="39" customFormat="1" ht="14.5" customHeight="1">
      <c r="B65" s="93" t="s">
        <v>484</v>
      </c>
      <c r="C65" s="76" t="s">
        <v>435</v>
      </c>
      <c r="D65" s="47" t="s">
        <v>485</v>
      </c>
      <c r="E65" s="48" t="s">
        <v>477</v>
      </c>
      <c r="F65" s="49">
        <v>42888</v>
      </c>
      <c r="G65" s="49">
        <v>44714</v>
      </c>
      <c r="H65" s="51">
        <v>5.0027397260273974</v>
      </c>
      <c r="I65" s="52" t="s">
        <v>481</v>
      </c>
      <c r="J65" s="91" t="s">
        <v>439</v>
      </c>
      <c r="K65" s="79">
        <v>1.6799999999999999E-2</v>
      </c>
      <c r="L65" s="81"/>
      <c r="M65" s="55">
        <v>101500000</v>
      </c>
      <c r="N65" s="134">
        <v>67042.305693998118</v>
      </c>
      <c r="O65" s="57">
        <v>19531.625839475051</v>
      </c>
    </row>
    <row r="66" spans="1:15" s="39" customFormat="1">
      <c r="A66" s="119" t="s">
        <v>105</v>
      </c>
      <c r="C66" s="147"/>
      <c r="D66" s="64"/>
      <c r="E66" s="72"/>
      <c r="F66" s="65"/>
      <c r="G66" s="65"/>
      <c r="H66" s="66"/>
      <c r="I66" s="72"/>
      <c r="J66" s="72"/>
      <c r="K66" s="92"/>
      <c r="L66" s="133"/>
      <c r="M66" s="92"/>
      <c r="N66" s="61">
        <v>67042.305693998118</v>
      </c>
      <c r="O66" s="62">
        <v>19531.625839475051</v>
      </c>
    </row>
    <row r="67" spans="1:15" s="39" customFormat="1" ht="4.5" customHeight="1">
      <c r="C67" s="147"/>
      <c r="D67" s="64"/>
      <c r="E67" s="72"/>
      <c r="F67" s="65"/>
      <c r="G67" s="65"/>
      <c r="H67" s="66"/>
      <c r="I67" s="72"/>
      <c r="J67" s="72"/>
      <c r="K67" s="92"/>
      <c r="L67" s="81"/>
      <c r="M67" s="92"/>
      <c r="N67" s="46"/>
      <c r="O67" s="80"/>
    </row>
    <row r="68" spans="1:15" s="39" customFormat="1" ht="14.25" customHeight="1" thickBot="1">
      <c r="B68" s="41" t="s">
        <v>426</v>
      </c>
      <c r="C68" s="41"/>
      <c r="D68" s="41"/>
      <c r="E68" s="41"/>
      <c r="F68" s="41"/>
      <c r="G68" s="41"/>
      <c r="H68" s="41"/>
      <c r="I68" s="41"/>
      <c r="J68" s="42"/>
      <c r="K68" s="42"/>
      <c r="L68" s="133"/>
      <c r="M68" s="42"/>
      <c r="N68" s="43">
        <f>+N76+N80</f>
        <v>3526632.5290251262</v>
      </c>
      <c r="O68" s="44">
        <f>+O76+O80</f>
        <v>1027423.8977494903</v>
      </c>
    </row>
    <row r="69" spans="1:15" s="39" customFormat="1" thickTop="1">
      <c r="B69" s="45"/>
      <c r="C69" s="45"/>
      <c r="D69" s="40"/>
      <c r="E69" s="40"/>
      <c r="F69" s="40"/>
      <c r="G69" s="40"/>
      <c r="H69" s="40"/>
      <c r="I69" s="40"/>
      <c r="J69" s="40"/>
      <c r="K69" s="78"/>
      <c r="L69" s="81"/>
      <c r="M69" s="78"/>
      <c r="N69" s="46"/>
      <c r="O69" s="80"/>
    </row>
    <row r="70" spans="1:15" s="39" customFormat="1" ht="14.15" customHeight="1">
      <c r="B70" s="676" t="s">
        <v>486</v>
      </c>
      <c r="C70" s="76" t="s">
        <v>435</v>
      </c>
      <c r="D70" s="47" t="s">
        <v>487</v>
      </c>
      <c r="E70" s="48" t="s">
        <v>467</v>
      </c>
      <c r="F70" s="49">
        <v>37132</v>
      </c>
      <c r="G70" s="49">
        <v>44727</v>
      </c>
      <c r="H70" s="51">
        <v>20.80821917808219</v>
      </c>
      <c r="I70" s="69" t="s">
        <v>450</v>
      </c>
      <c r="J70" s="91">
        <v>0</v>
      </c>
      <c r="K70" s="59">
        <v>7.3730000000000004E-2</v>
      </c>
      <c r="L70" s="133"/>
      <c r="M70" s="57">
        <v>59757482</v>
      </c>
      <c r="N70" s="134">
        <v>205117.34876566567</v>
      </c>
      <c r="O70" s="55">
        <v>59757.421344695023</v>
      </c>
    </row>
    <row r="71" spans="1:15" s="39" customFormat="1" ht="14">
      <c r="B71" s="677"/>
      <c r="C71" s="76" t="s">
        <v>435</v>
      </c>
      <c r="D71" s="47" t="s">
        <v>488</v>
      </c>
      <c r="E71" s="48" t="s">
        <v>489</v>
      </c>
      <c r="F71" s="49">
        <v>43313</v>
      </c>
      <c r="G71" s="49">
        <v>45823</v>
      </c>
      <c r="H71" s="51">
        <v>6.8767123287671232</v>
      </c>
      <c r="I71" s="69" t="s">
        <v>450</v>
      </c>
      <c r="J71" s="91">
        <v>0</v>
      </c>
      <c r="K71" s="59">
        <v>4.8500000000000001E-2</v>
      </c>
      <c r="L71" s="81"/>
      <c r="M71" s="57">
        <v>5800000</v>
      </c>
      <c r="N71" s="134">
        <v>814046.10361205146</v>
      </c>
      <c r="O71" s="57">
        <v>237158.36958836167</v>
      </c>
    </row>
    <row r="72" spans="1:15" s="39" customFormat="1" ht="14">
      <c r="B72" s="677"/>
      <c r="C72" s="76" t="s">
        <v>435</v>
      </c>
      <c r="D72" s="47" t="s">
        <v>490</v>
      </c>
      <c r="E72" s="48" t="s">
        <v>489</v>
      </c>
      <c r="F72" s="49">
        <v>43313</v>
      </c>
      <c r="G72" s="49">
        <v>47832</v>
      </c>
      <c r="H72" s="51">
        <v>12.38082191780822</v>
      </c>
      <c r="I72" s="69" t="s">
        <v>450</v>
      </c>
      <c r="J72" s="91">
        <v>0</v>
      </c>
      <c r="K72" s="59">
        <v>3.2000000000000001E-2</v>
      </c>
      <c r="L72" s="133"/>
      <c r="M72" s="57">
        <v>9317041.9795715325</v>
      </c>
      <c r="N72" s="134">
        <v>1307672.7104586416</v>
      </c>
      <c r="O72" s="57">
        <v>380968.01470025972</v>
      </c>
    </row>
    <row r="73" spans="1:15" s="39" customFormat="1" ht="14">
      <c r="B73" s="677"/>
      <c r="C73" s="76" t="s">
        <v>435</v>
      </c>
      <c r="D73" s="47" t="s">
        <v>491</v>
      </c>
      <c r="E73" s="48" t="s">
        <v>489</v>
      </c>
      <c r="F73" s="49">
        <v>43319</v>
      </c>
      <c r="G73" s="49">
        <v>45641</v>
      </c>
      <c r="H73" s="51">
        <v>6.3616438356164382</v>
      </c>
      <c r="I73" s="69" t="s">
        <v>450</v>
      </c>
      <c r="J73" s="91">
        <v>0</v>
      </c>
      <c r="K73" s="59">
        <v>2.3E-2</v>
      </c>
      <c r="L73" s="81"/>
      <c r="M73" s="57">
        <v>1000000</v>
      </c>
      <c r="N73" s="134">
        <v>140352.77648483647</v>
      </c>
      <c r="O73" s="57">
        <v>40889.374066958917</v>
      </c>
    </row>
    <row r="74" spans="1:15" s="39" customFormat="1" ht="14">
      <c r="B74" s="677"/>
      <c r="C74" s="76" t="s">
        <v>435</v>
      </c>
      <c r="D74" s="47" t="s">
        <v>492</v>
      </c>
      <c r="E74" s="48" t="s">
        <v>489</v>
      </c>
      <c r="F74" s="49">
        <v>43636</v>
      </c>
      <c r="G74" s="49">
        <v>47832</v>
      </c>
      <c r="H74" s="51">
        <v>11.495890410958904</v>
      </c>
      <c r="I74" s="69" t="s">
        <v>450</v>
      </c>
      <c r="J74" s="91">
        <v>0</v>
      </c>
      <c r="K74" s="59">
        <v>2.3E-2</v>
      </c>
      <c r="L74" s="133"/>
      <c r="M74" s="57">
        <v>5057173.1233999999</v>
      </c>
      <c r="N74" s="134">
        <v>709788.28903368232</v>
      </c>
      <c r="O74" s="57">
        <v>206784.64356407351</v>
      </c>
    </row>
    <row r="75" spans="1:15" s="39" customFormat="1" ht="21" customHeight="1">
      <c r="B75" s="678"/>
      <c r="C75" s="89" t="s">
        <v>473</v>
      </c>
      <c r="D75" s="47" t="s">
        <v>474</v>
      </c>
      <c r="E75" s="48" t="s">
        <v>489</v>
      </c>
      <c r="F75" s="49">
        <v>38489</v>
      </c>
      <c r="G75" s="49">
        <v>44727</v>
      </c>
      <c r="H75" s="51">
        <v>17.090410958904108</v>
      </c>
      <c r="I75" s="69" t="s">
        <v>450</v>
      </c>
      <c r="J75" s="91">
        <v>0</v>
      </c>
      <c r="K75" s="59">
        <v>7.3730000000000004E-2</v>
      </c>
      <c r="L75" s="81"/>
      <c r="M75" s="57">
        <v>23631451.91</v>
      </c>
      <c r="N75" s="134">
        <v>81114.87634740911</v>
      </c>
      <c r="O75" s="57">
        <v>23631.42792349865</v>
      </c>
    </row>
    <row r="76" spans="1:15" s="39" customFormat="1" ht="14.15" customHeight="1">
      <c r="C76" s="147"/>
      <c r="D76" s="64"/>
      <c r="E76" s="72"/>
      <c r="F76" s="65"/>
      <c r="G76" s="65"/>
      <c r="H76" s="66"/>
      <c r="I76" s="94"/>
      <c r="J76" s="95"/>
      <c r="K76" s="60"/>
      <c r="L76" s="133"/>
      <c r="M76" s="60"/>
      <c r="N76" s="61">
        <v>3258092.1047022869</v>
      </c>
      <c r="O76" s="62">
        <v>949189.25118784746</v>
      </c>
    </row>
    <row r="77" spans="1:15" s="39" customFormat="1" ht="14">
      <c r="C77" s="147"/>
      <c r="D77" s="64"/>
      <c r="E77" s="72"/>
      <c r="F77" s="65"/>
      <c r="G77" s="65"/>
      <c r="H77" s="66"/>
      <c r="I77" s="94"/>
      <c r="J77" s="95"/>
      <c r="K77" s="60"/>
      <c r="L77" s="81"/>
      <c r="M77" s="60"/>
      <c r="N77" s="46"/>
      <c r="O77" s="80"/>
    </row>
    <row r="78" spans="1:15" s="39" customFormat="1" ht="14.15" customHeight="1">
      <c r="B78" s="664" t="s">
        <v>493</v>
      </c>
      <c r="C78" s="76" t="s">
        <v>435</v>
      </c>
      <c r="D78" s="47" t="s">
        <v>494</v>
      </c>
      <c r="E78" s="48" t="s">
        <v>489</v>
      </c>
      <c r="F78" s="49">
        <v>36948</v>
      </c>
      <c r="G78" s="49">
        <v>44270</v>
      </c>
      <c r="H78" s="51">
        <v>20.06027397260274</v>
      </c>
      <c r="I78" s="69" t="s">
        <v>450</v>
      </c>
      <c r="J78" s="91">
        <v>0</v>
      </c>
      <c r="K78" s="59">
        <v>6.3E-2</v>
      </c>
      <c r="L78" s="133"/>
      <c r="M78" s="57">
        <v>322635.04459999932</v>
      </c>
      <c r="N78" s="56">
        <v>45282.770281800251</v>
      </c>
      <c r="O78" s="57">
        <v>13192.358421500438</v>
      </c>
    </row>
    <row r="79" spans="1:15" s="39" customFormat="1" ht="23.5" customHeight="1">
      <c r="B79" s="664"/>
      <c r="C79" s="76" t="s">
        <v>435</v>
      </c>
      <c r="D79" s="47" t="s">
        <v>495</v>
      </c>
      <c r="E79" s="48" t="s">
        <v>489</v>
      </c>
      <c r="F79" s="49">
        <v>39037</v>
      </c>
      <c r="G79" s="49">
        <v>44727</v>
      </c>
      <c r="H79" s="51">
        <v>15.58904109589041</v>
      </c>
      <c r="I79" s="69" t="s">
        <v>450</v>
      </c>
      <c r="J79" s="91">
        <v>0</v>
      </c>
      <c r="K79" s="59">
        <v>3.4000000000000002E-2</v>
      </c>
      <c r="L79" s="81"/>
      <c r="M79" s="57">
        <v>1590687.6439</v>
      </c>
      <c r="N79" s="56">
        <v>223257.65404103886</v>
      </c>
      <c r="O79" s="57">
        <v>65042.288140142417</v>
      </c>
    </row>
    <row r="80" spans="1:15" s="39" customFormat="1" ht="21" customHeight="1">
      <c r="A80" s="119" t="s">
        <v>105</v>
      </c>
      <c r="C80" s="147"/>
      <c r="D80" s="64"/>
      <c r="E80" s="72"/>
      <c r="F80" s="65"/>
      <c r="G80" s="65"/>
      <c r="H80" s="66"/>
      <c r="I80" s="95"/>
      <c r="J80" s="95"/>
      <c r="K80" s="82"/>
      <c r="L80" s="133"/>
      <c r="M80" s="96"/>
      <c r="N80" s="61">
        <v>268540.42432283913</v>
      </c>
      <c r="O80" s="62">
        <v>78234.646561642847</v>
      </c>
    </row>
    <row r="81" spans="2:17" s="39" customFormat="1" ht="14">
      <c r="D81" s="64"/>
      <c r="E81" s="72"/>
      <c r="F81" s="65"/>
      <c r="G81" s="65"/>
      <c r="H81" s="66"/>
      <c r="I81" s="95"/>
      <c r="J81" s="95"/>
      <c r="K81" s="95"/>
      <c r="L81" s="81"/>
      <c r="M81" s="95"/>
      <c r="N81" s="46"/>
      <c r="O81" s="80"/>
    </row>
    <row r="82" spans="2:17" s="39" customFormat="1" thickBot="1">
      <c r="B82" s="665" t="s">
        <v>496</v>
      </c>
      <c r="C82" s="665"/>
      <c r="D82" s="665"/>
      <c r="E82" s="665"/>
      <c r="F82" s="665"/>
      <c r="G82" s="665"/>
      <c r="H82" s="665"/>
      <c r="I82" s="665"/>
      <c r="J82" s="141"/>
      <c r="K82" s="141"/>
      <c r="L82" s="133"/>
      <c r="M82" s="512"/>
      <c r="N82" s="137">
        <f>+N7+N39+N54+N68</f>
        <v>14351376.826367131</v>
      </c>
      <c r="O82" s="137">
        <f>+O7+O39+O54+O68</f>
        <v>4181027.4803691562</v>
      </c>
    </row>
    <row r="83" spans="2:17" s="39" customFormat="1" thickTop="1">
      <c r="E83" s="81"/>
      <c r="F83" s="81"/>
      <c r="G83" s="81"/>
      <c r="H83" s="81"/>
      <c r="I83" s="81"/>
      <c r="J83" s="81"/>
      <c r="K83" s="81"/>
      <c r="L83" s="81"/>
    </row>
    <row r="84" spans="2:17" s="128" customFormat="1" ht="14">
      <c r="B84" s="39" t="s">
        <v>964</v>
      </c>
      <c r="L84" s="138"/>
    </row>
    <row r="85" spans="2:17" s="128" customFormat="1" ht="14">
      <c r="B85" s="39" t="s">
        <v>965</v>
      </c>
      <c r="L85" s="129"/>
    </row>
    <row r="86" spans="2:17" s="117" customFormat="1">
      <c r="B86" s="39" t="s">
        <v>966</v>
      </c>
      <c r="C86" s="128"/>
      <c r="D86" s="128"/>
      <c r="E86" s="128"/>
      <c r="F86" s="128"/>
      <c r="G86" s="128"/>
      <c r="H86" s="128"/>
      <c r="I86" s="128"/>
      <c r="J86" s="128"/>
      <c r="K86" s="128"/>
      <c r="L86" s="138"/>
    </row>
    <row r="87" spans="2:17" s="117" customFormat="1">
      <c r="B87" s="142"/>
      <c r="C87" s="142"/>
      <c r="D87" s="142"/>
      <c r="E87" s="142"/>
      <c r="F87" s="142"/>
      <c r="G87" s="142"/>
      <c r="H87" s="142"/>
      <c r="I87" s="142"/>
      <c r="J87" s="666"/>
      <c r="K87" s="666"/>
      <c r="L87" s="666"/>
      <c r="M87" s="142"/>
      <c r="P87" s="142"/>
      <c r="Q87" s="142"/>
    </row>
    <row r="88" spans="2:17" s="117" customFormat="1"/>
  </sheetData>
  <mergeCells count="11">
    <mergeCell ref="B78:B79"/>
    <mergeCell ref="B82:I82"/>
    <mergeCell ref="J87:L87"/>
    <mergeCell ref="I5:K5"/>
    <mergeCell ref="B9:B29"/>
    <mergeCell ref="B35:B36"/>
    <mergeCell ref="B41:B47"/>
    <mergeCell ref="B50:B51"/>
    <mergeCell ref="B70:B75"/>
    <mergeCell ref="B31:B32"/>
    <mergeCell ref="B56:B62"/>
  </mergeCells>
  <hyperlinks>
    <hyperlink ref="A1" location="Contenido!A1" display="Volver al Contenido" xr:uid="{6069986E-6D3E-4863-8545-ED5010B90298}"/>
  </hyperlinks>
  <pageMargins left="0.7" right="0.7" top="0.75" bottom="0.75" header="0.3" footer="0.3"/>
  <customProperties>
    <customPr name="_pios_id" r:id="rId1"/>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K45"/>
  <sheetViews>
    <sheetView showGridLines="0" zoomScaleNormal="100" workbookViewId="0">
      <pane xSplit="1" ySplit="6" topLeftCell="B40" activePane="bottomRight" state="frozen"/>
      <selection pane="topRight" activeCell="B1" sqref="B1"/>
      <selection pane="bottomLeft" activeCell="A5" sqref="A5"/>
      <selection pane="bottomRight" activeCell="C43" sqref="C43:G43"/>
    </sheetView>
  </sheetViews>
  <sheetFormatPr baseColWidth="10" defaultColWidth="11.453125" defaultRowHeight="14.5"/>
  <cols>
    <col min="1" max="1" width="7.453125" customWidth="1"/>
    <col min="2" max="2" width="24.453125" customWidth="1"/>
    <col min="3" max="10" width="13.81640625" customWidth="1"/>
    <col min="11" max="11" width="14.81640625" customWidth="1"/>
  </cols>
  <sheetData>
    <row r="1" spans="1:11">
      <c r="A1" s="2" t="s">
        <v>17</v>
      </c>
      <c r="B1" s="106"/>
      <c r="C1" s="106"/>
      <c r="D1" s="106"/>
      <c r="E1" s="106"/>
      <c r="F1" s="106"/>
      <c r="G1" s="106"/>
      <c r="H1" s="106"/>
      <c r="I1" s="106"/>
      <c r="J1" s="106"/>
      <c r="K1" s="106"/>
    </row>
    <row r="2" spans="1:11" s="106" customFormat="1">
      <c r="A2" s="2"/>
    </row>
    <row r="3" spans="1:11" s="106" customFormat="1">
      <c r="A3" s="2"/>
    </row>
    <row r="4" spans="1:11" ht="15.5">
      <c r="B4" s="233"/>
      <c r="C4" s="233"/>
      <c r="D4" s="233"/>
      <c r="E4" s="233"/>
      <c r="F4" s="233"/>
    </row>
    <row r="5" spans="1:11" ht="15.5">
      <c r="A5" s="106"/>
      <c r="B5" s="456" t="s">
        <v>497</v>
      </c>
      <c r="C5" s="456"/>
      <c r="D5" s="456"/>
      <c r="E5" s="456"/>
      <c r="F5" s="456"/>
      <c r="G5" s="38"/>
      <c r="H5" s="38"/>
      <c r="I5" s="38"/>
      <c r="J5" s="38"/>
      <c r="K5" s="38"/>
    </row>
    <row r="6" spans="1:11" ht="15">
      <c r="A6" s="106"/>
      <c r="B6" s="457" t="s">
        <v>498</v>
      </c>
      <c r="C6" s="457">
        <v>2021</v>
      </c>
      <c r="D6" s="457">
        <v>2022</v>
      </c>
      <c r="E6" s="457">
        <v>2023</v>
      </c>
      <c r="F6" s="457">
        <v>2024</v>
      </c>
      <c r="G6" s="457">
        <v>2025</v>
      </c>
      <c r="H6" s="38"/>
      <c r="I6" s="38"/>
      <c r="J6" s="38"/>
      <c r="K6" s="38"/>
    </row>
    <row r="7" spans="1:11" ht="15">
      <c r="A7" s="106"/>
      <c r="B7" s="236"/>
      <c r="C7" s="236"/>
      <c r="D7" s="236"/>
      <c r="E7" s="236"/>
      <c r="F7" s="236"/>
      <c r="G7" s="236"/>
      <c r="H7" s="38"/>
      <c r="I7" s="38"/>
      <c r="J7" s="38"/>
      <c r="K7" s="38"/>
    </row>
    <row r="8" spans="1:11" ht="15">
      <c r="A8" s="119" t="s">
        <v>105</v>
      </c>
      <c r="B8" s="458" t="s">
        <v>499</v>
      </c>
      <c r="C8" s="458"/>
      <c r="D8" s="458"/>
      <c r="E8" s="458"/>
      <c r="F8" s="458"/>
      <c r="G8" s="458"/>
      <c r="H8" s="38"/>
      <c r="I8" s="38"/>
      <c r="J8" s="38"/>
      <c r="K8" s="38"/>
    </row>
    <row r="9" spans="1:11" ht="15.5">
      <c r="A9" s="106"/>
      <c r="B9" s="459" t="s">
        <v>2</v>
      </c>
      <c r="C9" s="460">
        <v>812746.48421351996</v>
      </c>
      <c r="D9" s="460">
        <v>751856.75613640016</v>
      </c>
      <c r="E9" s="460">
        <v>349162.46961176005</v>
      </c>
      <c r="F9" s="460">
        <v>101658.25199457</v>
      </c>
      <c r="G9" s="460">
        <v>89138.682588115684</v>
      </c>
      <c r="H9" s="38"/>
      <c r="I9" s="38"/>
      <c r="J9" s="38"/>
      <c r="K9" s="38"/>
    </row>
    <row r="10" spans="1:11" ht="15.5">
      <c r="A10" s="106"/>
      <c r="B10" s="459" t="s">
        <v>500</v>
      </c>
      <c r="C10" s="460">
        <v>107922.99314064486</v>
      </c>
      <c r="D10" s="460">
        <v>0</v>
      </c>
      <c r="E10" s="460">
        <v>0</v>
      </c>
      <c r="F10" s="460">
        <v>0</v>
      </c>
      <c r="G10" s="460">
        <v>0</v>
      </c>
      <c r="H10" s="38"/>
      <c r="I10" s="38"/>
      <c r="J10" s="38"/>
      <c r="K10" s="38"/>
    </row>
    <row r="11" spans="1:11" ht="15.5">
      <c r="A11" s="106"/>
      <c r="B11" s="459" t="s">
        <v>463</v>
      </c>
      <c r="C11" s="460">
        <v>70491.461545423226</v>
      </c>
      <c r="D11" s="460">
        <v>47786.770740907799</v>
      </c>
      <c r="E11" s="460">
        <v>25876.076286538671</v>
      </c>
      <c r="F11" s="460">
        <v>15756.747889431525</v>
      </c>
      <c r="G11" s="460">
        <v>12920.177479691047</v>
      </c>
      <c r="H11" s="38"/>
      <c r="I11" s="38"/>
      <c r="J11" s="38"/>
      <c r="K11" s="38"/>
    </row>
    <row r="12" spans="1:11" ht="15.5">
      <c r="A12" s="106"/>
      <c r="B12" s="459" t="s">
        <v>501</v>
      </c>
      <c r="C12" s="460">
        <v>63277.575027216924</v>
      </c>
      <c r="D12" s="460">
        <v>30896.186749456232</v>
      </c>
      <c r="E12" s="460">
        <v>30744.554434126967</v>
      </c>
      <c r="F12" s="460">
        <v>40846.917131529248</v>
      </c>
      <c r="G12" s="460">
        <v>42643.049284377834</v>
      </c>
      <c r="H12" s="38"/>
      <c r="I12" s="38"/>
      <c r="J12" s="38"/>
      <c r="K12" s="38"/>
    </row>
    <row r="13" spans="1:11" ht="15.5">
      <c r="A13" s="106"/>
      <c r="B13" s="459" t="s">
        <v>502</v>
      </c>
      <c r="C13" s="460">
        <v>1764.7440933938456</v>
      </c>
      <c r="D13" s="460">
        <v>1813.3986688</v>
      </c>
      <c r="E13" s="460">
        <v>0</v>
      </c>
      <c r="F13" s="460">
        <v>0</v>
      </c>
      <c r="G13" s="460">
        <v>0</v>
      </c>
      <c r="H13" s="38"/>
      <c r="I13" s="38"/>
      <c r="J13" s="38"/>
      <c r="K13" s="38"/>
    </row>
    <row r="14" spans="1:11" ht="15.5">
      <c r="A14" s="106"/>
      <c r="B14" s="459" t="s">
        <v>503</v>
      </c>
      <c r="C14" s="460">
        <v>59275.756850733458</v>
      </c>
      <c r="D14" s="460">
        <v>50955.116562147537</v>
      </c>
      <c r="E14" s="460">
        <v>65023.068438855669</v>
      </c>
      <c r="F14" s="460">
        <v>0</v>
      </c>
      <c r="G14" s="460">
        <v>0</v>
      </c>
      <c r="H14" s="106"/>
      <c r="I14" s="106"/>
      <c r="J14" s="106"/>
      <c r="K14" s="106"/>
    </row>
    <row r="15" spans="1:11" ht="15">
      <c r="A15" s="106"/>
      <c r="B15" s="461" t="s">
        <v>504</v>
      </c>
      <c r="C15" s="462">
        <v>1115479.0148709323</v>
      </c>
      <c r="D15" s="462">
        <v>883308.22885771166</v>
      </c>
      <c r="E15" s="462">
        <v>470806.16877128137</v>
      </c>
      <c r="F15" s="462">
        <v>158261.91701553078</v>
      </c>
      <c r="G15" s="462">
        <v>144701.90935218456</v>
      </c>
      <c r="H15" s="106"/>
      <c r="I15" s="106"/>
      <c r="J15" s="106"/>
      <c r="K15" s="106"/>
    </row>
    <row r="16" spans="1:11" ht="15.5">
      <c r="A16" s="106"/>
      <c r="B16" s="459"/>
      <c r="C16" s="460"/>
      <c r="D16" s="460"/>
      <c r="E16" s="460"/>
      <c r="F16" s="460"/>
      <c r="G16" s="460"/>
      <c r="H16" s="106"/>
      <c r="I16" s="106"/>
      <c r="J16" s="106"/>
      <c r="K16" s="106"/>
    </row>
    <row r="17" spans="1:11" ht="15">
      <c r="A17" s="119" t="s">
        <v>105</v>
      </c>
      <c r="B17" s="463" t="s">
        <v>505</v>
      </c>
      <c r="C17" s="463"/>
      <c r="D17" s="463"/>
      <c r="E17" s="463"/>
      <c r="F17" s="463"/>
      <c r="G17" s="463"/>
      <c r="H17" s="106"/>
      <c r="I17" s="106"/>
      <c r="J17" s="106"/>
      <c r="K17" s="106"/>
    </row>
    <row r="18" spans="1:11" ht="15.5">
      <c r="A18" s="106"/>
      <c r="B18" s="459" t="s">
        <v>506</v>
      </c>
      <c r="C18" s="460">
        <v>20586.352132439046</v>
      </c>
      <c r="D18" s="460">
        <v>26414.317750788054</v>
      </c>
      <c r="E18" s="460">
        <v>22504.020081649574</v>
      </c>
      <c r="F18" s="460">
        <v>21278.928705923285</v>
      </c>
      <c r="G18" s="460">
        <v>21814.087223246086</v>
      </c>
      <c r="H18" s="106"/>
      <c r="I18" s="106"/>
      <c r="J18" s="106"/>
      <c r="K18" s="106"/>
    </row>
    <row r="19" spans="1:11" ht="15.5">
      <c r="A19" s="106"/>
      <c r="B19" s="459" t="s">
        <v>415</v>
      </c>
      <c r="C19" s="460">
        <v>942097.17572576494</v>
      </c>
      <c r="D19" s="460">
        <v>456259.6079335307</v>
      </c>
      <c r="E19" s="460">
        <v>15653.155785656407</v>
      </c>
      <c r="F19" s="460">
        <v>8189.7217822886714</v>
      </c>
      <c r="G19" s="460">
        <v>5001.7657945258479</v>
      </c>
    </row>
    <row r="20" spans="1:11" ht="15.5">
      <c r="A20" s="106"/>
      <c r="B20" s="459" t="s">
        <v>416</v>
      </c>
      <c r="C20" s="460">
        <v>12822.929635260763</v>
      </c>
      <c r="D20" s="460">
        <v>14495.516046965255</v>
      </c>
      <c r="E20" s="460">
        <v>9500.5670985614379</v>
      </c>
      <c r="F20" s="460">
        <v>8536.0812114005603</v>
      </c>
      <c r="G20" s="460">
        <v>7540.598671447673</v>
      </c>
    </row>
    <row r="21" spans="1:11" ht="15.5">
      <c r="A21" s="106"/>
      <c r="B21" s="459" t="s">
        <v>8</v>
      </c>
      <c r="C21" s="460">
        <v>121879.87338675745</v>
      </c>
      <c r="D21" s="460">
        <v>58079.879606985414</v>
      </c>
      <c r="E21" s="460">
        <v>57420.568743956719</v>
      </c>
      <c r="F21" s="460">
        <v>55316.886516792794</v>
      </c>
      <c r="G21" s="460">
        <v>38164.052068184697</v>
      </c>
    </row>
    <row r="22" spans="1:11" ht="15">
      <c r="A22" s="106"/>
      <c r="B22" s="461" t="s">
        <v>507</v>
      </c>
      <c r="C22" s="462">
        <v>1097386.3308802221</v>
      </c>
      <c r="D22" s="462">
        <v>555249.32133826939</v>
      </c>
      <c r="E22" s="462">
        <v>105078.31170982413</v>
      </c>
      <c r="F22" s="462">
        <v>93321.618216405303</v>
      </c>
      <c r="G22" s="462">
        <v>72520.503757404309</v>
      </c>
    </row>
    <row r="23" spans="1:11" ht="15.5">
      <c r="A23" s="106"/>
      <c r="B23" s="459"/>
      <c r="C23" s="460"/>
      <c r="D23" s="460"/>
      <c r="E23" s="460"/>
      <c r="F23" s="460"/>
      <c r="G23" s="460"/>
    </row>
    <row r="24" spans="1:11" ht="15">
      <c r="A24" s="119" t="s">
        <v>105</v>
      </c>
      <c r="B24" s="458" t="s">
        <v>508</v>
      </c>
      <c r="C24" s="463"/>
      <c r="D24" s="463"/>
      <c r="E24" s="463"/>
      <c r="F24" s="463"/>
      <c r="G24" s="463"/>
    </row>
    <row r="25" spans="1:11" ht="15.5">
      <c r="A25" s="106"/>
      <c r="B25" s="459" t="s">
        <v>419</v>
      </c>
      <c r="C25" s="460">
        <v>1794845.2768617959</v>
      </c>
      <c r="D25" s="460">
        <v>514212.05538421049</v>
      </c>
      <c r="E25" s="460">
        <v>482649.03324658383</v>
      </c>
      <c r="F25" s="460">
        <v>477513.45017399092</v>
      </c>
      <c r="G25" s="460">
        <v>450122.2786038862</v>
      </c>
    </row>
    <row r="26" spans="1:11" ht="30">
      <c r="A26" s="106"/>
      <c r="B26" s="464" t="s">
        <v>509</v>
      </c>
      <c r="C26" s="460">
        <v>1734877.5237591597</v>
      </c>
      <c r="D26" s="460">
        <v>470799.48390991136</v>
      </c>
      <c r="E26" s="460">
        <v>482649.03324658383</v>
      </c>
      <c r="F26" s="460">
        <v>477513.45017399092</v>
      </c>
      <c r="G26" s="460">
        <v>450122.2786038862</v>
      </c>
    </row>
    <row r="27" spans="1:11" ht="30">
      <c r="A27" s="106"/>
      <c r="B27" s="464" t="s">
        <v>510</v>
      </c>
      <c r="C27" s="460">
        <v>59967.753102636219</v>
      </c>
      <c r="D27" s="460">
        <v>43412.571474299126</v>
      </c>
      <c r="E27" s="460">
        <v>0</v>
      </c>
      <c r="F27" s="460">
        <v>0</v>
      </c>
      <c r="G27" s="460">
        <v>0</v>
      </c>
    </row>
    <row r="28" spans="1:11" ht="15.5">
      <c r="A28" s="106"/>
      <c r="B28" s="459" t="s">
        <v>511</v>
      </c>
      <c r="C28" s="460">
        <v>642109.81999050558</v>
      </c>
      <c r="D28" s="460">
        <v>505286.85854032135</v>
      </c>
      <c r="E28" s="460">
        <v>113051.05528121939</v>
      </c>
      <c r="F28" s="460">
        <v>309468.31482587324</v>
      </c>
      <c r="G28" s="460">
        <v>218147.24167189235</v>
      </c>
    </row>
    <row r="29" spans="1:11" ht="15.5">
      <c r="A29" s="106"/>
      <c r="B29" s="459" t="s">
        <v>512</v>
      </c>
      <c r="C29" s="460">
        <v>34615.954751278667</v>
      </c>
      <c r="D29" s="460">
        <v>21181.93746967641</v>
      </c>
      <c r="E29" s="460">
        <v>34142.459411771393</v>
      </c>
      <c r="F29" s="460">
        <v>43649.952041395329</v>
      </c>
      <c r="G29" s="460">
        <v>20421.504242698797</v>
      </c>
    </row>
    <row r="30" spans="1:11" ht="15">
      <c r="A30" s="106"/>
      <c r="B30" s="461" t="s">
        <v>513</v>
      </c>
      <c r="C30" s="462">
        <v>2471571.0516035808</v>
      </c>
      <c r="D30" s="462">
        <v>1040680.8513942083</v>
      </c>
      <c r="E30" s="462">
        <v>629842.54793957458</v>
      </c>
      <c r="F30" s="462">
        <v>830631.71704125952</v>
      </c>
      <c r="G30" s="462">
        <v>688691.02451847738</v>
      </c>
    </row>
    <row r="31" spans="1:11" ht="15.5">
      <c r="A31" s="106"/>
      <c r="B31" s="459">
        <v>0</v>
      </c>
      <c r="C31" s="460">
        <v>0</v>
      </c>
      <c r="D31" s="460">
        <v>0</v>
      </c>
      <c r="E31" s="460">
        <v>0</v>
      </c>
      <c r="F31" s="460">
        <v>0</v>
      </c>
      <c r="G31" s="460">
        <v>0</v>
      </c>
    </row>
    <row r="32" spans="1:11" ht="15">
      <c r="A32" s="119" t="s">
        <v>105</v>
      </c>
      <c r="B32" s="458" t="s">
        <v>514</v>
      </c>
      <c r="C32" s="463"/>
      <c r="D32" s="463"/>
      <c r="E32" s="463"/>
      <c r="F32" s="463"/>
      <c r="G32" s="463"/>
    </row>
    <row r="33" spans="1:7" ht="15.5">
      <c r="A33" s="106"/>
      <c r="B33" s="459" t="s">
        <v>515</v>
      </c>
      <c r="C33" s="460">
        <v>3402.1256443079483</v>
      </c>
      <c r="D33" s="460">
        <v>730.69263390647063</v>
      </c>
      <c r="E33" s="460">
        <v>3707.2480720618082</v>
      </c>
      <c r="F33" s="460">
        <v>2067.8266228603907</v>
      </c>
      <c r="G33" s="460">
        <v>537.64671274441548</v>
      </c>
    </row>
    <row r="34" spans="1:7" ht="15.5">
      <c r="A34" s="106"/>
      <c r="B34" s="459" t="s">
        <v>516</v>
      </c>
      <c r="C34" s="460">
        <v>7317.7480633161958</v>
      </c>
      <c r="D34" s="460">
        <v>6650.0567083495689</v>
      </c>
      <c r="E34" s="460">
        <v>4567.5137970937476</v>
      </c>
      <c r="F34" s="460">
        <v>4700.4886786393527</v>
      </c>
      <c r="G34" s="460">
        <v>4862.2587449636021</v>
      </c>
    </row>
    <row r="35" spans="1:7" ht="15">
      <c r="A35" s="106"/>
      <c r="B35" s="461" t="s">
        <v>517</v>
      </c>
      <c r="C35" s="462">
        <v>10719.873707624145</v>
      </c>
      <c r="D35" s="462">
        <v>7380.7493422560392</v>
      </c>
      <c r="E35" s="462">
        <v>8274.7618691555563</v>
      </c>
      <c r="F35" s="462">
        <v>6768.3153014997433</v>
      </c>
      <c r="G35" s="462">
        <v>5399.9054577080178</v>
      </c>
    </row>
    <row r="36" spans="1:7" ht="15">
      <c r="A36" s="106"/>
      <c r="B36" s="465"/>
      <c r="C36" s="465"/>
      <c r="D36" s="465"/>
      <c r="E36" s="465"/>
      <c r="F36" s="465"/>
      <c r="G36" s="465"/>
    </row>
    <row r="37" spans="1:7" ht="15">
      <c r="A37" s="119" t="s">
        <v>105</v>
      </c>
      <c r="B37" s="458" t="s">
        <v>518</v>
      </c>
      <c r="C37" s="463"/>
      <c r="D37" s="463"/>
      <c r="E37" s="463"/>
      <c r="F37" s="463"/>
      <c r="G37" s="463"/>
    </row>
    <row r="38" spans="1:7" ht="30">
      <c r="A38" s="106"/>
      <c r="B38" s="459" t="s">
        <v>519</v>
      </c>
      <c r="C38" s="460">
        <v>839072.85257372702</v>
      </c>
      <c r="D38" s="460">
        <v>893668.63828479801</v>
      </c>
      <c r="E38" s="460">
        <v>92208.588756320838</v>
      </c>
      <c r="F38" s="460">
        <v>12812.695568581943</v>
      </c>
      <c r="G38" s="460">
        <v>799.55878332376244</v>
      </c>
    </row>
    <row r="39" spans="1:7" ht="15.5">
      <c r="A39" s="106"/>
      <c r="B39" s="459" t="s">
        <v>520</v>
      </c>
      <c r="C39" s="460">
        <v>6268.6699415318581</v>
      </c>
      <c r="D39" s="460">
        <v>10170.356189014532</v>
      </c>
      <c r="E39" s="460">
        <v>8510.9456542409243</v>
      </c>
      <c r="F39" s="460">
        <v>9011.3064722046656</v>
      </c>
      <c r="G39" s="460">
        <v>8859.8639316057634</v>
      </c>
    </row>
    <row r="40" spans="1:7" ht="15.5">
      <c r="A40" s="106"/>
      <c r="B40" s="459" t="s">
        <v>521</v>
      </c>
      <c r="C40" s="460">
        <v>135788.72562783334</v>
      </c>
      <c r="D40" s="460">
        <v>46434.365295118288</v>
      </c>
      <c r="E40" s="460">
        <v>6377.2748216002356</v>
      </c>
      <c r="F40" s="460">
        <v>6290.0462224431531</v>
      </c>
      <c r="G40" s="460">
        <v>6246.5326864837762</v>
      </c>
    </row>
    <row r="41" spans="1:7" ht="15">
      <c r="A41" s="106"/>
      <c r="B41" s="461" t="s">
        <v>522</v>
      </c>
      <c r="C41" s="462">
        <v>981130.24814309226</v>
      </c>
      <c r="D41" s="462">
        <v>950273.35976893082</v>
      </c>
      <c r="E41" s="462">
        <v>107096.80923216199</v>
      </c>
      <c r="F41" s="462">
        <v>28114.048263229764</v>
      </c>
      <c r="G41" s="462">
        <v>15905.955401413303</v>
      </c>
    </row>
    <row r="42" spans="1:7" ht="15.5">
      <c r="A42" s="106"/>
      <c r="B42" s="456"/>
      <c r="C42" s="466">
        <v>0</v>
      </c>
      <c r="D42" s="466">
        <v>0</v>
      </c>
      <c r="E42" s="466">
        <v>0</v>
      </c>
      <c r="F42" s="466">
        <v>0</v>
      </c>
      <c r="G42" s="543">
        <v>0</v>
      </c>
    </row>
    <row r="43" spans="1:7" ht="15">
      <c r="A43" s="119" t="s">
        <v>105</v>
      </c>
      <c r="B43" s="467" t="s">
        <v>523</v>
      </c>
      <c r="C43" s="468">
        <f>+C15+C22+C30+C35+C41</f>
        <v>5676286.519205451</v>
      </c>
      <c r="D43" s="468">
        <f>+D15+D22+D30+D35+D41</f>
        <v>3436892.5107013765</v>
      </c>
      <c r="E43" s="468">
        <f>+E15+E22+E30+E35+E41</f>
        <v>1321098.5995219979</v>
      </c>
      <c r="F43" s="468">
        <f>+F15+F22+F30+F35+F41</f>
        <v>1117097.6158379251</v>
      </c>
      <c r="G43" s="468">
        <f>+G15+G22+G30+G35+G41</f>
        <v>927219.2984871876</v>
      </c>
    </row>
    <row r="44" spans="1:7" ht="15.5">
      <c r="B44" s="233"/>
      <c r="C44" s="233"/>
      <c r="D44" s="233"/>
      <c r="E44" s="233"/>
      <c r="F44" s="233"/>
    </row>
    <row r="45" spans="1:7">
      <c r="B45" s="164"/>
      <c r="C45" s="164"/>
      <c r="D45" s="164"/>
      <c r="E45" s="164"/>
      <c r="F45" s="164"/>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AG110"/>
  <sheetViews>
    <sheetView showGridLines="0" zoomScale="70" zoomScaleNormal="70" workbookViewId="0">
      <pane xSplit="1" ySplit="8" topLeftCell="B9" activePane="bottomRight" state="frozen"/>
      <selection pane="topRight" activeCell="B1" sqref="B1"/>
      <selection pane="bottomLeft" activeCell="A5" sqref="A5"/>
      <selection pane="bottomRight"/>
    </sheetView>
  </sheetViews>
  <sheetFormatPr baseColWidth="10" defaultColWidth="11.453125" defaultRowHeight="14.5"/>
  <cols>
    <col min="2" max="2" width="24.81640625" customWidth="1"/>
    <col min="3" max="3" width="24.54296875" customWidth="1"/>
    <col min="4" max="4" width="9.54296875" customWidth="1"/>
    <col min="5" max="5" width="60.54296875" customWidth="1"/>
  </cols>
  <sheetData>
    <row r="1" spans="1:33">
      <c r="A1" s="2" t="s">
        <v>17</v>
      </c>
      <c r="B1" s="106"/>
      <c r="C1" s="106"/>
      <c r="D1" s="106"/>
      <c r="E1" s="106"/>
      <c r="F1" s="106"/>
    </row>
    <row r="2" spans="1:33" s="106" customFormat="1">
      <c r="A2" s="2"/>
    </row>
    <row r="3" spans="1:33" s="106" customFormat="1">
      <c r="A3" s="2"/>
    </row>
    <row r="4" spans="1:33" s="106" customFormat="1">
      <c r="A4" s="2"/>
    </row>
    <row r="5" spans="1:33">
      <c r="A5" s="2"/>
    </row>
    <row r="6" spans="1:33" s="106" customFormat="1">
      <c r="A6" s="2"/>
    </row>
    <row r="7" spans="1:33" s="100" customFormat="1" ht="26">
      <c r="A7" s="100" t="s">
        <v>851</v>
      </c>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row>
    <row r="8" spans="1:33" s="1" customFormat="1" ht="20">
      <c r="A8" s="412" t="s">
        <v>524</v>
      </c>
      <c r="B8" s="413" t="s">
        <v>525</v>
      </c>
      <c r="C8" s="413" t="s">
        <v>526</v>
      </c>
      <c r="D8" s="414" t="s">
        <v>527</v>
      </c>
      <c r="E8" s="414" t="s">
        <v>528</v>
      </c>
      <c r="F8" s="414" t="s">
        <v>529</v>
      </c>
      <c r="G8" s="414"/>
      <c r="H8" s="415"/>
      <c r="I8" s="415"/>
      <c r="J8" s="415"/>
      <c r="K8" s="415"/>
      <c r="L8" s="415"/>
      <c r="M8" s="415"/>
      <c r="N8" s="415"/>
      <c r="O8" s="415"/>
      <c r="P8" s="415"/>
      <c r="Q8" s="411"/>
      <c r="R8" s="411"/>
      <c r="S8" s="411"/>
      <c r="T8" s="411"/>
      <c r="U8" s="411"/>
      <c r="V8" s="411"/>
      <c r="W8" s="411"/>
      <c r="X8" s="411"/>
      <c r="Y8" s="5"/>
      <c r="Z8" s="5"/>
      <c r="AA8" s="5"/>
      <c r="AB8" s="5"/>
      <c r="AC8" s="5"/>
      <c r="AD8" s="5"/>
      <c r="AE8" s="5"/>
      <c r="AF8" s="5"/>
      <c r="AG8" s="5"/>
    </row>
    <row r="9" spans="1:33" s="1" customFormat="1" ht="15.5">
      <c r="A9" s="406" t="s">
        <v>499</v>
      </c>
      <c r="B9" s="301" t="s">
        <v>530</v>
      </c>
      <c r="C9" s="301" t="s">
        <v>531</v>
      </c>
      <c r="D9" s="301" t="s">
        <v>532</v>
      </c>
      <c r="E9" s="407" t="s">
        <v>533</v>
      </c>
      <c r="F9" s="301" t="s">
        <v>534</v>
      </c>
      <c r="G9" s="301"/>
      <c r="H9" s="301"/>
      <c r="I9" s="301"/>
      <c r="J9" s="301"/>
      <c r="K9" s="301"/>
      <c r="L9" s="301"/>
      <c r="M9" s="301"/>
      <c r="N9" s="301"/>
      <c r="O9" s="301"/>
      <c r="P9" s="301"/>
      <c r="Q9" s="301"/>
      <c r="R9" s="301"/>
      <c r="S9" s="126"/>
      <c r="T9" s="126"/>
      <c r="U9" s="126"/>
      <c r="V9" s="126"/>
      <c r="W9" s="5"/>
      <c r="X9" s="5"/>
      <c r="Y9" s="5"/>
      <c r="Z9" s="5"/>
      <c r="AA9" s="5"/>
      <c r="AB9" s="5"/>
      <c r="AC9" s="5"/>
      <c r="AD9" s="5"/>
      <c r="AE9" s="5"/>
      <c r="AF9" s="5"/>
      <c r="AG9" s="5"/>
    </row>
    <row r="10" spans="1:33" s="1" customFormat="1" ht="15.5">
      <c r="A10" s="301" t="s">
        <v>499</v>
      </c>
      <c r="B10" s="301" t="s">
        <v>530</v>
      </c>
      <c r="C10" s="301" t="s">
        <v>535</v>
      </c>
      <c r="D10" s="301" t="s">
        <v>532</v>
      </c>
      <c r="E10" s="407" t="s">
        <v>533</v>
      </c>
      <c r="F10" s="301" t="s">
        <v>536</v>
      </c>
      <c r="G10" s="301"/>
      <c r="H10" s="301"/>
      <c r="I10" s="301"/>
      <c r="J10" s="301"/>
      <c r="K10" s="301"/>
      <c r="L10" s="301"/>
      <c r="M10" s="301"/>
      <c r="N10" s="301"/>
      <c r="O10" s="301"/>
      <c r="P10" s="301"/>
      <c r="Q10" s="301"/>
      <c r="R10" s="301"/>
      <c r="S10" s="126"/>
      <c r="T10" s="126"/>
      <c r="U10" s="126"/>
      <c r="V10" s="126"/>
      <c r="W10" s="5"/>
      <c r="X10" s="5"/>
      <c r="Y10" s="5"/>
      <c r="Z10" s="5"/>
      <c r="AA10" s="5"/>
      <c r="AB10" s="5"/>
      <c r="AC10" s="5"/>
      <c r="AD10" s="5"/>
      <c r="AE10" s="5"/>
      <c r="AF10" s="5"/>
      <c r="AG10" s="5"/>
    </row>
    <row r="11" spans="1:33" s="1" customFormat="1" ht="15.5">
      <c r="A11" s="301" t="s">
        <v>499</v>
      </c>
      <c r="B11" s="301" t="s">
        <v>530</v>
      </c>
      <c r="C11" s="301" t="s">
        <v>537</v>
      </c>
      <c r="D11" s="301" t="s">
        <v>532</v>
      </c>
      <c r="E11" s="407" t="s">
        <v>533</v>
      </c>
      <c r="F11" s="301" t="s">
        <v>538</v>
      </c>
      <c r="G11" s="301"/>
      <c r="H11" s="301"/>
      <c r="I11" s="301"/>
      <c r="J11" s="301"/>
      <c r="K11" s="301"/>
      <c r="L11" s="301"/>
      <c r="M11" s="301"/>
      <c r="N11" s="301"/>
      <c r="O11" s="301"/>
      <c r="P11" s="301"/>
      <c r="Q11" s="301"/>
      <c r="R11" s="301"/>
      <c r="S11" s="126"/>
      <c r="T11" s="126"/>
      <c r="U11" s="126"/>
      <c r="V11" s="126"/>
      <c r="W11" s="5"/>
      <c r="X11" s="5"/>
      <c r="Y11" s="5"/>
      <c r="Z11" s="5"/>
      <c r="AA11" s="5"/>
      <c r="AB11" s="5"/>
      <c r="AC11" s="5"/>
      <c r="AD11" s="5"/>
      <c r="AE11" s="5"/>
      <c r="AF11" s="5"/>
      <c r="AG11" s="5"/>
    </row>
    <row r="12" spans="1:33" s="1" customFormat="1" ht="15.5">
      <c r="A12" s="301" t="s">
        <v>499</v>
      </c>
      <c r="B12" s="301" t="s">
        <v>530</v>
      </c>
      <c r="C12" s="301" t="s">
        <v>539</v>
      </c>
      <c r="D12" s="301" t="s">
        <v>532</v>
      </c>
      <c r="E12" s="407" t="s">
        <v>533</v>
      </c>
      <c r="F12" s="301" t="s">
        <v>540</v>
      </c>
      <c r="G12" s="301"/>
      <c r="H12" s="301"/>
      <c r="I12" s="301"/>
      <c r="J12" s="301"/>
      <c r="K12" s="301"/>
      <c r="L12" s="301"/>
      <c r="M12" s="301"/>
      <c r="N12" s="301"/>
      <c r="O12" s="301"/>
      <c r="P12" s="301"/>
      <c r="Q12" s="301"/>
      <c r="R12" s="301"/>
      <c r="S12" s="126"/>
      <c r="T12" s="126"/>
      <c r="U12" s="126"/>
      <c r="V12" s="126"/>
      <c r="W12" s="5"/>
      <c r="X12" s="5"/>
      <c r="Y12" s="5"/>
      <c r="Z12" s="5"/>
      <c r="AA12" s="5"/>
      <c r="AB12" s="5"/>
      <c r="AC12" s="5"/>
      <c r="AD12" s="5"/>
      <c r="AE12" s="5"/>
      <c r="AF12" s="5"/>
      <c r="AG12" s="5"/>
    </row>
    <row r="13" spans="1:33" s="1" customFormat="1" ht="15.5">
      <c r="A13" s="301" t="s">
        <v>499</v>
      </c>
      <c r="B13" s="301" t="s">
        <v>530</v>
      </c>
      <c r="C13" s="301" t="s">
        <v>541</v>
      </c>
      <c r="D13" s="301" t="s">
        <v>532</v>
      </c>
      <c r="E13" s="407" t="s">
        <v>533</v>
      </c>
      <c r="F13" s="301" t="s">
        <v>542</v>
      </c>
      <c r="G13" s="301"/>
      <c r="H13" s="301"/>
      <c r="I13" s="301"/>
      <c r="J13" s="301"/>
      <c r="K13" s="301"/>
      <c r="L13" s="301"/>
      <c r="M13" s="301"/>
      <c r="N13" s="301"/>
      <c r="O13" s="301"/>
      <c r="P13" s="301"/>
      <c r="Q13" s="301"/>
      <c r="R13" s="301"/>
      <c r="S13" s="126"/>
      <c r="T13" s="126"/>
      <c r="U13" s="126"/>
      <c r="V13" s="126"/>
      <c r="W13" s="5"/>
      <c r="X13" s="5"/>
      <c r="Y13" s="5"/>
      <c r="Z13" s="5"/>
      <c r="AA13" s="5"/>
      <c r="AB13" s="5"/>
      <c r="AC13" s="5"/>
      <c r="AD13" s="5"/>
      <c r="AE13" s="5"/>
      <c r="AF13" s="5"/>
      <c r="AG13" s="5"/>
    </row>
    <row r="14" spans="1:33" s="1" customFormat="1" ht="15.5">
      <c r="A14" s="301" t="s">
        <v>499</v>
      </c>
      <c r="B14" s="301" t="s">
        <v>530</v>
      </c>
      <c r="C14" s="301" t="s">
        <v>543</v>
      </c>
      <c r="D14" s="301" t="s">
        <v>532</v>
      </c>
      <c r="E14" s="407" t="s">
        <v>533</v>
      </c>
      <c r="F14" s="301" t="s">
        <v>544</v>
      </c>
      <c r="G14" s="301"/>
      <c r="H14" s="301"/>
      <c r="I14" s="301"/>
      <c r="J14" s="301"/>
      <c r="K14" s="301"/>
      <c r="L14" s="301"/>
      <c r="M14" s="301"/>
      <c r="N14" s="301"/>
      <c r="O14" s="301"/>
      <c r="P14" s="301"/>
      <c r="Q14" s="301"/>
      <c r="R14" s="301"/>
      <c r="S14" s="126"/>
      <c r="T14" s="126"/>
      <c r="U14" s="126"/>
      <c r="V14" s="126"/>
      <c r="W14" s="5"/>
      <c r="X14" s="5"/>
      <c r="Y14" s="5"/>
      <c r="Z14" s="5"/>
      <c r="AA14" s="5"/>
      <c r="AB14" s="5"/>
      <c r="AC14" s="5"/>
      <c r="AD14" s="5"/>
      <c r="AE14" s="5"/>
      <c r="AF14" s="5"/>
      <c r="AG14" s="5"/>
    </row>
    <row r="15" spans="1:33" s="1" customFormat="1" ht="15.5">
      <c r="A15" s="301" t="s">
        <v>499</v>
      </c>
      <c r="B15" s="301" t="s">
        <v>530</v>
      </c>
      <c r="C15" s="301" t="s">
        <v>545</v>
      </c>
      <c r="D15" s="301" t="s">
        <v>532</v>
      </c>
      <c r="E15" s="407" t="s">
        <v>533</v>
      </c>
      <c r="F15" s="301" t="s">
        <v>546</v>
      </c>
      <c r="G15" s="301"/>
      <c r="H15" s="301"/>
      <c r="I15" s="301"/>
      <c r="J15" s="301"/>
      <c r="K15" s="301"/>
      <c r="L15" s="301"/>
      <c r="M15" s="301"/>
      <c r="N15" s="301"/>
      <c r="O15" s="301"/>
      <c r="P15" s="301"/>
      <c r="Q15" s="301"/>
      <c r="R15" s="301"/>
      <c r="S15" s="126"/>
      <c r="T15" s="126"/>
      <c r="U15" s="126"/>
      <c r="V15" s="126"/>
      <c r="W15" s="5"/>
      <c r="X15" s="5"/>
      <c r="Y15" s="5"/>
      <c r="Z15" s="5"/>
      <c r="AA15" s="5"/>
      <c r="AB15" s="5"/>
      <c r="AC15" s="5"/>
      <c r="AD15" s="5"/>
      <c r="AE15" s="5"/>
      <c r="AF15" s="5"/>
      <c r="AG15" s="5"/>
    </row>
    <row r="16" spans="1:33" s="1" customFormat="1" ht="15.5">
      <c r="A16" s="301" t="s">
        <v>499</v>
      </c>
      <c r="B16" s="301" t="s">
        <v>530</v>
      </c>
      <c r="C16" s="301" t="s">
        <v>547</v>
      </c>
      <c r="D16" s="301" t="s">
        <v>532</v>
      </c>
      <c r="E16" s="407" t="s">
        <v>533</v>
      </c>
      <c r="F16" s="301" t="s">
        <v>548</v>
      </c>
      <c r="G16" s="301"/>
      <c r="H16" s="301"/>
      <c r="I16" s="301"/>
      <c r="J16" s="301"/>
      <c r="K16" s="301"/>
      <c r="L16" s="301"/>
      <c r="M16" s="301"/>
      <c r="N16" s="301"/>
      <c r="O16" s="301"/>
      <c r="P16" s="301"/>
      <c r="Q16" s="301"/>
      <c r="R16" s="301"/>
      <c r="S16" s="126"/>
      <c r="T16" s="126"/>
      <c r="U16" s="126"/>
      <c r="V16" s="126"/>
      <c r="W16" s="5"/>
      <c r="X16" s="5"/>
      <c r="Y16" s="5"/>
      <c r="Z16" s="5"/>
      <c r="AA16" s="5"/>
      <c r="AB16" s="5"/>
      <c r="AC16" s="5"/>
      <c r="AD16" s="5"/>
      <c r="AE16" s="5"/>
      <c r="AF16" s="5"/>
      <c r="AG16" s="5"/>
    </row>
    <row r="17" spans="1:33" s="1" customFormat="1" ht="15.5">
      <c r="A17" s="301" t="s">
        <v>499</v>
      </c>
      <c r="B17" s="301" t="s">
        <v>530</v>
      </c>
      <c r="C17" s="301" t="s">
        <v>549</v>
      </c>
      <c r="D17" s="301" t="s">
        <v>532</v>
      </c>
      <c r="E17" s="407" t="s">
        <v>533</v>
      </c>
      <c r="F17" s="301" t="s">
        <v>550</v>
      </c>
      <c r="G17" s="301"/>
      <c r="H17" s="301"/>
      <c r="I17" s="301"/>
      <c r="J17" s="301"/>
      <c r="K17" s="301"/>
      <c r="L17" s="301"/>
      <c r="M17" s="301"/>
      <c r="N17" s="301"/>
      <c r="O17" s="301"/>
      <c r="P17" s="301"/>
      <c r="Q17" s="301"/>
      <c r="R17" s="301"/>
      <c r="S17" s="126"/>
      <c r="T17" s="126"/>
      <c r="U17" s="126"/>
      <c r="V17" s="126"/>
      <c r="W17" s="5"/>
      <c r="X17" s="5"/>
      <c r="Y17" s="5"/>
      <c r="Z17" s="5"/>
      <c r="AA17" s="5"/>
      <c r="AB17" s="5"/>
      <c r="AC17" s="5"/>
      <c r="AD17" s="5"/>
      <c r="AE17" s="5"/>
      <c r="AF17" s="5"/>
      <c r="AG17" s="5"/>
    </row>
    <row r="18" spans="1:33" s="1" customFormat="1" ht="15.5">
      <c r="A18" s="301" t="s">
        <v>499</v>
      </c>
      <c r="B18" s="301" t="s">
        <v>530</v>
      </c>
      <c r="C18" s="301" t="s">
        <v>551</v>
      </c>
      <c r="D18" s="301" t="s">
        <v>532</v>
      </c>
      <c r="E18" s="407" t="s">
        <v>533</v>
      </c>
      <c r="F18" s="301" t="s">
        <v>552</v>
      </c>
      <c r="G18" s="301"/>
      <c r="H18" s="301"/>
      <c r="I18" s="301"/>
      <c r="J18" s="301"/>
      <c r="K18" s="301"/>
      <c r="L18" s="301"/>
      <c r="M18" s="301"/>
      <c r="N18" s="301"/>
      <c r="O18" s="301"/>
      <c r="P18" s="301"/>
      <c r="Q18" s="301"/>
      <c r="R18" s="301"/>
      <c r="S18" s="126"/>
      <c r="T18" s="126"/>
      <c r="U18" s="126"/>
      <c r="V18" s="126"/>
      <c r="W18" s="5"/>
      <c r="X18" s="5"/>
      <c r="Y18" s="5"/>
      <c r="Z18" s="5"/>
      <c r="AA18" s="5"/>
      <c r="AB18" s="5"/>
      <c r="AC18" s="5"/>
      <c r="AD18" s="5"/>
      <c r="AE18" s="5"/>
      <c r="AF18" s="5"/>
      <c r="AG18" s="5"/>
    </row>
    <row r="19" spans="1:33" s="1" customFormat="1" ht="15.5">
      <c r="A19" s="301" t="s">
        <v>499</v>
      </c>
      <c r="B19" s="301" t="s">
        <v>530</v>
      </c>
      <c r="C19" s="301" t="s">
        <v>553</v>
      </c>
      <c r="D19" s="301" t="s">
        <v>532</v>
      </c>
      <c r="E19" s="407" t="s">
        <v>533</v>
      </c>
      <c r="F19" s="301" t="s">
        <v>554</v>
      </c>
      <c r="G19" s="301"/>
      <c r="H19" s="301"/>
      <c r="I19" s="301"/>
      <c r="J19" s="301"/>
      <c r="K19" s="301"/>
      <c r="L19" s="301"/>
      <c r="M19" s="301"/>
      <c r="N19" s="301"/>
      <c r="O19" s="301"/>
      <c r="P19" s="301"/>
      <c r="Q19" s="301"/>
      <c r="R19" s="301"/>
      <c r="S19" s="126"/>
      <c r="T19" s="126"/>
      <c r="U19" s="126"/>
      <c r="V19" s="126"/>
      <c r="W19" s="5"/>
      <c r="X19" s="5"/>
      <c r="Y19" s="5"/>
      <c r="Z19" s="5"/>
      <c r="AA19" s="5"/>
      <c r="AB19" s="5"/>
      <c r="AC19" s="5"/>
      <c r="AD19" s="5"/>
      <c r="AE19" s="5"/>
      <c r="AF19" s="5"/>
      <c r="AG19" s="5"/>
    </row>
    <row r="20" spans="1:33" s="1" customFormat="1" ht="15.5">
      <c r="A20" s="301" t="s">
        <v>499</v>
      </c>
      <c r="B20" s="301" t="s">
        <v>2</v>
      </c>
      <c r="C20" s="301" t="s">
        <v>555</v>
      </c>
      <c r="D20" s="301" t="s">
        <v>532</v>
      </c>
      <c r="E20" s="407" t="s">
        <v>533</v>
      </c>
      <c r="F20" s="301" t="s">
        <v>556</v>
      </c>
      <c r="G20" s="301"/>
      <c r="H20" s="301"/>
      <c r="I20" s="301"/>
      <c r="J20" s="301"/>
      <c r="K20" s="301"/>
      <c r="L20" s="301"/>
      <c r="M20" s="301"/>
      <c r="N20" s="301"/>
      <c r="O20" s="301"/>
      <c r="P20" s="301"/>
      <c r="Q20" s="301"/>
      <c r="R20" s="301"/>
      <c r="S20" s="126"/>
      <c r="T20" s="126"/>
      <c r="U20" s="126"/>
      <c r="V20" s="126"/>
      <c r="W20" s="5"/>
      <c r="X20" s="5"/>
      <c r="Y20" s="5"/>
      <c r="Z20" s="5"/>
      <c r="AA20" s="5"/>
      <c r="AB20" s="5"/>
      <c r="AC20" s="5"/>
      <c r="AD20" s="5"/>
      <c r="AE20" s="5"/>
      <c r="AF20" s="5"/>
      <c r="AG20" s="5"/>
    </row>
    <row r="21" spans="1:33" s="1" customFormat="1" ht="15.5">
      <c r="A21" s="301" t="s">
        <v>499</v>
      </c>
      <c r="B21" s="301" t="s">
        <v>2</v>
      </c>
      <c r="C21" s="301" t="s">
        <v>557</v>
      </c>
      <c r="D21" s="301" t="s">
        <v>532</v>
      </c>
      <c r="E21" s="407" t="s">
        <v>533</v>
      </c>
      <c r="F21" s="301" t="s">
        <v>558</v>
      </c>
      <c r="G21" s="301"/>
      <c r="H21" s="301"/>
      <c r="I21" s="301"/>
      <c r="J21" s="301"/>
      <c r="K21" s="301"/>
      <c r="L21" s="301"/>
      <c r="M21" s="301"/>
      <c r="N21" s="301"/>
      <c r="O21" s="301"/>
      <c r="P21" s="301"/>
      <c r="Q21" s="301"/>
      <c r="R21" s="301"/>
      <c r="S21" s="126"/>
      <c r="T21" s="126"/>
      <c r="U21" s="126"/>
      <c r="V21" s="126"/>
      <c r="W21" s="5"/>
      <c r="X21" s="5"/>
      <c r="Y21" s="5"/>
      <c r="Z21" s="5"/>
      <c r="AA21" s="5"/>
      <c r="AB21" s="5"/>
      <c r="AC21" s="5"/>
      <c r="AD21" s="5"/>
      <c r="AE21" s="5"/>
      <c r="AF21" s="5"/>
      <c r="AG21" s="5"/>
    </row>
    <row r="22" spans="1:33" s="1" customFormat="1" ht="15.5">
      <c r="A22" s="301" t="s">
        <v>499</v>
      </c>
      <c r="B22" s="301" t="s">
        <v>2</v>
      </c>
      <c r="C22" s="301" t="s">
        <v>559</v>
      </c>
      <c r="D22" s="301" t="s">
        <v>532</v>
      </c>
      <c r="E22" s="407" t="s">
        <v>533</v>
      </c>
      <c r="F22" s="301" t="s">
        <v>560</v>
      </c>
      <c r="G22" s="301"/>
      <c r="H22" s="301"/>
      <c r="I22" s="301"/>
      <c r="J22" s="301"/>
      <c r="K22" s="301"/>
      <c r="L22" s="301"/>
      <c r="M22" s="301"/>
      <c r="N22" s="301"/>
      <c r="O22" s="301"/>
      <c r="P22" s="301"/>
      <c r="Q22" s="301"/>
      <c r="R22" s="301"/>
      <c r="S22" s="126"/>
      <c r="T22" s="126"/>
      <c r="U22" s="126"/>
      <c r="V22" s="126"/>
      <c r="W22" s="5"/>
      <c r="X22" s="5"/>
      <c r="Y22" s="5"/>
      <c r="Z22" s="5"/>
      <c r="AA22" s="5"/>
      <c r="AB22" s="5"/>
      <c r="AC22" s="5"/>
      <c r="AD22" s="5"/>
      <c r="AE22" s="5"/>
      <c r="AF22" s="5"/>
      <c r="AG22" s="5"/>
    </row>
    <row r="23" spans="1:33" s="1" customFormat="1" ht="15.5">
      <c r="A23" s="301" t="s">
        <v>499</v>
      </c>
      <c r="B23" s="301" t="s">
        <v>2</v>
      </c>
      <c r="C23" s="301" t="s">
        <v>561</v>
      </c>
      <c r="D23" s="301" t="s">
        <v>532</v>
      </c>
      <c r="E23" s="407" t="s">
        <v>533</v>
      </c>
      <c r="F23" s="301" t="s">
        <v>562</v>
      </c>
      <c r="G23" s="301"/>
      <c r="H23" s="301"/>
      <c r="I23" s="301"/>
      <c r="J23" s="301"/>
      <c r="K23" s="301"/>
      <c r="L23" s="301"/>
      <c r="M23" s="301"/>
      <c r="N23" s="301"/>
      <c r="O23" s="301"/>
      <c r="P23" s="301"/>
      <c r="Q23" s="301"/>
      <c r="R23" s="301"/>
      <c r="S23" s="126"/>
      <c r="T23" s="126"/>
      <c r="U23" s="126"/>
      <c r="V23" s="126"/>
      <c r="W23" s="5"/>
      <c r="X23" s="5"/>
      <c r="Y23" s="5"/>
      <c r="Z23" s="5"/>
      <c r="AA23" s="5"/>
      <c r="AB23" s="5"/>
      <c r="AC23" s="5"/>
      <c r="AD23" s="5"/>
      <c r="AE23" s="5"/>
      <c r="AF23" s="5"/>
      <c r="AG23" s="5"/>
    </row>
    <row r="24" spans="1:33" s="1" customFormat="1" ht="15.5">
      <c r="A24" s="301" t="s">
        <v>499</v>
      </c>
      <c r="B24" s="301" t="s">
        <v>2</v>
      </c>
      <c r="C24" s="301" t="s">
        <v>563</v>
      </c>
      <c r="D24" s="301" t="s">
        <v>532</v>
      </c>
      <c r="E24" s="407" t="s">
        <v>533</v>
      </c>
      <c r="F24" s="301" t="s">
        <v>564</v>
      </c>
      <c r="G24" s="301"/>
      <c r="H24" s="301"/>
      <c r="I24" s="301"/>
      <c r="J24" s="301"/>
      <c r="K24" s="301"/>
      <c r="L24" s="301"/>
      <c r="M24" s="301"/>
      <c r="N24" s="301"/>
      <c r="O24" s="301"/>
      <c r="P24" s="301"/>
      <c r="Q24" s="301"/>
      <c r="R24" s="301"/>
      <c r="S24" s="126"/>
      <c r="T24" s="126"/>
      <c r="U24" s="126"/>
      <c r="V24" s="126"/>
      <c r="W24" s="5"/>
      <c r="X24" s="5"/>
      <c r="Y24" s="5"/>
      <c r="Z24" s="5"/>
      <c r="AA24" s="5"/>
      <c r="AB24" s="5"/>
      <c r="AC24" s="5"/>
      <c r="AD24" s="5"/>
      <c r="AE24" s="5"/>
      <c r="AF24" s="5"/>
      <c r="AG24" s="5"/>
    </row>
    <row r="25" spans="1:33" s="1" customFormat="1" ht="15.5">
      <c r="A25" s="301" t="s">
        <v>499</v>
      </c>
      <c r="B25" s="301" t="s">
        <v>2</v>
      </c>
      <c r="C25" s="301" t="s">
        <v>565</v>
      </c>
      <c r="D25" s="301" t="s">
        <v>532</v>
      </c>
      <c r="E25" s="407" t="s">
        <v>533</v>
      </c>
      <c r="F25" s="301" t="s">
        <v>566</v>
      </c>
      <c r="G25" s="301"/>
      <c r="H25" s="301"/>
      <c r="I25" s="301"/>
      <c r="J25" s="301"/>
      <c r="K25" s="301"/>
      <c r="L25" s="301"/>
      <c r="M25" s="301"/>
      <c r="N25" s="301"/>
      <c r="O25" s="301"/>
      <c r="P25" s="301"/>
      <c r="Q25" s="301"/>
      <c r="R25" s="301"/>
      <c r="S25" s="126"/>
      <c r="T25" s="126"/>
      <c r="U25" s="126"/>
      <c r="V25" s="126"/>
      <c r="W25" s="5"/>
      <c r="X25" s="5"/>
      <c r="Y25" s="5"/>
      <c r="Z25" s="5"/>
      <c r="AA25" s="5"/>
      <c r="AB25" s="5"/>
      <c r="AC25" s="5"/>
      <c r="AD25" s="5"/>
      <c r="AE25" s="5"/>
      <c r="AF25" s="5"/>
      <c r="AG25" s="5"/>
    </row>
    <row r="26" spans="1:33" s="1" customFormat="1" ht="15.5">
      <c r="A26" s="301" t="s">
        <v>499</v>
      </c>
      <c r="B26" s="301" t="s">
        <v>2</v>
      </c>
      <c r="C26" s="301" t="s">
        <v>567</v>
      </c>
      <c r="D26" s="301" t="s">
        <v>532</v>
      </c>
      <c r="E26" s="407" t="s">
        <v>533</v>
      </c>
      <c r="F26" s="301" t="s">
        <v>568</v>
      </c>
      <c r="G26" s="301"/>
      <c r="H26" s="301"/>
      <c r="I26" s="301"/>
      <c r="J26" s="301"/>
      <c r="K26" s="301"/>
      <c r="L26" s="301"/>
      <c r="M26" s="301"/>
      <c r="N26" s="301"/>
      <c r="O26" s="301"/>
      <c r="P26" s="301"/>
      <c r="Q26" s="301"/>
      <c r="R26" s="301"/>
      <c r="S26" s="126"/>
      <c r="T26" s="126"/>
      <c r="U26" s="126"/>
      <c r="V26" s="126"/>
      <c r="W26" s="5"/>
      <c r="X26" s="5"/>
      <c r="Y26" s="5"/>
      <c r="Z26" s="5"/>
      <c r="AA26" s="5"/>
      <c r="AB26" s="5"/>
      <c r="AC26" s="5"/>
      <c r="AD26" s="5"/>
      <c r="AE26" s="5"/>
      <c r="AF26" s="5"/>
      <c r="AG26" s="5"/>
    </row>
    <row r="27" spans="1:33" s="1" customFormat="1" ht="15.5">
      <c r="A27" s="301" t="s">
        <v>499</v>
      </c>
      <c r="B27" s="301" t="s">
        <v>2</v>
      </c>
      <c r="C27" s="301" t="s">
        <v>569</v>
      </c>
      <c r="D27" s="301" t="s">
        <v>532</v>
      </c>
      <c r="E27" s="407" t="s">
        <v>533</v>
      </c>
      <c r="F27" s="301" t="s">
        <v>570</v>
      </c>
      <c r="G27" s="301"/>
      <c r="H27" s="301"/>
      <c r="I27" s="301"/>
      <c r="J27" s="301"/>
      <c r="K27" s="301"/>
      <c r="L27" s="301"/>
      <c r="M27" s="301"/>
      <c r="N27" s="301"/>
      <c r="O27" s="301"/>
      <c r="P27" s="301"/>
      <c r="Q27" s="301"/>
      <c r="R27" s="301"/>
      <c r="S27" s="126"/>
      <c r="T27" s="126"/>
      <c r="U27" s="126"/>
      <c r="V27" s="126"/>
      <c r="W27" s="5"/>
      <c r="X27" s="5"/>
      <c r="Y27" s="5"/>
      <c r="Z27" s="5"/>
      <c r="AA27" s="5"/>
      <c r="AB27" s="5"/>
      <c r="AC27" s="5"/>
      <c r="AD27" s="5"/>
      <c r="AE27" s="5"/>
      <c r="AF27" s="5"/>
      <c r="AG27" s="5"/>
    </row>
    <row r="28" spans="1:33" s="1" customFormat="1" ht="15.5">
      <c r="A28" s="301" t="s">
        <v>499</v>
      </c>
      <c r="B28" s="301" t="s">
        <v>2</v>
      </c>
      <c r="C28" s="301" t="s">
        <v>571</v>
      </c>
      <c r="D28" s="301" t="s">
        <v>532</v>
      </c>
      <c r="E28" s="407" t="s">
        <v>533</v>
      </c>
      <c r="F28" s="301" t="s">
        <v>572</v>
      </c>
      <c r="G28" s="301"/>
      <c r="H28" s="301"/>
      <c r="I28" s="301"/>
      <c r="J28" s="301"/>
      <c r="K28" s="301"/>
      <c r="L28" s="301"/>
      <c r="M28" s="301"/>
      <c r="N28" s="301"/>
      <c r="O28" s="301"/>
      <c r="P28" s="301"/>
      <c r="Q28" s="301"/>
      <c r="R28" s="301"/>
      <c r="S28" s="126"/>
      <c r="T28" s="126"/>
      <c r="U28" s="126"/>
      <c r="V28" s="126"/>
      <c r="W28" s="5"/>
      <c r="X28" s="5"/>
      <c r="Y28" s="5"/>
      <c r="Z28" s="5"/>
      <c r="AA28" s="5"/>
      <c r="AB28" s="5"/>
      <c r="AC28" s="5"/>
      <c r="AD28" s="5"/>
      <c r="AE28" s="5"/>
      <c r="AF28" s="5"/>
      <c r="AG28" s="5"/>
    </row>
    <row r="29" spans="1:33" s="1" customFormat="1" ht="15.5">
      <c r="A29" s="301" t="s">
        <v>499</v>
      </c>
      <c r="B29" s="301" t="s">
        <v>2</v>
      </c>
      <c r="C29" s="301" t="s">
        <v>573</v>
      </c>
      <c r="D29" s="301" t="s">
        <v>532</v>
      </c>
      <c r="E29" s="407" t="s">
        <v>533</v>
      </c>
      <c r="F29" s="301" t="s">
        <v>574</v>
      </c>
      <c r="G29" s="301"/>
      <c r="H29" s="301"/>
      <c r="I29" s="301"/>
      <c r="J29" s="301"/>
      <c r="K29" s="301"/>
      <c r="L29" s="301"/>
      <c r="M29" s="301"/>
      <c r="N29" s="301"/>
      <c r="O29" s="301"/>
      <c r="P29" s="301"/>
      <c r="Q29" s="301"/>
      <c r="R29" s="301"/>
      <c r="S29" s="126"/>
      <c r="T29" s="126"/>
      <c r="U29" s="126"/>
      <c r="V29" s="126"/>
      <c r="W29" s="5"/>
      <c r="X29" s="5"/>
      <c r="Y29" s="5"/>
      <c r="Z29" s="5"/>
      <c r="AA29" s="5"/>
      <c r="AB29" s="5"/>
      <c r="AC29" s="5"/>
      <c r="AD29" s="5"/>
      <c r="AE29" s="5"/>
      <c r="AF29" s="5"/>
      <c r="AG29" s="5"/>
    </row>
    <row r="30" spans="1:33" s="1" customFormat="1" ht="15.5">
      <c r="A30" s="301" t="s">
        <v>499</v>
      </c>
      <c r="B30" s="301" t="s">
        <v>2</v>
      </c>
      <c r="C30" s="301" t="s">
        <v>575</v>
      </c>
      <c r="D30" s="301" t="s">
        <v>532</v>
      </c>
      <c r="E30" s="407" t="s">
        <v>533</v>
      </c>
      <c r="F30" s="301" t="s">
        <v>576</v>
      </c>
      <c r="G30" s="301"/>
      <c r="H30" s="301"/>
      <c r="I30" s="301"/>
      <c r="J30" s="301"/>
      <c r="K30" s="301"/>
      <c r="L30" s="301"/>
      <c r="M30" s="301"/>
      <c r="N30" s="301"/>
      <c r="O30" s="301"/>
      <c r="P30" s="301"/>
      <c r="Q30" s="301"/>
      <c r="R30" s="301"/>
      <c r="S30" s="126"/>
      <c r="T30" s="126"/>
      <c r="U30" s="126"/>
      <c r="V30" s="126"/>
      <c r="W30" s="5"/>
      <c r="X30" s="5"/>
      <c r="Y30" s="5"/>
      <c r="Z30" s="5"/>
      <c r="AA30" s="5"/>
      <c r="AB30" s="5"/>
      <c r="AC30" s="5"/>
      <c r="AD30" s="5"/>
      <c r="AE30" s="5"/>
      <c r="AF30" s="5"/>
      <c r="AG30" s="5"/>
    </row>
    <row r="31" spans="1:33" s="1" customFormat="1" ht="15.5">
      <c r="A31" s="301" t="s">
        <v>499</v>
      </c>
      <c r="B31" s="301" t="s">
        <v>2</v>
      </c>
      <c r="C31" s="301" t="s">
        <v>577</v>
      </c>
      <c r="D31" s="301" t="s">
        <v>532</v>
      </c>
      <c r="E31" s="407" t="s">
        <v>533</v>
      </c>
      <c r="F31" s="301" t="s">
        <v>578</v>
      </c>
      <c r="G31" s="301"/>
      <c r="H31" s="301"/>
      <c r="I31" s="301"/>
      <c r="J31" s="301"/>
      <c r="K31" s="301"/>
      <c r="L31" s="301"/>
      <c r="M31" s="301"/>
      <c r="N31" s="301"/>
      <c r="O31" s="301"/>
      <c r="P31" s="301"/>
      <c r="Q31" s="301"/>
      <c r="R31" s="301"/>
      <c r="S31" s="126"/>
      <c r="T31" s="126"/>
      <c r="U31" s="126"/>
      <c r="V31" s="126"/>
      <c r="W31" s="5"/>
      <c r="X31" s="5"/>
      <c r="Y31" s="5"/>
      <c r="Z31" s="5"/>
      <c r="AA31" s="5"/>
      <c r="AB31" s="5"/>
      <c r="AC31" s="5"/>
      <c r="AD31" s="5"/>
      <c r="AE31" s="5"/>
      <c r="AF31" s="5"/>
      <c r="AG31" s="5"/>
    </row>
    <row r="32" spans="1:33" s="101" customFormat="1" ht="15.5">
      <c r="A32" s="301" t="s">
        <v>499</v>
      </c>
      <c r="B32" s="408" t="s">
        <v>2</v>
      </c>
      <c r="C32" s="408" t="s">
        <v>579</v>
      </c>
      <c r="D32" s="408" t="s">
        <v>532</v>
      </c>
      <c r="E32" s="409" t="s">
        <v>533</v>
      </c>
      <c r="F32" s="408" t="s">
        <v>580</v>
      </c>
      <c r="G32" s="408"/>
      <c r="H32" s="408"/>
      <c r="I32" s="408"/>
      <c r="J32" s="301"/>
      <c r="K32" s="408"/>
      <c r="L32" s="408"/>
      <c r="M32" s="408"/>
      <c r="N32" s="408"/>
      <c r="O32" s="408"/>
      <c r="P32" s="408"/>
      <c r="Q32" s="408"/>
      <c r="R32" s="408"/>
      <c r="S32" s="166"/>
      <c r="T32" s="166"/>
      <c r="U32" s="166"/>
      <c r="V32" s="166"/>
      <c r="W32" s="113"/>
      <c r="X32" s="113"/>
      <c r="Y32" s="113"/>
      <c r="Z32" s="113"/>
      <c r="AA32" s="113"/>
      <c r="AB32" s="113"/>
      <c r="AC32" s="113"/>
      <c r="AD32" s="113"/>
      <c r="AE32" s="113"/>
      <c r="AF32" s="113"/>
      <c r="AG32" s="113"/>
    </row>
    <row r="33" spans="1:33" s="101" customFormat="1" ht="15.5">
      <c r="A33" s="408" t="s">
        <v>499</v>
      </c>
      <c r="B33" s="408" t="s">
        <v>2</v>
      </c>
      <c r="C33" s="408" t="s">
        <v>581</v>
      </c>
      <c r="D33" s="408" t="s">
        <v>532</v>
      </c>
      <c r="E33" s="409" t="s">
        <v>533</v>
      </c>
      <c r="F33" s="408" t="s">
        <v>582</v>
      </c>
      <c r="G33" s="408"/>
      <c r="H33" s="408"/>
      <c r="I33" s="408"/>
      <c r="J33" s="301"/>
      <c r="K33" s="408"/>
      <c r="L33" s="408"/>
      <c r="M33" s="408"/>
      <c r="N33" s="408"/>
      <c r="O33" s="408"/>
      <c r="P33" s="408"/>
      <c r="Q33" s="408"/>
      <c r="R33" s="408"/>
      <c r="S33" s="166"/>
      <c r="T33" s="166"/>
      <c r="U33" s="166"/>
      <c r="V33" s="166"/>
      <c r="W33" s="113"/>
      <c r="X33" s="113"/>
      <c r="Y33" s="113"/>
      <c r="Z33" s="113"/>
      <c r="AA33" s="113"/>
      <c r="AB33" s="113"/>
      <c r="AC33" s="113"/>
      <c r="AD33" s="113"/>
      <c r="AE33" s="113"/>
      <c r="AF33" s="113"/>
      <c r="AG33" s="113"/>
    </row>
    <row r="34" spans="1:33" s="101" customFormat="1" ht="15.5">
      <c r="A34" s="408" t="s">
        <v>499</v>
      </c>
      <c r="B34" s="408" t="s">
        <v>2</v>
      </c>
      <c r="C34" s="408" t="s">
        <v>583</v>
      </c>
      <c r="D34" s="408" t="s">
        <v>532</v>
      </c>
      <c r="E34" s="409" t="s">
        <v>533</v>
      </c>
      <c r="F34" s="408" t="s">
        <v>584</v>
      </c>
      <c r="G34" s="408"/>
      <c r="H34" s="408"/>
      <c r="I34" s="408"/>
      <c r="J34" s="301"/>
      <c r="K34" s="408"/>
      <c r="L34" s="408"/>
      <c r="M34" s="408"/>
      <c r="N34" s="408"/>
      <c r="O34" s="408"/>
      <c r="P34" s="408"/>
      <c r="Q34" s="408"/>
      <c r="R34" s="408"/>
      <c r="S34" s="166"/>
      <c r="T34" s="166"/>
      <c r="U34" s="166"/>
      <c r="V34" s="166"/>
      <c r="W34" s="113"/>
      <c r="X34" s="113"/>
      <c r="Y34" s="113"/>
      <c r="Z34" s="113"/>
      <c r="AA34" s="113"/>
      <c r="AB34" s="113"/>
      <c r="AC34" s="113"/>
      <c r="AD34" s="113"/>
      <c r="AE34" s="113"/>
      <c r="AF34" s="113"/>
      <c r="AG34" s="113"/>
    </row>
    <row r="35" spans="1:33" s="1" customFormat="1" ht="15.5">
      <c r="A35" s="408" t="s">
        <v>499</v>
      </c>
      <c r="B35" s="301" t="s">
        <v>2</v>
      </c>
      <c r="C35" s="301" t="s">
        <v>585</v>
      </c>
      <c r="D35" s="301" t="s">
        <v>532</v>
      </c>
      <c r="E35" s="407" t="s">
        <v>533</v>
      </c>
      <c r="F35" s="301" t="s">
        <v>586</v>
      </c>
      <c r="G35" s="301"/>
      <c r="H35" s="301"/>
      <c r="I35" s="301"/>
      <c r="J35" s="301"/>
      <c r="K35" s="301"/>
      <c r="L35" s="301"/>
      <c r="M35" s="301"/>
      <c r="N35" s="301"/>
      <c r="O35" s="301"/>
      <c r="P35" s="301"/>
      <c r="Q35" s="301"/>
      <c r="R35" s="301"/>
      <c r="S35" s="126"/>
      <c r="T35" s="126"/>
      <c r="U35" s="126"/>
      <c r="V35" s="126"/>
      <c r="W35" s="5"/>
      <c r="X35" s="5"/>
      <c r="Y35" s="5"/>
      <c r="Z35" s="5"/>
      <c r="AA35" s="5"/>
      <c r="AB35" s="5"/>
      <c r="AC35" s="5"/>
      <c r="AD35" s="5"/>
      <c r="AE35" s="5"/>
      <c r="AF35" s="5"/>
      <c r="AG35" s="5"/>
    </row>
    <row r="36" spans="1:33" s="101" customFormat="1" ht="15.5">
      <c r="A36" s="301" t="s">
        <v>499</v>
      </c>
      <c r="B36" s="408" t="s">
        <v>2</v>
      </c>
      <c r="C36" s="408" t="s">
        <v>587</v>
      </c>
      <c r="D36" s="408" t="s">
        <v>532</v>
      </c>
      <c r="E36" s="409" t="s">
        <v>533</v>
      </c>
      <c r="F36" s="408" t="s">
        <v>588</v>
      </c>
      <c r="G36" s="408"/>
      <c r="H36" s="408"/>
      <c r="I36" s="408"/>
      <c r="J36" s="301"/>
      <c r="K36" s="408"/>
      <c r="L36" s="408"/>
      <c r="M36" s="408"/>
      <c r="N36" s="408"/>
      <c r="O36" s="408"/>
      <c r="P36" s="408"/>
      <c r="Q36" s="408"/>
      <c r="R36" s="408"/>
      <c r="S36" s="166"/>
      <c r="T36" s="166"/>
      <c r="U36" s="166"/>
      <c r="V36" s="166"/>
      <c r="W36" s="113"/>
      <c r="X36" s="113"/>
      <c r="Y36" s="113"/>
      <c r="Z36" s="113"/>
      <c r="AA36" s="113"/>
      <c r="AB36" s="113"/>
      <c r="AC36" s="113"/>
      <c r="AD36" s="113"/>
      <c r="AE36" s="113"/>
      <c r="AF36" s="113"/>
      <c r="AG36" s="113"/>
    </row>
    <row r="37" spans="1:33" s="101" customFormat="1" ht="15.5">
      <c r="A37" s="408" t="s">
        <v>499</v>
      </c>
      <c r="B37" s="408" t="s">
        <v>2</v>
      </c>
      <c r="C37" s="408" t="s">
        <v>589</v>
      </c>
      <c r="D37" s="408" t="s">
        <v>532</v>
      </c>
      <c r="E37" s="409" t="s">
        <v>533</v>
      </c>
      <c r="F37" s="408" t="s">
        <v>590</v>
      </c>
      <c r="G37" s="408"/>
      <c r="H37" s="408"/>
      <c r="I37" s="408"/>
      <c r="J37" s="301"/>
      <c r="K37" s="408"/>
      <c r="L37" s="408"/>
      <c r="M37" s="408"/>
      <c r="N37" s="408"/>
      <c r="O37" s="408"/>
      <c r="P37" s="408"/>
      <c r="Q37" s="408"/>
      <c r="R37" s="408"/>
      <c r="S37" s="166"/>
      <c r="T37" s="166"/>
      <c r="U37" s="166"/>
      <c r="V37" s="166"/>
      <c r="W37" s="113"/>
      <c r="X37" s="113"/>
      <c r="Y37" s="113"/>
      <c r="Z37" s="113"/>
      <c r="AA37" s="113"/>
      <c r="AB37" s="113"/>
      <c r="AC37" s="113"/>
      <c r="AD37" s="113"/>
      <c r="AE37" s="113"/>
      <c r="AF37" s="113"/>
      <c r="AG37" s="113"/>
    </row>
    <row r="38" spans="1:33" s="1" customFormat="1" ht="15.5">
      <c r="A38" s="408" t="s">
        <v>499</v>
      </c>
      <c r="B38" s="301" t="s">
        <v>2</v>
      </c>
      <c r="C38" s="301" t="s">
        <v>591</v>
      </c>
      <c r="D38" s="301" t="s">
        <v>532</v>
      </c>
      <c r="E38" s="407" t="s">
        <v>533</v>
      </c>
      <c r="F38" s="301" t="s">
        <v>592</v>
      </c>
      <c r="G38" s="301"/>
      <c r="H38" s="301"/>
      <c r="I38" s="301"/>
      <c r="J38" s="301"/>
      <c r="K38" s="301"/>
      <c r="L38" s="301"/>
      <c r="M38" s="301"/>
      <c r="N38" s="301"/>
      <c r="O38" s="301"/>
      <c r="P38" s="301"/>
      <c r="Q38" s="301"/>
      <c r="R38" s="301"/>
      <c r="S38" s="126"/>
      <c r="T38" s="126"/>
      <c r="U38" s="126"/>
      <c r="V38" s="126"/>
      <c r="W38" s="5"/>
      <c r="X38" s="5"/>
      <c r="Y38" s="5"/>
      <c r="Z38" s="5"/>
      <c r="AA38" s="5"/>
      <c r="AB38" s="5"/>
      <c r="AC38" s="5"/>
      <c r="AD38" s="5"/>
      <c r="AE38" s="5"/>
      <c r="AF38" s="5"/>
      <c r="AG38" s="5"/>
    </row>
    <row r="39" spans="1:33" s="101" customFormat="1" ht="15.5">
      <c r="A39" s="301" t="s">
        <v>499</v>
      </c>
      <c r="B39" s="408" t="s">
        <v>2</v>
      </c>
      <c r="C39" s="408" t="s">
        <v>593</v>
      </c>
      <c r="D39" s="408" t="s">
        <v>532</v>
      </c>
      <c r="E39" s="409" t="s">
        <v>533</v>
      </c>
      <c r="F39" s="408" t="s">
        <v>594</v>
      </c>
      <c r="G39" s="408"/>
      <c r="H39" s="408"/>
      <c r="I39" s="408"/>
      <c r="J39" s="301"/>
      <c r="K39" s="408"/>
      <c r="L39" s="408"/>
      <c r="M39" s="408"/>
      <c r="N39" s="408"/>
      <c r="O39" s="408"/>
      <c r="P39" s="408"/>
      <c r="Q39" s="408"/>
      <c r="R39" s="408"/>
      <c r="S39" s="166"/>
      <c r="T39" s="166"/>
      <c r="U39" s="166"/>
      <c r="V39" s="166"/>
      <c r="W39" s="113"/>
      <c r="X39" s="113"/>
      <c r="Y39" s="113"/>
      <c r="Z39" s="113"/>
      <c r="AA39" s="113"/>
      <c r="AB39" s="113"/>
      <c r="AC39" s="113"/>
      <c r="AD39" s="113"/>
      <c r="AE39" s="113"/>
      <c r="AF39" s="113"/>
      <c r="AG39" s="113"/>
    </row>
    <row r="40" spans="1:33" s="101" customFormat="1" ht="15.5">
      <c r="A40" s="408" t="s">
        <v>499</v>
      </c>
      <c r="B40" s="408" t="s">
        <v>2</v>
      </c>
      <c r="C40" s="408" t="s">
        <v>595</v>
      </c>
      <c r="D40" s="408" t="s">
        <v>532</v>
      </c>
      <c r="E40" s="409" t="s">
        <v>533</v>
      </c>
      <c r="F40" s="408" t="s">
        <v>596</v>
      </c>
      <c r="G40" s="408"/>
      <c r="H40" s="408"/>
      <c r="I40" s="408"/>
      <c r="J40" s="301"/>
      <c r="K40" s="408"/>
      <c r="L40" s="408"/>
      <c r="M40" s="408"/>
      <c r="N40" s="408"/>
      <c r="O40" s="408"/>
      <c r="P40" s="408"/>
      <c r="Q40" s="408"/>
      <c r="R40" s="408"/>
      <c r="S40" s="166"/>
      <c r="T40" s="166"/>
      <c r="U40" s="166"/>
      <c r="V40" s="166"/>
      <c r="W40" s="113"/>
      <c r="X40" s="113"/>
      <c r="Y40" s="113"/>
      <c r="Z40" s="113"/>
      <c r="AA40" s="113"/>
      <c r="AB40" s="113"/>
      <c r="AC40" s="113"/>
      <c r="AD40" s="113"/>
      <c r="AE40" s="113"/>
      <c r="AF40" s="113"/>
      <c r="AG40" s="113"/>
    </row>
    <row r="41" spans="1:33" s="101" customFormat="1" ht="15.5">
      <c r="A41" s="408" t="s">
        <v>499</v>
      </c>
      <c r="B41" s="408" t="s">
        <v>597</v>
      </c>
      <c r="C41" s="408" t="s">
        <v>598</v>
      </c>
      <c r="D41" s="408" t="s">
        <v>532</v>
      </c>
      <c r="E41" s="409" t="s">
        <v>533</v>
      </c>
      <c r="F41" s="408" t="s">
        <v>599</v>
      </c>
      <c r="G41" s="408"/>
      <c r="H41" s="408"/>
      <c r="I41" s="408"/>
      <c r="J41" s="301"/>
      <c r="K41" s="408"/>
      <c r="L41" s="408"/>
      <c r="M41" s="408"/>
      <c r="N41" s="408"/>
      <c r="O41" s="408"/>
      <c r="P41" s="408"/>
      <c r="Q41" s="408"/>
      <c r="R41" s="408"/>
      <c r="S41" s="166"/>
      <c r="T41" s="166"/>
      <c r="U41" s="166"/>
      <c r="V41" s="166"/>
      <c r="W41" s="113"/>
      <c r="X41" s="113"/>
      <c r="Y41" s="113"/>
      <c r="Z41" s="113"/>
      <c r="AA41" s="113"/>
      <c r="AB41" s="113"/>
      <c r="AC41" s="113"/>
      <c r="AD41" s="113"/>
      <c r="AE41" s="113"/>
      <c r="AF41" s="113"/>
      <c r="AG41" s="113"/>
    </row>
    <row r="42" spans="1:33" s="1" customFormat="1" ht="15.5">
      <c r="A42" s="408" t="s">
        <v>499</v>
      </c>
      <c r="B42" s="301" t="s">
        <v>600</v>
      </c>
      <c r="C42" s="301" t="s">
        <v>601</v>
      </c>
      <c r="D42" s="301" t="s">
        <v>532</v>
      </c>
      <c r="E42" s="407" t="s">
        <v>533</v>
      </c>
      <c r="F42" s="301" t="s">
        <v>602</v>
      </c>
      <c r="G42" s="301"/>
      <c r="H42" s="301"/>
      <c r="I42" s="301"/>
      <c r="J42" s="301"/>
      <c r="K42" s="301"/>
      <c r="L42" s="301"/>
      <c r="M42" s="301"/>
      <c r="N42" s="301"/>
      <c r="O42" s="301"/>
      <c r="P42" s="301"/>
      <c r="Q42" s="301"/>
      <c r="R42" s="301"/>
      <c r="S42" s="126"/>
      <c r="T42" s="126"/>
      <c r="U42" s="126"/>
      <c r="V42" s="126"/>
      <c r="W42" s="5"/>
      <c r="X42" s="5"/>
      <c r="Y42" s="5"/>
      <c r="Z42" s="5"/>
      <c r="AA42" s="5"/>
      <c r="AB42" s="5"/>
      <c r="AC42" s="5"/>
      <c r="AD42" s="5"/>
      <c r="AE42" s="5"/>
      <c r="AF42" s="5"/>
      <c r="AG42" s="5"/>
    </row>
    <row r="43" spans="1:33" s="1" customFormat="1" ht="15.5">
      <c r="A43" s="301" t="s">
        <v>499</v>
      </c>
      <c r="B43" s="301" t="s">
        <v>600</v>
      </c>
      <c r="C43" s="301" t="s">
        <v>603</v>
      </c>
      <c r="D43" s="301" t="s">
        <v>532</v>
      </c>
      <c r="E43" s="407" t="s">
        <v>533</v>
      </c>
      <c r="F43" s="301" t="s">
        <v>604</v>
      </c>
      <c r="G43" s="301"/>
      <c r="H43" s="301"/>
      <c r="I43" s="301"/>
      <c r="J43" s="301"/>
      <c r="K43" s="301"/>
      <c r="L43" s="301"/>
      <c r="M43" s="301"/>
      <c r="N43" s="301"/>
      <c r="O43" s="301"/>
      <c r="P43" s="301"/>
      <c r="Q43" s="301"/>
      <c r="R43" s="301"/>
      <c r="S43" s="126"/>
      <c r="T43" s="126"/>
      <c r="U43" s="126"/>
      <c r="V43" s="126"/>
      <c r="W43" s="5"/>
      <c r="X43" s="5"/>
      <c r="Y43" s="5"/>
      <c r="Z43" s="5"/>
      <c r="AA43" s="5"/>
      <c r="AB43" s="5"/>
      <c r="AC43" s="5"/>
      <c r="AD43" s="5"/>
      <c r="AE43" s="5"/>
      <c r="AF43" s="5"/>
      <c r="AG43" s="5"/>
    </row>
    <row r="44" spans="1:33" s="1" customFormat="1" ht="15.5">
      <c r="A44" s="301" t="s">
        <v>499</v>
      </c>
      <c r="B44" s="301" t="s">
        <v>600</v>
      </c>
      <c r="C44" s="301" t="s">
        <v>605</v>
      </c>
      <c r="D44" s="301" t="s">
        <v>532</v>
      </c>
      <c r="E44" s="407" t="s">
        <v>533</v>
      </c>
      <c r="F44" s="301" t="s">
        <v>606</v>
      </c>
      <c r="G44" s="301"/>
      <c r="H44" s="301"/>
      <c r="I44" s="301"/>
      <c r="J44" s="301"/>
      <c r="K44" s="301"/>
      <c r="L44" s="301"/>
      <c r="M44" s="301"/>
      <c r="N44" s="301"/>
      <c r="O44" s="301"/>
      <c r="P44" s="301"/>
      <c r="Q44" s="301"/>
      <c r="R44" s="301"/>
      <c r="S44" s="126"/>
      <c r="T44" s="126"/>
      <c r="U44" s="126"/>
      <c r="V44" s="126"/>
      <c r="W44" s="5"/>
      <c r="X44" s="5"/>
      <c r="Y44" s="5"/>
      <c r="Z44" s="5"/>
      <c r="AA44" s="5"/>
      <c r="AB44" s="5"/>
      <c r="AC44" s="5"/>
      <c r="AD44" s="5"/>
      <c r="AE44" s="5"/>
      <c r="AF44" s="5"/>
      <c r="AG44" s="5"/>
    </row>
    <row r="45" spans="1:33" s="1" customFormat="1" ht="15.5">
      <c r="A45" s="301" t="s">
        <v>499</v>
      </c>
      <c r="B45" s="301" t="s">
        <v>600</v>
      </c>
      <c r="C45" s="301" t="s">
        <v>607</v>
      </c>
      <c r="D45" s="301" t="s">
        <v>532</v>
      </c>
      <c r="E45" s="407" t="s">
        <v>533</v>
      </c>
      <c r="F45" s="301" t="s">
        <v>608</v>
      </c>
      <c r="G45" s="301"/>
      <c r="H45" s="301"/>
      <c r="I45" s="301"/>
      <c r="J45" s="301"/>
      <c r="K45" s="301"/>
      <c r="L45" s="301"/>
      <c r="M45" s="301"/>
      <c r="N45" s="301"/>
      <c r="O45" s="301"/>
      <c r="P45" s="301"/>
      <c r="Q45" s="301"/>
      <c r="R45" s="301"/>
      <c r="S45" s="126"/>
      <c r="T45" s="126"/>
      <c r="U45" s="126"/>
      <c r="V45" s="126"/>
      <c r="W45" s="5"/>
      <c r="X45" s="5"/>
      <c r="Y45" s="5"/>
      <c r="Z45" s="5"/>
      <c r="AA45" s="5"/>
      <c r="AB45" s="5"/>
      <c r="AC45" s="5"/>
      <c r="AD45" s="5"/>
      <c r="AE45" s="5"/>
      <c r="AF45" s="5"/>
      <c r="AG45" s="5"/>
    </row>
    <row r="46" spans="1:33" s="1" customFormat="1" ht="15.5">
      <c r="A46" s="301" t="s">
        <v>499</v>
      </c>
      <c r="B46" s="301" t="s">
        <v>600</v>
      </c>
      <c r="C46" s="301" t="s">
        <v>609</v>
      </c>
      <c r="D46" s="301" t="s">
        <v>532</v>
      </c>
      <c r="E46" s="407" t="s">
        <v>533</v>
      </c>
      <c r="F46" s="301" t="s">
        <v>610</v>
      </c>
      <c r="G46" s="301"/>
      <c r="H46" s="301"/>
      <c r="I46" s="301"/>
      <c r="J46" s="301"/>
      <c r="K46" s="301"/>
      <c r="L46" s="301"/>
      <c r="M46" s="301"/>
      <c r="N46" s="301"/>
      <c r="O46" s="301"/>
      <c r="P46" s="301"/>
      <c r="Q46" s="301"/>
      <c r="R46" s="301"/>
      <c r="S46" s="126"/>
      <c r="T46" s="126"/>
      <c r="U46" s="126"/>
      <c r="V46" s="126"/>
      <c r="W46" s="5"/>
      <c r="X46" s="5"/>
      <c r="Y46" s="5"/>
      <c r="Z46" s="5"/>
      <c r="AA46" s="5"/>
      <c r="AB46" s="5"/>
      <c r="AC46" s="5"/>
      <c r="AD46" s="5"/>
      <c r="AE46" s="5"/>
      <c r="AF46" s="5"/>
      <c r="AG46" s="5"/>
    </row>
    <row r="47" spans="1:33" s="1" customFormat="1" ht="15.5">
      <c r="A47" s="301" t="s">
        <v>499</v>
      </c>
      <c r="B47" s="301" t="s">
        <v>600</v>
      </c>
      <c r="C47" s="301" t="s">
        <v>611</v>
      </c>
      <c r="D47" s="301" t="s">
        <v>532</v>
      </c>
      <c r="E47" s="407" t="s">
        <v>533</v>
      </c>
      <c r="F47" s="301" t="s">
        <v>612</v>
      </c>
      <c r="G47" s="301"/>
      <c r="H47" s="301"/>
      <c r="I47" s="301"/>
      <c r="J47" s="301"/>
      <c r="K47" s="301"/>
      <c r="L47" s="301"/>
      <c r="M47" s="301"/>
      <c r="N47" s="301"/>
      <c r="O47" s="301"/>
      <c r="P47" s="301"/>
      <c r="Q47" s="301"/>
      <c r="R47" s="301"/>
      <c r="S47" s="126"/>
      <c r="T47" s="126"/>
      <c r="U47" s="126"/>
      <c r="V47" s="126"/>
      <c r="W47" s="5"/>
      <c r="X47" s="5"/>
      <c r="Y47" s="5"/>
      <c r="Z47" s="5"/>
      <c r="AA47" s="5"/>
      <c r="AB47" s="5"/>
      <c r="AC47" s="5"/>
      <c r="AD47" s="5"/>
      <c r="AE47" s="5"/>
      <c r="AF47" s="5"/>
      <c r="AG47" s="5"/>
    </row>
    <row r="48" spans="1:33" s="1" customFormat="1" ht="15.5">
      <c r="A48" s="301" t="s">
        <v>499</v>
      </c>
      <c r="B48" s="301" t="s">
        <v>600</v>
      </c>
      <c r="C48" s="301" t="s">
        <v>613</v>
      </c>
      <c r="D48" s="301" t="s">
        <v>532</v>
      </c>
      <c r="E48" s="407" t="s">
        <v>533</v>
      </c>
      <c r="F48" s="301" t="s">
        <v>614</v>
      </c>
      <c r="G48" s="301"/>
      <c r="H48" s="301"/>
      <c r="I48" s="301"/>
      <c r="J48" s="301"/>
      <c r="K48" s="301"/>
      <c r="L48" s="301"/>
      <c r="M48" s="301"/>
      <c r="N48" s="301"/>
      <c r="O48" s="301"/>
      <c r="P48" s="301"/>
      <c r="Q48" s="301"/>
      <c r="R48" s="301"/>
      <c r="S48" s="126"/>
      <c r="T48" s="126"/>
      <c r="U48" s="126"/>
      <c r="V48" s="126"/>
      <c r="W48" s="5"/>
      <c r="X48" s="5"/>
      <c r="Y48" s="5"/>
      <c r="Z48" s="5"/>
      <c r="AA48" s="5"/>
      <c r="AB48" s="5"/>
      <c r="AC48" s="5"/>
      <c r="AD48" s="5"/>
      <c r="AE48" s="5"/>
      <c r="AF48" s="5"/>
      <c r="AG48" s="5"/>
    </row>
    <row r="49" spans="1:33" s="1" customFormat="1" ht="15.5">
      <c r="A49" s="301" t="s">
        <v>499</v>
      </c>
      <c r="B49" s="301" t="s">
        <v>600</v>
      </c>
      <c r="C49" s="301" t="s">
        <v>615</v>
      </c>
      <c r="D49" s="301" t="s">
        <v>532</v>
      </c>
      <c r="E49" s="407" t="s">
        <v>533</v>
      </c>
      <c r="F49" s="301" t="s">
        <v>616</v>
      </c>
      <c r="G49" s="301"/>
      <c r="H49" s="301"/>
      <c r="I49" s="301"/>
      <c r="J49" s="301"/>
      <c r="K49" s="301"/>
      <c r="L49" s="301"/>
      <c r="M49" s="301"/>
      <c r="N49" s="301"/>
      <c r="O49" s="301"/>
      <c r="P49" s="301"/>
      <c r="Q49" s="301"/>
      <c r="R49" s="301"/>
      <c r="S49" s="126"/>
      <c r="T49" s="126"/>
      <c r="U49" s="126"/>
      <c r="V49" s="126"/>
      <c r="W49" s="5"/>
      <c r="X49" s="5"/>
      <c r="Y49" s="5"/>
      <c r="Z49" s="5"/>
      <c r="AA49" s="5"/>
      <c r="AB49" s="5"/>
      <c r="AC49" s="5"/>
      <c r="AD49" s="5"/>
      <c r="AE49" s="5"/>
      <c r="AF49" s="5"/>
      <c r="AG49" s="5"/>
    </row>
    <row r="50" spans="1:33" s="1" customFormat="1" ht="15.5">
      <c r="A50" s="301" t="s">
        <v>499</v>
      </c>
      <c r="B50" s="301" t="s">
        <v>600</v>
      </c>
      <c r="C50" s="301" t="s">
        <v>617</v>
      </c>
      <c r="D50" s="301" t="s">
        <v>532</v>
      </c>
      <c r="E50" s="407" t="s">
        <v>533</v>
      </c>
      <c r="F50" s="301" t="s">
        <v>618</v>
      </c>
      <c r="G50" s="301"/>
      <c r="H50" s="301"/>
      <c r="I50" s="301"/>
      <c r="J50" s="301"/>
      <c r="K50" s="301"/>
      <c r="L50" s="301"/>
      <c r="M50" s="301"/>
      <c r="N50" s="301"/>
      <c r="O50" s="301"/>
      <c r="P50" s="301"/>
      <c r="Q50" s="301"/>
      <c r="R50" s="301"/>
      <c r="S50" s="126"/>
      <c r="T50" s="126"/>
      <c r="U50" s="126"/>
      <c r="V50" s="126"/>
      <c r="W50" s="5"/>
      <c r="X50" s="5"/>
      <c r="Y50" s="5"/>
      <c r="Z50" s="5"/>
      <c r="AA50" s="5"/>
      <c r="AB50" s="5"/>
      <c r="AC50" s="5"/>
      <c r="AD50" s="5"/>
      <c r="AE50" s="5"/>
      <c r="AF50" s="5"/>
      <c r="AG50" s="5"/>
    </row>
    <row r="51" spans="1:33" s="1" customFormat="1" ht="15.5">
      <c r="A51" s="301" t="s">
        <v>499</v>
      </c>
      <c r="B51" s="301" t="s">
        <v>600</v>
      </c>
      <c r="C51" s="301" t="s">
        <v>619</v>
      </c>
      <c r="D51" s="301" t="s">
        <v>532</v>
      </c>
      <c r="E51" s="407" t="s">
        <v>533</v>
      </c>
      <c r="F51" s="301" t="s">
        <v>620</v>
      </c>
      <c r="G51" s="301"/>
      <c r="H51" s="301"/>
      <c r="I51" s="301"/>
      <c r="J51" s="301"/>
      <c r="K51" s="301"/>
      <c r="L51" s="301"/>
      <c r="M51" s="301"/>
      <c r="N51" s="301"/>
      <c r="O51" s="301"/>
      <c r="P51" s="301"/>
      <c r="Q51" s="301"/>
      <c r="R51" s="301"/>
      <c r="S51" s="126"/>
      <c r="T51" s="126"/>
      <c r="U51" s="126"/>
      <c r="V51" s="126"/>
      <c r="W51" s="5"/>
      <c r="X51" s="5"/>
      <c r="Y51" s="5"/>
      <c r="Z51" s="5"/>
      <c r="AA51" s="5"/>
      <c r="AB51" s="5"/>
      <c r="AC51" s="5"/>
      <c r="AD51" s="5"/>
      <c r="AE51" s="5"/>
      <c r="AF51" s="5"/>
      <c r="AG51" s="5"/>
    </row>
    <row r="52" spans="1:33" s="1" customFormat="1" ht="15.5">
      <c r="A52" s="301" t="s">
        <v>499</v>
      </c>
      <c r="B52" s="301" t="s">
        <v>600</v>
      </c>
      <c r="C52" s="301" t="s">
        <v>621</v>
      </c>
      <c r="D52" s="301" t="s">
        <v>532</v>
      </c>
      <c r="E52" s="407" t="s">
        <v>533</v>
      </c>
      <c r="F52" s="301" t="s">
        <v>622</v>
      </c>
      <c r="G52" s="301"/>
      <c r="H52" s="301"/>
      <c r="I52" s="301"/>
      <c r="J52" s="301"/>
      <c r="K52" s="301"/>
      <c r="L52" s="301"/>
      <c r="M52" s="301"/>
      <c r="N52" s="301"/>
      <c r="O52" s="301"/>
      <c r="P52" s="301"/>
      <c r="Q52" s="301"/>
      <c r="R52" s="301"/>
      <c r="S52" s="126"/>
      <c r="T52" s="126"/>
      <c r="U52" s="126"/>
      <c r="V52" s="126"/>
      <c r="W52" s="5"/>
      <c r="X52" s="5"/>
      <c r="Y52" s="5"/>
      <c r="Z52" s="5"/>
      <c r="AA52" s="5"/>
      <c r="AB52" s="5"/>
      <c r="AC52" s="5"/>
      <c r="AD52" s="5"/>
      <c r="AE52" s="5"/>
      <c r="AF52" s="5"/>
      <c r="AG52" s="5"/>
    </row>
    <row r="53" spans="1:33" s="1" customFormat="1" ht="15.5">
      <c r="A53" s="301" t="s">
        <v>499</v>
      </c>
      <c r="B53" s="301" t="s">
        <v>600</v>
      </c>
      <c r="C53" s="301" t="s">
        <v>623</v>
      </c>
      <c r="D53" s="301" t="s">
        <v>532</v>
      </c>
      <c r="E53" s="407" t="s">
        <v>533</v>
      </c>
      <c r="F53" s="301" t="s">
        <v>624</v>
      </c>
      <c r="G53" s="301"/>
      <c r="H53" s="301"/>
      <c r="I53" s="301"/>
      <c r="J53" s="301"/>
      <c r="K53" s="301"/>
      <c r="L53" s="301"/>
      <c r="M53" s="301"/>
      <c r="N53" s="301"/>
      <c r="O53" s="301"/>
      <c r="P53" s="301"/>
      <c r="Q53" s="301"/>
      <c r="R53" s="301"/>
      <c r="S53" s="126"/>
      <c r="T53" s="126"/>
      <c r="U53" s="126"/>
      <c r="V53" s="126"/>
      <c r="W53" s="5"/>
      <c r="X53" s="5"/>
      <c r="Y53" s="5"/>
      <c r="Z53" s="5"/>
      <c r="AA53" s="5"/>
      <c r="AB53" s="5"/>
      <c r="AC53" s="5"/>
      <c r="AD53" s="5"/>
      <c r="AE53" s="5"/>
      <c r="AF53" s="5"/>
      <c r="AG53" s="5"/>
    </row>
    <row r="54" spans="1:33" s="1" customFormat="1" ht="15.5">
      <c r="A54" s="301" t="s">
        <v>499</v>
      </c>
      <c r="B54" s="301" t="s">
        <v>600</v>
      </c>
      <c r="C54" s="301" t="s">
        <v>625</v>
      </c>
      <c r="D54" s="301" t="s">
        <v>532</v>
      </c>
      <c r="E54" s="407" t="s">
        <v>533</v>
      </c>
      <c r="F54" s="301" t="s">
        <v>626</v>
      </c>
      <c r="G54" s="301"/>
      <c r="H54" s="301"/>
      <c r="I54" s="301"/>
      <c r="J54" s="301"/>
      <c r="K54" s="301"/>
      <c r="L54" s="301"/>
      <c r="M54" s="301"/>
      <c r="N54" s="301"/>
      <c r="O54" s="301"/>
      <c r="P54" s="301"/>
      <c r="Q54" s="301"/>
      <c r="R54" s="301"/>
      <c r="S54" s="126"/>
      <c r="T54" s="126"/>
      <c r="U54" s="126"/>
      <c r="V54" s="126"/>
      <c r="W54" s="5"/>
      <c r="X54" s="5"/>
      <c r="Y54" s="5"/>
      <c r="Z54" s="5"/>
      <c r="AA54" s="5"/>
      <c r="AB54" s="5"/>
      <c r="AC54" s="5"/>
      <c r="AD54" s="5"/>
      <c r="AE54" s="5"/>
      <c r="AF54" s="5"/>
      <c r="AG54" s="5"/>
    </row>
    <row r="55" spans="1:33" s="1" customFormat="1" ht="15.5">
      <c r="A55" s="301" t="s">
        <v>499</v>
      </c>
      <c r="B55" s="301" t="s">
        <v>600</v>
      </c>
      <c r="C55" s="301" t="s">
        <v>627</v>
      </c>
      <c r="D55" s="301" t="s">
        <v>532</v>
      </c>
      <c r="E55" s="407" t="s">
        <v>533</v>
      </c>
      <c r="F55" s="301" t="s">
        <v>628</v>
      </c>
      <c r="G55" s="301"/>
      <c r="H55" s="301"/>
      <c r="I55" s="301"/>
      <c r="J55" s="301"/>
      <c r="K55" s="301"/>
      <c r="L55" s="301"/>
      <c r="M55" s="301"/>
      <c r="N55" s="301"/>
      <c r="O55" s="301"/>
      <c r="P55" s="301"/>
      <c r="Q55" s="301"/>
      <c r="R55" s="301"/>
      <c r="S55" s="126"/>
      <c r="T55" s="126"/>
      <c r="U55" s="126"/>
      <c r="V55" s="126"/>
      <c r="W55" s="5"/>
      <c r="X55" s="5"/>
      <c r="Y55" s="5"/>
      <c r="Z55" s="5"/>
      <c r="AA55" s="5"/>
      <c r="AB55" s="5"/>
      <c r="AC55" s="5"/>
      <c r="AD55" s="5"/>
      <c r="AE55" s="5"/>
      <c r="AF55" s="5"/>
      <c r="AG55" s="5"/>
    </row>
    <row r="56" spans="1:33" s="1" customFormat="1" ht="15.5">
      <c r="A56" s="301" t="s">
        <v>499</v>
      </c>
      <c r="B56" s="301" t="s">
        <v>463</v>
      </c>
      <c r="C56" s="301" t="s">
        <v>629</v>
      </c>
      <c r="D56" s="301" t="s">
        <v>532</v>
      </c>
      <c r="E56" s="407" t="s">
        <v>533</v>
      </c>
      <c r="F56" s="301" t="s">
        <v>630</v>
      </c>
      <c r="G56" s="301"/>
      <c r="H56" s="301"/>
      <c r="I56" s="301"/>
      <c r="J56" s="301"/>
      <c r="K56" s="301"/>
      <c r="L56" s="301"/>
      <c r="M56" s="301"/>
      <c r="N56" s="301"/>
      <c r="O56" s="301"/>
      <c r="P56" s="301"/>
      <c r="Q56" s="301"/>
      <c r="R56" s="301"/>
      <c r="S56" s="126"/>
      <c r="T56" s="126"/>
      <c r="U56" s="126"/>
      <c r="V56" s="126"/>
      <c r="W56" s="5"/>
      <c r="X56" s="5"/>
      <c r="Y56" s="5"/>
      <c r="Z56" s="5"/>
      <c r="AA56" s="5"/>
      <c r="AB56" s="5"/>
      <c r="AC56" s="5"/>
      <c r="AD56" s="5"/>
      <c r="AE56" s="5"/>
      <c r="AF56" s="5"/>
      <c r="AG56" s="5"/>
    </row>
    <row r="57" spans="1:33" s="1" customFormat="1" ht="15.5">
      <c r="A57" s="301" t="s">
        <v>499</v>
      </c>
      <c r="B57" s="301" t="s">
        <v>463</v>
      </c>
      <c r="C57" s="301" t="s">
        <v>631</v>
      </c>
      <c r="D57" s="301" t="s">
        <v>532</v>
      </c>
      <c r="E57" s="407" t="s">
        <v>533</v>
      </c>
      <c r="F57" s="301" t="s">
        <v>632</v>
      </c>
      <c r="G57" s="301"/>
      <c r="H57" s="301"/>
      <c r="I57" s="301"/>
      <c r="J57" s="301"/>
      <c r="K57" s="301"/>
      <c r="L57" s="301"/>
      <c r="M57" s="301"/>
      <c r="N57" s="301"/>
      <c r="O57" s="301"/>
      <c r="P57" s="301"/>
      <c r="Q57" s="301"/>
      <c r="R57" s="301"/>
      <c r="S57" s="126"/>
      <c r="T57" s="126"/>
      <c r="U57" s="126"/>
      <c r="V57" s="126"/>
      <c r="W57" s="5"/>
      <c r="X57" s="5"/>
      <c r="Y57" s="5"/>
      <c r="Z57" s="5"/>
      <c r="AA57" s="5"/>
      <c r="AB57" s="5"/>
      <c r="AC57" s="5"/>
      <c r="AD57" s="5"/>
      <c r="AE57" s="5"/>
      <c r="AF57" s="5"/>
      <c r="AG57" s="5"/>
    </row>
    <row r="58" spans="1:33" s="1" customFormat="1" ht="15.5">
      <c r="A58" s="301" t="s">
        <v>499</v>
      </c>
      <c r="B58" s="301" t="s">
        <v>463</v>
      </c>
      <c r="C58" s="301" t="s">
        <v>633</v>
      </c>
      <c r="D58" s="301" t="s">
        <v>532</v>
      </c>
      <c r="E58" s="407" t="s">
        <v>533</v>
      </c>
      <c r="F58" s="301" t="s">
        <v>634</v>
      </c>
      <c r="G58" s="301"/>
      <c r="H58" s="301"/>
      <c r="I58" s="301"/>
      <c r="J58" s="301"/>
      <c r="K58" s="301"/>
      <c r="L58" s="301"/>
      <c r="M58" s="301"/>
      <c r="N58" s="301"/>
      <c r="O58" s="301"/>
      <c r="P58" s="301"/>
      <c r="Q58" s="301"/>
      <c r="R58" s="301"/>
      <c r="S58" s="126"/>
      <c r="T58" s="126"/>
      <c r="U58" s="126"/>
      <c r="V58" s="126"/>
      <c r="W58" s="5"/>
      <c r="X58" s="5"/>
      <c r="Y58" s="5"/>
      <c r="Z58" s="5"/>
      <c r="AA58" s="5"/>
      <c r="AB58" s="5"/>
      <c r="AC58" s="5"/>
      <c r="AD58" s="5"/>
      <c r="AE58" s="5"/>
      <c r="AF58" s="5"/>
      <c r="AG58" s="5"/>
    </row>
    <row r="59" spans="1:33" s="1" customFormat="1" ht="15.5">
      <c r="A59" s="301" t="s">
        <v>499</v>
      </c>
      <c r="B59" s="301" t="s">
        <v>463</v>
      </c>
      <c r="C59" s="301" t="s">
        <v>635</v>
      </c>
      <c r="D59" s="301" t="s">
        <v>532</v>
      </c>
      <c r="E59" s="407" t="s">
        <v>533</v>
      </c>
      <c r="F59" s="301" t="s">
        <v>632</v>
      </c>
      <c r="G59" s="301"/>
      <c r="H59" s="301"/>
      <c r="I59" s="301"/>
      <c r="J59" s="301"/>
      <c r="K59" s="301"/>
      <c r="L59" s="301"/>
      <c r="M59" s="301"/>
      <c r="N59" s="301"/>
      <c r="O59" s="301"/>
      <c r="P59" s="301"/>
      <c r="Q59" s="301"/>
      <c r="R59" s="301"/>
      <c r="S59" s="126"/>
      <c r="T59" s="126"/>
      <c r="U59" s="126"/>
      <c r="V59" s="126"/>
      <c r="W59" s="5"/>
      <c r="X59" s="5"/>
      <c r="Y59" s="5"/>
      <c r="Z59" s="5"/>
      <c r="AA59" s="5"/>
      <c r="AB59" s="5"/>
      <c r="AC59" s="5"/>
      <c r="AD59" s="5"/>
      <c r="AE59" s="5"/>
      <c r="AF59" s="5"/>
      <c r="AG59" s="5"/>
    </row>
    <row r="60" spans="1:33" s="1" customFormat="1" ht="15.5">
      <c r="A60" s="301" t="s">
        <v>499</v>
      </c>
      <c r="B60" s="301" t="s">
        <v>463</v>
      </c>
      <c r="C60" s="301" t="s">
        <v>636</v>
      </c>
      <c r="D60" s="301" t="s">
        <v>532</v>
      </c>
      <c r="E60" s="407" t="s">
        <v>533</v>
      </c>
      <c r="F60" s="301" t="s">
        <v>637</v>
      </c>
      <c r="G60" s="301"/>
      <c r="H60" s="301"/>
      <c r="I60" s="301"/>
      <c r="J60" s="301"/>
      <c r="K60" s="301"/>
      <c r="L60" s="301"/>
      <c r="M60" s="301"/>
      <c r="N60" s="301"/>
      <c r="O60" s="301"/>
      <c r="P60" s="301"/>
      <c r="Q60" s="301"/>
      <c r="R60" s="301"/>
      <c r="S60" s="126"/>
      <c r="T60" s="126"/>
      <c r="U60" s="126"/>
      <c r="V60" s="126"/>
      <c r="W60" s="5"/>
      <c r="X60" s="5"/>
      <c r="Y60" s="5"/>
      <c r="Z60" s="5"/>
      <c r="AA60" s="5"/>
      <c r="AB60" s="5"/>
      <c r="AC60" s="5"/>
      <c r="AD60" s="5"/>
      <c r="AE60" s="5"/>
      <c r="AF60" s="5"/>
      <c r="AG60" s="5"/>
    </row>
    <row r="61" spans="1:33" s="1" customFormat="1" ht="15.5">
      <c r="A61" s="301" t="s">
        <v>499</v>
      </c>
      <c r="B61" s="301" t="s">
        <v>463</v>
      </c>
      <c r="C61" s="301" t="s">
        <v>638</v>
      </c>
      <c r="D61" s="301" t="s">
        <v>532</v>
      </c>
      <c r="E61" s="407" t="s">
        <v>533</v>
      </c>
      <c r="F61" s="301" t="s">
        <v>639</v>
      </c>
      <c r="G61" s="301"/>
      <c r="H61" s="301"/>
      <c r="I61" s="301"/>
      <c r="J61" s="301"/>
      <c r="K61" s="301"/>
      <c r="L61" s="301"/>
      <c r="M61" s="301"/>
      <c r="N61" s="301"/>
      <c r="O61" s="301"/>
      <c r="P61" s="301"/>
      <c r="Q61" s="301"/>
      <c r="R61" s="301"/>
      <c r="S61" s="126"/>
      <c r="T61" s="126"/>
      <c r="U61" s="126"/>
      <c r="V61" s="126"/>
      <c r="W61" s="5"/>
      <c r="X61" s="5"/>
      <c r="Y61" s="5"/>
      <c r="Z61" s="5"/>
      <c r="AA61" s="5"/>
      <c r="AB61" s="5"/>
      <c r="AC61" s="5"/>
      <c r="AD61" s="5"/>
      <c r="AE61" s="5"/>
      <c r="AF61" s="5"/>
      <c r="AG61" s="5"/>
    </row>
    <row r="62" spans="1:33" s="1" customFormat="1" ht="15.5">
      <c r="A62" s="301" t="s">
        <v>499</v>
      </c>
      <c r="B62" s="301" t="s">
        <v>463</v>
      </c>
      <c r="C62" s="301" t="s">
        <v>640</v>
      </c>
      <c r="D62" s="301" t="s">
        <v>532</v>
      </c>
      <c r="E62" s="407" t="s">
        <v>533</v>
      </c>
      <c r="F62" s="301" t="s">
        <v>641</v>
      </c>
      <c r="G62" s="301"/>
      <c r="H62" s="301"/>
      <c r="I62" s="301"/>
      <c r="J62" s="301"/>
      <c r="K62" s="301"/>
      <c r="L62" s="301"/>
      <c r="M62" s="301"/>
      <c r="N62" s="301"/>
      <c r="O62" s="301"/>
      <c r="P62" s="301"/>
      <c r="Q62" s="301"/>
      <c r="R62" s="301"/>
      <c r="S62" s="126"/>
      <c r="T62" s="126"/>
      <c r="U62" s="126"/>
      <c r="V62" s="126"/>
      <c r="W62" s="5"/>
      <c r="X62" s="5"/>
      <c r="Y62" s="5"/>
      <c r="Z62" s="5"/>
      <c r="AA62" s="5"/>
      <c r="AB62" s="5"/>
      <c r="AC62" s="5"/>
      <c r="AD62" s="5"/>
      <c r="AE62" s="5"/>
      <c r="AF62" s="5"/>
      <c r="AG62" s="5"/>
    </row>
    <row r="63" spans="1:33" s="1" customFormat="1" ht="15.5">
      <c r="A63" s="301" t="s">
        <v>499</v>
      </c>
      <c r="B63" s="301" t="s">
        <v>530</v>
      </c>
      <c r="C63" s="301" t="s">
        <v>642</v>
      </c>
      <c r="D63" s="301" t="s">
        <v>643</v>
      </c>
      <c r="E63" s="407" t="s">
        <v>644</v>
      </c>
      <c r="F63" s="301" t="s">
        <v>645</v>
      </c>
      <c r="G63" s="301"/>
      <c r="H63" s="301"/>
      <c r="I63" s="301"/>
      <c r="J63" s="301"/>
      <c r="K63" s="301"/>
      <c r="L63" s="301"/>
      <c r="M63" s="301"/>
      <c r="N63" s="301"/>
      <c r="O63" s="301"/>
      <c r="P63" s="301"/>
      <c r="Q63" s="301"/>
      <c r="R63" s="301"/>
      <c r="S63" s="126"/>
      <c r="T63" s="126"/>
      <c r="U63" s="126"/>
      <c r="V63" s="126"/>
      <c r="W63" s="5"/>
      <c r="X63" s="5"/>
      <c r="Y63" s="5"/>
      <c r="Z63" s="5"/>
      <c r="AA63" s="5"/>
      <c r="AB63" s="5"/>
      <c r="AC63" s="5"/>
      <c r="AD63" s="5"/>
      <c r="AE63" s="5"/>
      <c r="AF63" s="5"/>
      <c r="AG63" s="5"/>
    </row>
    <row r="64" spans="1:33" s="1" customFormat="1" ht="15.5">
      <c r="A64" s="301" t="s">
        <v>505</v>
      </c>
      <c r="B64" s="301" t="s">
        <v>530</v>
      </c>
      <c r="C64" s="301" t="s">
        <v>646</v>
      </c>
      <c r="D64" s="301" t="s">
        <v>643</v>
      </c>
      <c r="E64" s="407" t="s">
        <v>647</v>
      </c>
      <c r="F64" s="301" t="s">
        <v>645</v>
      </c>
      <c r="G64" s="301"/>
      <c r="H64" s="301"/>
      <c r="I64" s="301"/>
      <c r="J64" s="301"/>
      <c r="K64" s="301"/>
      <c r="L64" s="301"/>
      <c r="M64" s="301"/>
      <c r="N64" s="301"/>
      <c r="O64" s="301"/>
      <c r="P64" s="301"/>
      <c r="Q64" s="301"/>
      <c r="R64" s="301"/>
      <c r="S64" s="126"/>
      <c r="T64" s="126"/>
      <c r="U64" s="126"/>
      <c r="V64" s="126"/>
      <c r="W64" s="5"/>
      <c r="X64" s="5"/>
      <c r="Y64" s="5"/>
      <c r="Z64" s="5"/>
      <c r="AA64" s="5"/>
      <c r="AB64" s="5"/>
      <c r="AC64" s="5"/>
      <c r="AD64" s="5"/>
      <c r="AE64" s="5"/>
      <c r="AF64" s="5"/>
      <c r="AG64" s="5"/>
    </row>
    <row r="65" spans="1:33" s="1" customFormat="1" ht="15.5">
      <c r="A65" s="301" t="s">
        <v>505</v>
      </c>
      <c r="B65" s="301" t="s">
        <v>530</v>
      </c>
      <c r="C65" s="301" t="s">
        <v>648</v>
      </c>
      <c r="D65" s="301" t="s">
        <v>643</v>
      </c>
      <c r="E65" s="407" t="s">
        <v>649</v>
      </c>
      <c r="F65" s="301" t="s">
        <v>645</v>
      </c>
      <c r="G65" s="301"/>
      <c r="H65" s="301"/>
      <c r="I65" s="301"/>
      <c r="J65" s="301"/>
      <c r="K65" s="301"/>
      <c r="L65" s="301"/>
      <c r="M65" s="301"/>
      <c r="N65" s="301"/>
      <c r="O65" s="301"/>
      <c r="P65" s="301"/>
      <c r="Q65" s="301"/>
      <c r="R65" s="301"/>
      <c r="S65" s="126"/>
      <c r="T65" s="126"/>
      <c r="U65" s="126"/>
      <c r="V65" s="126"/>
      <c r="W65" s="5"/>
      <c r="X65" s="5"/>
      <c r="Y65" s="5"/>
      <c r="Z65" s="5"/>
      <c r="AA65" s="5"/>
      <c r="AB65" s="5"/>
      <c r="AC65" s="5"/>
      <c r="AD65" s="5"/>
      <c r="AE65" s="5"/>
      <c r="AF65" s="5"/>
      <c r="AG65" s="5"/>
    </row>
    <row r="66" spans="1:33" s="1" customFormat="1" ht="15.5">
      <c r="A66" s="301" t="s">
        <v>505</v>
      </c>
      <c r="B66" s="301" t="s">
        <v>530</v>
      </c>
      <c r="C66" s="301" t="s">
        <v>650</v>
      </c>
      <c r="D66" s="301" t="s">
        <v>643</v>
      </c>
      <c r="E66" s="407" t="s">
        <v>651</v>
      </c>
      <c r="F66" s="301" t="s">
        <v>652</v>
      </c>
      <c r="G66" s="301"/>
      <c r="H66" s="301"/>
      <c r="I66" s="301"/>
      <c r="J66" s="301"/>
      <c r="K66" s="301"/>
      <c r="L66" s="301"/>
      <c r="M66" s="301"/>
      <c r="N66" s="301"/>
      <c r="O66" s="301"/>
      <c r="P66" s="301"/>
      <c r="Q66" s="301"/>
      <c r="R66" s="301"/>
      <c r="S66" s="126"/>
      <c r="T66" s="126"/>
      <c r="U66" s="126"/>
      <c r="V66" s="126"/>
      <c r="W66" s="5"/>
      <c r="X66" s="5"/>
      <c r="Y66" s="5"/>
      <c r="Z66" s="5"/>
      <c r="AA66" s="5"/>
      <c r="AB66" s="5"/>
      <c r="AC66" s="5"/>
      <c r="AD66" s="5"/>
      <c r="AE66" s="5"/>
      <c r="AF66" s="5"/>
      <c r="AG66" s="5"/>
    </row>
    <row r="67" spans="1:33" s="1" customFormat="1" ht="15.5">
      <c r="A67" s="301" t="s">
        <v>505</v>
      </c>
      <c r="B67" s="301" t="s">
        <v>530</v>
      </c>
      <c r="C67" s="301" t="s">
        <v>653</v>
      </c>
      <c r="D67" s="301" t="s">
        <v>643</v>
      </c>
      <c r="E67" s="407" t="s">
        <v>654</v>
      </c>
      <c r="F67" s="301" t="s">
        <v>655</v>
      </c>
      <c r="G67" s="301"/>
      <c r="H67" s="301"/>
      <c r="I67" s="301"/>
      <c r="J67" s="301"/>
      <c r="K67" s="301"/>
      <c r="L67" s="301"/>
      <c r="M67" s="301"/>
      <c r="N67" s="301"/>
      <c r="O67" s="301"/>
      <c r="P67" s="301"/>
      <c r="Q67" s="301"/>
      <c r="R67" s="301"/>
      <c r="S67" s="126"/>
      <c r="T67" s="126"/>
      <c r="U67" s="126"/>
      <c r="V67" s="126"/>
      <c r="W67" s="5"/>
      <c r="X67" s="5"/>
      <c r="Y67" s="5"/>
      <c r="Z67" s="5"/>
      <c r="AA67" s="5"/>
      <c r="AB67" s="5"/>
      <c r="AC67" s="5"/>
      <c r="AD67" s="5"/>
      <c r="AE67" s="5"/>
      <c r="AF67" s="5"/>
      <c r="AG67" s="5"/>
    </row>
    <row r="68" spans="1:33" s="1" customFormat="1" ht="15.5">
      <c r="A68" s="301" t="s">
        <v>505</v>
      </c>
      <c r="B68" s="301" t="s">
        <v>530</v>
      </c>
      <c r="C68" s="301" t="s">
        <v>656</v>
      </c>
      <c r="D68" s="301" t="s">
        <v>643</v>
      </c>
      <c r="E68" s="407" t="s">
        <v>657</v>
      </c>
      <c r="F68" s="301" t="s">
        <v>658</v>
      </c>
      <c r="G68" s="301"/>
      <c r="H68" s="301"/>
      <c r="I68" s="301"/>
      <c r="J68" s="301"/>
      <c r="K68" s="301"/>
      <c r="L68" s="301"/>
      <c r="M68" s="301"/>
      <c r="N68" s="301"/>
      <c r="O68" s="301"/>
      <c r="P68" s="301"/>
      <c r="Q68" s="301"/>
      <c r="R68" s="301"/>
      <c r="S68" s="126"/>
      <c r="T68" s="126"/>
      <c r="U68" s="126"/>
      <c r="V68" s="126"/>
      <c r="W68" s="5"/>
      <c r="X68" s="5"/>
      <c r="Y68" s="5"/>
      <c r="Z68" s="5"/>
      <c r="AA68" s="5"/>
      <c r="AB68" s="5"/>
      <c r="AC68" s="5"/>
      <c r="AD68" s="5"/>
      <c r="AE68" s="5"/>
      <c r="AF68" s="5"/>
      <c r="AG68" s="5"/>
    </row>
    <row r="69" spans="1:33" s="1" customFormat="1" ht="15.5">
      <c r="A69" s="301" t="s">
        <v>505</v>
      </c>
      <c r="B69" s="301" t="s">
        <v>530</v>
      </c>
      <c r="C69" s="301" t="s">
        <v>659</v>
      </c>
      <c r="D69" s="301" t="s">
        <v>643</v>
      </c>
      <c r="E69" s="407" t="s">
        <v>660</v>
      </c>
      <c r="F69" s="301" t="s">
        <v>661</v>
      </c>
      <c r="G69" s="301"/>
      <c r="H69" s="301"/>
      <c r="I69" s="301"/>
      <c r="J69" s="301"/>
      <c r="K69" s="301"/>
      <c r="L69" s="301"/>
      <c r="M69" s="301"/>
      <c r="N69" s="301"/>
      <c r="O69" s="301"/>
      <c r="P69" s="301"/>
      <c r="Q69" s="301"/>
      <c r="R69" s="301"/>
      <c r="S69" s="126"/>
      <c r="T69" s="126"/>
      <c r="U69" s="126"/>
      <c r="V69" s="126"/>
      <c r="W69" s="5"/>
      <c r="X69" s="5"/>
      <c r="Y69" s="5"/>
      <c r="Z69" s="5"/>
      <c r="AA69" s="5"/>
      <c r="AB69" s="5"/>
      <c r="AC69" s="5"/>
      <c r="AD69" s="5"/>
      <c r="AE69" s="5"/>
      <c r="AF69" s="5"/>
      <c r="AG69" s="5"/>
    </row>
    <row r="70" spans="1:33" s="1" customFormat="1" ht="15.5">
      <c r="A70" s="301" t="s">
        <v>505</v>
      </c>
      <c r="B70" s="301" t="s">
        <v>530</v>
      </c>
      <c r="C70" s="301" t="s">
        <v>662</v>
      </c>
      <c r="D70" s="301" t="s">
        <v>643</v>
      </c>
      <c r="E70" s="407" t="s">
        <v>663</v>
      </c>
      <c r="F70" s="301" t="s">
        <v>664</v>
      </c>
      <c r="G70" s="301"/>
      <c r="H70" s="301"/>
      <c r="I70" s="301"/>
      <c r="J70" s="301"/>
      <c r="K70" s="301"/>
      <c r="L70" s="301"/>
      <c r="M70" s="301"/>
      <c r="N70" s="301"/>
      <c r="O70" s="301"/>
      <c r="P70" s="301"/>
      <c r="Q70" s="301"/>
      <c r="R70" s="301"/>
      <c r="S70" s="126"/>
      <c r="T70" s="126"/>
      <c r="U70" s="126"/>
      <c r="V70" s="126"/>
      <c r="W70" s="5"/>
      <c r="X70" s="5"/>
      <c r="Y70" s="5"/>
      <c r="Z70" s="5"/>
      <c r="AA70" s="5"/>
      <c r="AB70" s="5"/>
      <c r="AC70" s="5"/>
      <c r="AD70" s="5"/>
      <c r="AE70" s="5"/>
      <c r="AF70" s="5"/>
      <c r="AG70" s="5"/>
    </row>
    <row r="71" spans="1:33" s="1" customFormat="1" ht="15.5">
      <c r="A71" s="301" t="s">
        <v>505</v>
      </c>
      <c r="B71" s="301" t="s">
        <v>530</v>
      </c>
      <c r="C71" s="301" t="s">
        <v>665</v>
      </c>
      <c r="D71" s="301" t="s">
        <v>643</v>
      </c>
      <c r="E71" s="407" t="s">
        <v>666</v>
      </c>
      <c r="F71" s="301" t="s">
        <v>667</v>
      </c>
      <c r="G71" s="301"/>
      <c r="H71" s="301"/>
      <c r="I71" s="301"/>
      <c r="J71" s="301"/>
      <c r="K71" s="301"/>
      <c r="L71" s="301"/>
      <c r="M71" s="301"/>
      <c r="N71" s="301"/>
      <c r="O71" s="301"/>
      <c r="P71" s="301"/>
      <c r="Q71" s="301"/>
      <c r="R71" s="301"/>
      <c r="S71" s="126"/>
      <c r="T71" s="126"/>
      <c r="U71" s="126"/>
      <c r="V71" s="126"/>
      <c r="W71" s="5"/>
      <c r="X71" s="5"/>
      <c r="Y71" s="5"/>
      <c r="Z71" s="5"/>
      <c r="AA71" s="5"/>
      <c r="AB71" s="5"/>
      <c r="AC71" s="5"/>
      <c r="AD71" s="5"/>
      <c r="AE71" s="5"/>
      <c r="AF71" s="5"/>
      <c r="AG71" s="5"/>
    </row>
    <row r="72" spans="1:33" s="1" customFormat="1" ht="15.5">
      <c r="A72" s="301" t="s">
        <v>505</v>
      </c>
      <c r="B72" s="301" t="s">
        <v>530</v>
      </c>
      <c r="C72" s="301" t="s">
        <v>668</v>
      </c>
      <c r="D72" s="301" t="s">
        <v>643</v>
      </c>
      <c r="E72" s="407" t="s">
        <v>669</v>
      </c>
      <c r="F72" s="301" t="s">
        <v>670</v>
      </c>
      <c r="G72" s="301"/>
      <c r="H72" s="301"/>
      <c r="I72" s="301"/>
      <c r="J72" s="301"/>
      <c r="K72" s="301"/>
      <c r="L72" s="301"/>
      <c r="M72" s="301"/>
      <c r="N72" s="301"/>
      <c r="O72" s="301"/>
      <c r="P72" s="301"/>
      <c r="Q72" s="301"/>
      <c r="R72" s="301"/>
      <c r="S72" s="126"/>
      <c r="T72" s="126"/>
      <c r="U72" s="126"/>
      <c r="V72" s="126"/>
      <c r="W72" s="5"/>
      <c r="X72" s="5"/>
      <c r="Y72" s="5"/>
      <c r="Z72" s="5"/>
      <c r="AA72" s="5"/>
      <c r="AB72" s="5"/>
      <c r="AC72" s="5"/>
      <c r="AD72" s="5"/>
      <c r="AE72" s="5"/>
      <c r="AF72" s="5"/>
      <c r="AG72" s="5"/>
    </row>
    <row r="73" spans="1:33" s="1" customFormat="1" ht="15.5">
      <c r="A73" s="301" t="s">
        <v>505</v>
      </c>
      <c r="B73" s="301" t="s">
        <v>530</v>
      </c>
      <c r="C73" s="301" t="s">
        <v>671</v>
      </c>
      <c r="D73" s="301" t="s">
        <v>643</v>
      </c>
      <c r="E73" s="407" t="s">
        <v>672</v>
      </c>
      <c r="F73" s="301" t="s">
        <v>673</v>
      </c>
      <c r="G73" s="301"/>
      <c r="H73" s="301"/>
      <c r="I73" s="301"/>
      <c r="J73" s="301"/>
      <c r="K73" s="301"/>
      <c r="L73" s="301"/>
      <c r="M73" s="301"/>
      <c r="N73" s="301"/>
      <c r="O73" s="301"/>
      <c r="P73" s="301"/>
      <c r="Q73" s="301"/>
      <c r="R73" s="301"/>
      <c r="S73" s="126"/>
      <c r="T73" s="126"/>
      <c r="U73" s="126"/>
      <c r="V73" s="126"/>
      <c r="W73" s="5"/>
      <c r="X73" s="5"/>
      <c r="Y73" s="5"/>
      <c r="Z73" s="5"/>
      <c r="AA73" s="5"/>
      <c r="AB73" s="5"/>
      <c r="AC73" s="5"/>
      <c r="AD73" s="5"/>
      <c r="AE73" s="5"/>
      <c r="AF73" s="5"/>
      <c r="AG73" s="5"/>
    </row>
    <row r="74" spans="1:33" s="1" customFormat="1" ht="15.5">
      <c r="A74" s="301" t="s">
        <v>505</v>
      </c>
      <c r="B74" s="301" t="s">
        <v>530</v>
      </c>
      <c r="C74" s="301" t="s">
        <v>674</v>
      </c>
      <c r="D74" s="301" t="s">
        <v>643</v>
      </c>
      <c r="E74" s="407" t="s">
        <v>675</v>
      </c>
      <c r="F74" s="301" t="s">
        <v>676</v>
      </c>
      <c r="G74" s="301"/>
      <c r="H74" s="301"/>
      <c r="I74" s="301"/>
      <c r="J74" s="301"/>
      <c r="K74" s="301"/>
      <c r="L74" s="301"/>
      <c r="M74" s="301"/>
      <c r="N74" s="301"/>
      <c r="O74" s="301"/>
      <c r="P74" s="301"/>
      <c r="Q74" s="301"/>
      <c r="R74" s="301"/>
      <c r="S74" s="126"/>
      <c r="T74" s="126"/>
      <c r="U74" s="126"/>
      <c r="V74" s="126"/>
      <c r="W74" s="5"/>
      <c r="X74" s="5"/>
      <c r="Y74" s="5"/>
      <c r="Z74" s="5"/>
      <c r="AA74" s="5"/>
      <c r="AB74" s="5"/>
      <c r="AC74" s="5"/>
      <c r="AD74" s="5"/>
      <c r="AE74" s="5"/>
      <c r="AF74" s="5"/>
      <c r="AG74" s="5"/>
    </row>
    <row r="75" spans="1:33" s="1" customFormat="1" ht="15.5">
      <c r="A75" s="301" t="s">
        <v>505</v>
      </c>
      <c r="B75" s="301" t="s">
        <v>530</v>
      </c>
      <c r="C75" s="301" t="s">
        <v>677</v>
      </c>
      <c r="D75" s="301" t="s">
        <v>643</v>
      </c>
      <c r="E75" s="407" t="s">
        <v>678</v>
      </c>
      <c r="F75" s="301" t="s">
        <v>679</v>
      </c>
      <c r="G75" s="301"/>
      <c r="H75" s="301"/>
      <c r="I75" s="301"/>
      <c r="J75" s="301"/>
      <c r="K75" s="301"/>
      <c r="L75" s="301"/>
      <c r="M75" s="301"/>
      <c r="N75" s="301"/>
      <c r="O75" s="301"/>
      <c r="P75" s="301"/>
      <c r="Q75" s="301"/>
      <c r="R75" s="301"/>
      <c r="S75" s="126"/>
      <c r="T75" s="126"/>
      <c r="U75" s="126"/>
      <c r="V75" s="126"/>
      <c r="W75" s="5"/>
      <c r="X75" s="5"/>
      <c r="Y75" s="5"/>
      <c r="Z75" s="5"/>
      <c r="AA75" s="5"/>
      <c r="AB75" s="5"/>
      <c r="AC75" s="5"/>
      <c r="AD75" s="5"/>
      <c r="AE75" s="5"/>
      <c r="AF75" s="5"/>
      <c r="AG75" s="5"/>
    </row>
    <row r="76" spans="1:33" s="1" customFormat="1" ht="15.5">
      <c r="A76" s="301" t="s">
        <v>505</v>
      </c>
      <c r="B76" s="301" t="s">
        <v>530</v>
      </c>
      <c r="C76" s="301" t="s">
        <v>680</v>
      </c>
      <c r="D76" s="301" t="s">
        <v>643</v>
      </c>
      <c r="E76" s="407" t="s">
        <v>681</v>
      </c>
      <c r="F76" s="301" t="s">
        <v>682</v>
      </c>
      <c r="G76" s="301"/>
      <c r="H76" s="301"/>
      <c r="I76" s="301"/>
      <c r="J76" s="301"/>
      <c r="K76" s="301"/>
      <c r="L76" s="301"/>
      <c r="M76" s="301"/>
      <c r="N76" s="301"/>
      <c r="O76" s="301"/>
      <c r="P76" s="301"/>
      <c r="Q76" s="301"/>
      <c r="R76" s="301"/>
      <c r="S76" s="126"/>
      <c r="T76" s="126"/>
      <c r="U76" s="126"/>
      <c r="V76" s="126"/>
      <c r="W76" s="5"/>
      <c r="X76" s="5"/>
      <c r="Y76" s="5"/>
      <c r="Z76" s="5"/>
      <c r="AA76" s="5"/>
      <c r="AB76" s="5"/>
      <c r="AC76" s="5"/>
      <c r="AD76" s="5"/>
      <c r="AE76" s="5"/>
      <c r="AF76" s="5"/>
      <c r="AG76" s="5"/>
    </row>
    <row r="77" spans="1:33" s="1" customFormat="1" ht="15.5">
      <c r="A77" s="301" t="s">
        <v>505</v>
      </c>
      <c r="B77" s="301" t="s">
        <v>530</v>
      </c>
      <c r="C77" s="301" t="s">
        <v>683</v>
      </c>
      <c r="D77" s="301" t="s">
        <v>643</v>
      </c>
      <c r="E77" s="407" t="s">
        <v>684</v>
      </c>
      <c r="F77" s="301" t="s">
        <v>685</v>
      </c>
      <c r="G77" s="301"/>
      <c r="H77" s="301"/>
      <c r="I77" s="301"/>
      <c r="J77" s="301"/>
      <c r="K77" s="301"/>
      <c r="L77" s="301"/>
      <c r="M77" s="301"/>
      <c r="N77" s="301"/>
      <c r="O77" s="301"/>
      <c r="P77" s="301"/>
      <c r="Q77" s="301"/>
      <c r="R77" s="301"/>
      <c r="S77" s="126"/>
      <c r="T77" s="126"/>
      <c r="U77" s="126"/>
      <c r="V77" s="126"/>
      <c r="W77" s="5"/>
      <c r="X77" s="5"/>
      <c r="Y77" s="5"/>
      <c r="Z77" s="5"/>
      <c r="AA77" s="5"/>
      <c r="AB77" s="5"/>
      <c r="AC77" s="5"/>
      <c r="AD77" s="5"/>
      <c r="AE77" s="5"/>
      <c r="AF77" s="5"/>
      <c r="AG77" s="5"/>
    </row>
    <row r="78" spans="1:33" s="1" customFormat="1" ht="15.5">
      <c r="A78" s="301" t="s">
        <v>505</v>
      </c>
      <c r="B78" s="301" t="s">
        <v>8</v>
      </c>
      <c r="C78" s="301" t="s">
        <v>686</v>
      </c>
      <c r="D78" s="301" t="s">
        <v>687</v>
      </c>
      <c r="E78" s="407" t="s">
        <v>688</v>
      </c>
      <c r="F78" s="301" t="s">
        <v>689</v>
      </c>
      <c r="G78" s="301"/>
      <c r="H78" s="301"/>
      <c r="I78" s="301"/>
      <c r="J78" s="301"/>
      <c r="K78" s="301"/>
      <c r="L78" s="301"/>
      <c r="M78" s="301"/>
      <c r="N78" s="301"/>
      <c r="O78" s="301"/>
      <c r="P78" s="301"/>
      <c r="Q78" s="301"/>
      <c r="R78" s="301"/>
      <c r="S78" s="126"/>
      <c r="T78" s="126"/>
      <c r="U78" s="126"/>
      <c r="V78" s="126"/>
      <c r="W78" s="5"/>
      <c r="X78" s="5"/>
      <c r="Y78" s="5"/>
      <c r="Z78" s="5"/>
      <c r="AA78" s="5"/>
      <c r="AB78" s="5"/>
      <c r="AC78" s="5"/>
      <c r="AD78" s="5"/>
      <c r="AE78" s="5"/>
      <c r="AF78" s="5"/>
      <c r="AG78" s="5"/>
    </row>
    <row r="79" spans="1:33" s="1" customFormat="1" ht="15.5">
      <c r="A79" s="301" t="s">
        <v>505</v>
      </c>
      <c r="B79" s="301" t="s">
        <v>415</v>
      </c>
      <c r="C79" s="301" t="s">
        <v>690</v>
      </c>
      <c r="D79" s="301" t="s">
        <v>687</v>
      </c>
      <c r="E79" s="407" t="s">
        <v>691</v>
      </c>
      <c r="F79" s="301" t="s">
        <v>692</v>
      </c>
      <c r="G79" s="301"/>
      <c r="H79" s="301"/>
      <c r="I79" s="301"/>
      <c r="J79" s="301"/>
      <c r="K79" s="301"/>
      <c r="L79" s="301"/>
      <c r="M79" s="301"/>
      <c r="N79" s="301"/>
      <c r="O79" s="301"/>
      <c r="P79" s="301"/>
      <c r="Q79" s="301"/>
      <c r="R79" s="301"/>
      <c r="S79" s="126"/>
      <c r="T79" s="126"/>
      <c r="U79" s="126"/>
      <c r="V79" s="126"/>
      <c r="W79" s="5"/>
      <c r="X79" s="5"/>
      <c r="Y79" s="5"/>
      <c r="Z79" s="5"/>
      <c r="AA79" s="5"/>
      <c r="AB79" s="5"/>
      <c r="AC79" s="5"/>
      <c r="AD79" s="5"/>
      <c r="AE79" s="5"/>
      <c r="AF79" s="5"/>
      <c r="AG79" s="5"/>
    </row>
    <row r="80" spans="1:33" s="1" customFormat="1" ht="15.5">
      <c r="A80" s="301" t="s">
        <v>505</v>
      </c>
      <c r="B80" s="301" t="s">
        <v>9</v>
      </c>
      <c r="C80" s="301" t="s">
        <v>686</v>
      </c>
      <c r="D80" s="301" t="s">
        <v>687</v>
      </c>
      <c r="E80" s="407" t="s">
        <v>693</v>
      </c>
      <c r="F80" s="301" t="s">
        <v>692</v>
      </c>
      <c r="G80" s="301"/>
      <c r="H80" s="301"/>
      <c r="I80" s="301"/>
      <c r="J80" s="301"/>
      <c r="K80" s="301"/>
      <c r="L80" s="301"/>
      <c r="M80" s="301"/>
      <c r="N80" s="301"/>
      <c r="O80" s="301"/>
      <c r="P80" s="301"/>
      <c r="Q80" s="301"/>
      <c r="R80" s="301"/>
      <c r="S80" s="126"/>
      <c r="T80" s="126"/>
      <c r="U80" s="126"/>
      <c r="V80" s="126"/>
      <c r="W80" s="5"/>
      <c r="X80" s="5"/>
      <c r="Y80" s="5"/>
      <c r="Z80" s="5"/>
      <c r="AA80" s="5"/>
      <c r="AB80" s="5"/>
      <c r="AC80" s="5"/>
      <c r="AD80" s="5"/>
      <c r="AE80" s="5"/>
      <c r="AF80" s="5"/>
      <c r="AG80" s="5"/>
    </row>
    <row r="81" spans="1:33" s="1" customFormat="1" ht="15.5">
      <c r="A81" s="301" t="s">
        <v>505</v>
      </c>
      <c r="B81" s="301" t="s">
        <v>530</v>
      </c>
      <c r="C81" s="301" t="s">
        <v>694</v>
      </c>
      <c r="D81" s="301" t="s">
        <v>687</v>
      </c>
      <c r="E81" s="407" t="s">
        <v>695</v>
      </c>
      <c r="F81" s="301" t="s">
        <v>696</v>
      </c>
      <c r="G81" s="301"/>
      <c r="H81" s="301"/>
      <c r="I81" s="301"/>
      <c r="J81" s="301"/>
      <c r="K81" s="301"/>
      <c r="L81" s="301"/>
      <c r="M81" s="301"/>
      <c r="N81" s="301"/>
      <c r="O81" s="301"/>
      <c r="P81" s="301"/>
      <c r="Q81" s="301"/>
      <c r="R81" s="301"/>
      <c r="S81" s="126"/>
      <c r="T81" s="126"/>
      <c r="U81" s="126"/>
      <c r="V81" s="126"/>
      <c r="W81" s="5"/>
      <c r="X81" s="5"/>
      <c r="Y81" s="5"/>
      <c r="Z81" s="5"/>
      <c r="AA81" s="5"/>
      <c r="AB81" s="5"/>
      <c r="AC81" s="5"/>
      <c r="AD81" s="5"/>
      <c r="AE81" s="5"/>
      <c r="AF81" s="5"/>
      <c r="AG81" s="5"/>
    </row>
    <row r="82" spans="1:33" s="1" customFormat="1" ht="15.5">
      <c r="A82" s="301" t="s">
        <v>505</v>
      </c>
      <c r="B82" s="301" t="s">
        <v>530</v>
      </c>
      <c r="C82" s="301" t="s">
        <v>698</v>
      </c>
      <c r="D82" s="301" t="s">
        <v>699</v>
      </c>
      <c r="E82" s="407" t="s">
        <v>700</v>
      </c>
      <c r="F82" s="301" t="s">
        <v>701</v>
      </c>
      <c r="G82" s="301"/>
      <c r="H82" s="301"/>
      <c r="I82" s="301"/>
      <c r="J82" s="301"/>
      <c r="K82" s="301"/>
      <c r="L82" s="301"/>
      <c r="M82" s="301"/>
      <c r="N82" s="301"/>
      <c r="O82" s="301"/>
      <c r="P82" s="301"/>
      <c r="Q82" s="301"/>
      <c r="R82" s="301"/>
      <c r="S82" s="126"/>
      <c r="T82" s="126"/>
      <c r="U82" s="126"/>
      <c r="V82" s="126"/>
      <c r="W82" s="5"/>
      <c r="X82" s="5"/>
      <c r="Y82" s="5"/>
      <c r="Z82" s="5"/>
      <c r="AA82" s="5"/>
      <c r="AB82" s="5"/>
      <c r="AC82" s="5"/>
      <c r="AD82" s="5"/>
      <c r="AE82" s="5"/>
      <c r="AF82" s="5"/>
      <c r="AG82" s="5"/>
    </row>
    <row r="83" spans="1:33" s="1" customFormat="1" ht="15.75" customHeight="1">
      <c r="A83" s="301" t="s">
        <v>697</v>
      </c>
      <c r="B83" s="301" t="s">
        <v>530</v>
      </c>
      <c r="C83" s="301" t="s">
        <v>702</v>
      </c>
      <c r="D83" s="301" t="s">
        <v>699</v>
      </c>
      <c r="E83" s="407" t="s">
        <v>703</v>
      </c>
      <c r="F83" s="301" t="s">
        <v>704</v>
      </c>
      <c r="G83" s="301"/>
      <c r="H83" s="301"/>
      <c r="I83" s="301"/>
      <c r="J83" s="301"/>
      <c r="K83" s="301"/>
      <c r="L83" s="301"/>
      <c r="M83" s="301"/>
      <c r="N83" s="301"/>
      <c r="O83" s="301"/>
      <c r="P83" s="301"/>
      <c r="Q83" s="301"/>
      <c r="R83" s="301"/>
      <c r="S83" s="126"/>
      <c r="T83" s="126"/>
      <c r="U83" s="126"/>
      <c r="V83" s="126"/>
      <c r="W83" s="5"/>
      <c r="X83" s="5"/>
      <c r="Y83" s="5"/>
      <c r="Z83" s="5"/>
      <c r="AA83" s="5"/>
      <c r="AB83" s="5"/>
      <c r="AC83" s="5"/>
      <c r="AD83" s="5"/>
      <c r="AE83" s="5"/>
      <c r="AF83" s="5"/>
      <c r="AG83" s="5"/>
    </row>
    <row r="84" spans="1:33" s="1" customFormat="1" ht="15.5">
      <c r="A84" s="301" t="s">
        <v>697</v>
      </c>
      <c r="B84" s="301" t="s">
        <v>530</v>
      </c>
      <c r="C84" s="301" t="s">
        <v>705</v>
      </c>
      <c r="D84" s="301" t="s">
        <v>699</v>
      </c>
      <c r="E84" s="407" t="s">
        <v>706</v>
      </c>
      <c r="F84" s="301" t="s">
        <v>707</v>
      </c>
      <c r="G84" s="301"/>
      <c r="H84" s="301"/>
      <c r="I84" s="301"/>
      <c r="J84" s="301"/>
      <c r="K84" s="301"/>
      <c r="L84" s="301"/>
      <c r="M84" s="301"/>
      <c r="N84" s="301"/>
      <c r="O84" s="301"/>
      <c r="P84" s="301"/>
      <c r="Q84" s="301"/>
      <c r="R84" s="301"/>
      <c r="S84" s="126"/>
      <c r="T84" s="126"/>
      <c r="U84" s="126"/>
      <c r="V84" s="126"/>
      <c r="W84" s="5"/>
      <c r="X84" s="5"/>
      <c r="Y84" s="5"/>
      <c r="Z84" s="5"/>
      <c r="AA84" s="5"/>
      <c r="AB84" s="5"/>
      <c r="AC84" s="5"/>
      <c r="AD84" s="5"/>
      <c r="AE84" s="5"/>
      <c r="AF84" s="5"/>
      <c r="AG84" s="5"/>
    </row>
    <row r="85" spans="1:33" s="1" customFormat="1" ht="15.5">
      <c r="A85" s="301" t="s">
        <v>697</v>
      </c>
      <c r="B85" s="301" t="s">
        <v>708</v>
      </c>
      <c r="C85" s="301" t="s">
        <v>709</v>
      </c>
      <c r="D85" s="301" t="s">
        <v>699</v>
      </c>
      <c r="E85" s="407" t="s">
        <v>710</v>
      </c>
      <c r="F85" s="301" t="s">
        <v>711</v>
      </c>
      <c r="G85" s="301"/>
      <c r="H85" s="301" t="s">
        <v>712</v>
      </c>
      <c r="I85" s="301"/>
      <c r="J85" s="301"/>
      <c r="K85" s="301"/>
      <c r="L85" s="301"/>
      <c r="M85" s="301"/>
      <c r="N85" s="301"/>
      <c r="O85" s="301"/>
      <c r="P85" s="301"/>
      <c r="Q85" s="301"/>
      <c r="R85" s="301"/>
      <c r="S85" s="126"/>
      <c r="T85" s="126"/>
      <c r="U85" s="126"/>
      <c r="V85" s="126"/>
      <c r="W85" s="5"/>
      <c r="X85" s="5"/>
      <c r="Y85" s="5"/>
      <c r="Z85" s="5"/>
      <c r="AA85" s="5"/>
      <c r="AB85" s="5"/>
      <c r="AC85" s="5"/>
      <c r="AD85" s="5"/>
      <c r="AE85" s="5"/>
      <c r="AF85" s="5"/>
      <c r="AG85" s="5"/>
    </row>
    <row r="86" spans="1:33" s="1" customFormat="1" ht="15.5">
      <c r="A86" s="301" t="s">
        <v>697</v>
      </c>
      <c r="B86" s="301" t="s">
        <v>708</v>
      </c>
      <c r="C86" s="301" t="s">
        <v>713</v>
      </c>
      <c r="D86" s="301" t="s">
        <v>699</v>
      </c>
      <c r="E86" s="407" t="s">
        <v>714</v>
      </c>
      <c r="F86" s="301" t="s">
        <v>715</v>
      </c>
      <c r="G86" s="301"/>
      <c r="H86" s="301" t="s">
        <v>716</v>
      </c>
      <c r="I86" s="301"/>
      <c r="J86" s="301"/>
      <c r="K86" s="301"/>
      <c r="L86" s="301"/>
      <c r="M86" s="301"/>
      <c r="N86" s="301"/>
      <c r="O86" s="301"/>
      <c r="P86" s="301"/>
      <c r="Q86" s="301"/>
      <c r="R86" s="301"/>
      <c r="S86" s="126"/>
      <c r="T86" s="126"/>
      <c r="U86" s="126"/>
      <c r="V86" s="126"/>
      <c r="W86" s="5"/>
      <c r="X86" s="5"/>
      <c r="Y86" s="5"/>
      <c r="Z86" s="5"/>
      <c r="AA86" s="5"/>
      <c r="AB86" s="5"/>
      <c r="AC86" s="5"/>
      <c r="AD86" s="5"/>
      <c r="AE86" s="5"/>
      <c r="AF86" s="5"/>
      <c r="AG86" s="5"/>
    </row>
    <row r="87" spans="1:33" s="1" customFormat="1" ht="15.5">
      <c r="A87" s="301" t="s">
        <v>697</v>
      </c>
      <c r="B87" s="301" t="s">
        <v>708</v>
      </c>
      <c r="C87" s="301" t="s">
        <v>717</v>
      </c>
      <c r="D87" s="301" t="s">
        <v>699</v>
      </c>
      <c r="E87" s="407" t="s">
        <v>718</v>
      </c>
      <c r="F87" s="301" t="s">
        <v>719</v>
      </c>
      <c r="G87" s="301"/>
      <c r="H87" s="301" t="s">
        <v>720</v>
      </c>
      <c r="I87" s="301"/>
      <c r="J87" s="301"/>
      <c r="K87" s="301"/>
      <c r="L87" s="301"/>
      <c r="M87" s="301"/>
      <c r="N87" s="301"/>
      <c r="O87" s="301"/>
      <c r="P87" s="301"/>
      <c r="Q87" s="301"/>
      <c r="R87" s="301"/>
      <c r="S87" s="126"/>
      <c r="T87" s="126"/>
      <c r="U87" s="126"/>
      <c r="V87" s="126"/>
      <c r="W87" s="5"/>
      <c r="X87" s="5"/>
      <c r="Y87" s="5"/>
      <c r="Z87" s="5"/>
      <c r="AA87" s="5"/>
      <c r="AB87" s="5"/>
      <c r="AC87" s="5"/>
      <c r="AD87" s="5"/>
      <c r="AE87" s="5"/>
      <c r="AF87" s="5"/>
      <c r="AG87" s="5"/>
    </row>
    <row r="88" spans="1:33" s="1" customFormat="1" ht="15.5">
      <c r="A88" s="301" t="s">
        <v>697</v>
      </c>
      <c r="B88" s="301" t="s">
        <v>708</v>
      </c>
      <c r="C88" s="301" t="s">
        <v>721</v>
      </c>
      <c r="D88" s="301" t="s">
        <v>699</v>
      </c>
      <c r="E88" s="407" t="s">
        <v>722</v>
      </c>
      <c r="F88" s="301" t="s">
        <v>723</v>
      </c>
      <c r="G88" s="301"/>
      <c r="H88" s="301" t="s">
        <v>724</v>
      </c>
      <c r="I88" s="301"/>
      <c r="J88" s="301"/>
      <c r="K88" s="301"/>
      <c r="L88" s="301"/>
      <c r="M88" s="301"/>
      <c r="N88" s="301"/>
      <c r="O88" s="301"/>
      <c r="P88" s="301"/>
      <c r="Q88" s="301"/>
      <c r="R88" s="301"/>
      <c r="S88" s="126"/>
      <c r="T88" s="126"/>
      <c r="U88" s="126"/>
      <c r="V88" s="126"/>
      <c r="W88" s="5"/>
      <c r="X88" s="5"/>
      <c r="Y88" s="5"/>
      <c r="Z88" s="5"/>
      <c r="AA88" s="5"/>
      <c r="AB88" s="5"/>
      <c r="AC88" s="5"/>
      <c r="AD88" s="5"/>
      <c r="AE88" s="5"/>
      <c r="AF88" s="5"/>
      <c r="AG88" s="5"/>
    </row>
    <row r="89" spans="1:33" s="1" customFormat="1" ht="15.5">
      <c r="A89" s="301" t="s">
        <v>697</v>
      </c>
      <c r="B89" s="301" t="s">
        <v>708</v>
      </c>
      <c r="C89" s="301" t="s">
        <v>725</v>
      </c>
      <c r="D89" s="301" t="s">
        <v>699</v>
      </c>
      <c r="E89" s="407" t="s">
        <v>726</v>
      </c>
      <c r="F89" s="301" t="s">
        <v>727</v>
      </c>
      <c r="G89" s="301"/>
      <c r="H89" s="301" t="s">
        <v>728</v>
      </c>
      <c r="I89" s="301"/>
      <c r="J89" s="301"/>
      <c r="K89" s="301"/>
      <c r="L89" s="301"/>
      <c r="M89" s="301"/>
      <c r="N89" s="301"/>
      <c r="O89" s="301"/>
      <c r="P89" s="301"/>
      <c r="Q89" s="301"/>
      <c r="R89" s="301"/>
      <c r="S89" s="126"/>
      <c r="T89" s="126"/>
      <c r="U89" s="126"/>
      <c r="V89" s="126"/>
      <c r="W89" s="5"/>
      <c r="X89" s="5"/>
      <c r="Y89" s="5"/>
      <c r="Z89" s="5"/>
      <c r="AA89" s="5"/>
      <c r="AB89" s="5"/>
      <c r="AC89" s="5"/>
      <c r="AD89" s="5"/>
      <c r="AE89" s="5"/>
      <c r="AF89" s="5"/>
      <c r="AG89" s="5"/>
    </row>
    <row r="90" spans="1:33" s="1" customFormat="1" ht="15.5">
      <c r="A90" s="301" t="s">
        <v>697</v>
      </c>
      <c r="B90" s="301" t="s">
        <v>708</v>
      </c>
      <c r="C90" s="301" t="s">
        <v>729</v>
      </c>
      <c r="D90" s="301" t="s">
        <v>699</v>
      </c>
      <c r="E90" s="407" t="s">
        <v>730</v>
      </c>
      <c r="F90" s="301" t="s">
        <v>731</v>
      </c>
      <c r="G90" s="301"/>
      <c r="H90" s="301" t="s">
        <v>732</v>
      </c>
      <c r="I90" s="301"/>
      <c r="J90" s="301"/>
      <c r="K90" s="301"/>
      <c r="L90" s="301"/>
      <c r="M90" s="301"/>
      <c r="N90" s="301"/>
      <c r="O90" s="301"/>
      <c r="P90" s="301"/>
      <c r="Q90" s="301"/>
      <c r="R90" s="301"/>
      <c r="S90" s="126"/>
      <c r="T90" s="126"/>
      <c r="U90" s="126"/>
      <c r="V90" s="126"/>
      <c r="W90" s="5"/>
      <c r="X90" s="5"/>
      <c r="Y90" s="5"/>
      <c r="Z90" s="5"/>
      <c r="AA90" s="5"/>
      <c r="AB90" s="5"/>
      <c r="AC90" s="5"/>
      <c r="AD90" s="5"/>
      <c r="AE90" s="5"/>
      <c r="AF90" s="5"/>
      <c r="AG90" s="5"/>
    </row>
    <row r="91" spans="1:33" s="1" customFormat="1" ht="15.5">
      <c r="A91" s="301" t="s">
        <v>697</v>
      </c>
      <c r="B91" s="301" t="s">
        <v>708</v>
      </c>
      <c r="C91" s="301" t="s">
        <v>733</v>
      </c>
      <c r="D91" s="301" t="s">
        <v>699</v>
      </c>
      <c r="E91" s="407" t="s">
        <v>734</v>
      </c>
      <c r="F91" s="301" t="s">
        <v>735</v>
      </c>
      <c r="G91" s="301"/>
      <c r="H91" s="301" t="s">
        <v>736</v>
      </c>
      <c r="I91" s="301"/>
      <c r="J91" s="301"/>
      <c r="K91" s="301"/>
      <c r="L91" s="301"/>
      <c r="M91" s="301"/>
      <c r="N91" s="301"/>
      <c r="O91" s="301"/>
      <c r="P91" s="301"/>
      <c r="Q91" s="301"/>
      <c r="R91" s="301"/>
      <c r="S91" s="126"/>
      <c r="T91" s="126"/>
      <c r="U91" s="126"/>
      <c r="V91" s="126"/>
      <c r="W91" s="5"/>
      <c r="X91" s="5"/>
      <c r="Y91" s="5"/>
      <c r="Z91" s="5"/>
      <c r="AA91" s="5"/>
      <c r="AB91" s="5"/>
      <c r="AC91" s="5"/>
      <c r="AD91" s="5"/>
      <c r="AE91" s="5"/>
      <c r="AF91" s="5"/>
      <c r="AG91" s="5"/>
    </row>
    <row r="92" spans="1:33" s="1" customFormat="1" ht="15.5">
      <c r="A92" s="301" t="s">
        <v>697</v>
      </c>
      <c r="B92" s="301" t="s">
        <v>708</v>
      </c>
      <c r="C92" s="301" t="s">
        <v>737</v>
      </c>
      <c r="D92" s="301" t="s">
        <v>699</v>
      </c>
      <c r="E92" s="407" t="s">
        <v>738</v>
      </c>
      <c r="F92" s="301" t="s">
        <v>739</v>
      </c>
      <c r="G92" s="301"/>
      <c r="H92" s="301" t="s">
        <v>740</v>
      </c>
      <c r="I92" s="301"/>
      <c r="J92" s="301"/>
      <c r="K92" s="301"/>
      <c r="L92" s="301"/>
      <c r="M92" s="301"/>
      <c r="N92" s="301"/>
      <c r="O92" s="301"/>
      <c r="P92" s="301"/>
      <c r="Q92" s="301"/>
      <c r="R92" s="301"/>
      <c r="S92" s="126"/>
      <c r="T92" s="126"/>
      <c r="U92" s="126"/>
      <c r="V92" s="126"/>
      <c r="W92" s="5"/>
      <c r="X92" s="5"/>
      <c r="Y92" s="5"/>
      <c r="Z92" s="5"/>
      <c r="AA92" s="5"/>
      <c r="AB92" s="5"/>
      <c r="AC92" s="5"/>
      <c r="AD92" s="5"/>
      <c r="AE92" s="5"/>
      <c r="AF92" s="5"/>
      <c r="AG92" s="5"/>
    </row>
    <row r="93" spans="1:33" s="1" customFormat="1" ht="15.5">
      <c r="A93" s="301" t="s">
        <v>697</v>
      </c>
      <c r="B93" s="301" t="s">
        <v>708</v>
      </c>
      <c r="C93" s="301" t="s">
        <v>741</v>
      </c>
      <c r="D93" s="301" t="s">
        <v>699</v>
      </c>
      <c r="E93" s="407" t="s">
        <v>742</v>
      </c>
      <c r="F93" s="301" t="s">
        <v>743</v>
      </c>
      <c r="G93" s="301"/>
      <c r="H93" s="301" t="s">
        <v>744</v>
      </c>
      <c r="I93" s="301"/>
      <c r="J93" s="301"/>
      <c r="K93" s="301"/>
      <c r="L93" s="301"/>
      <c r="M93" s="301"/>
      <c r="N93" s="301"/>
      <c r="O93" s="301"/>
      <c r="P93" s="301"/>
      <c r="Q93" s="301"/>
      <c r="R93" s="301"/>
      <c r="S93" s="126"/>
      <c r="T93" s="126"/>
      <c r="U93" s="126"/>
      <c r="V93" s="126"/>
      <c r="W93" s="5"/>
      <c r="X93" s="5"/>
      <c r="Y93" s="5"/>
      <c r="Z93" s="5"/>
      <c r="AA93" s="5"/>
      <c r="AB93" s="5"/>
      <c r="AC93" s="5"/>
      <c r="AD93" s="5"/>
      <c r="AE93" s="5"/>
      <c r="AF93" s="5"/>
      <c r="AG93" s="5"/>
    </row>
    <row r="94" spans="1:33" s="1" customFormat="1" ht="15.5">
      <c r="A94" s="301" t="s">
        <v>697</v>
      </c>
      <c r="B94" s="301" t="s">
        <v>745</v>
      </c>
      <c r="C94" s="301" t="s">
        <v>746</v>
      </c>
      <c r="D94" s="301" t="s">
        <v>747</v>
      </c>
      <c r="E94" s="410" t="s">
        <v>748</v>
      </c>
      <c r="F94" s="301" t="s">
        <v>749</v>
      </c>
      <c r="G94" s="301"/>
      <c r="H94" s="301"/>
      <c r="I94" s="301"/>
      <c r="J94" s="301"/>
      <c r="K94" s="301"/>
      <c r="L94" s="301"/>
      <c r="M94" s="301"/>
      <c r="N94" s="301"/>
      <c r="O94" s="301"/>
      <c r="P94" s="301"/>
      <c r="Q94" s="301"/>
      <c r="R94" s="301"/>
      <c r="S94" s="126"/>
      <c r="T94" s="126"/>
      <c r="U94" s="126"/>
      <c r="V94" s="126"/>
      <c r="W94" s="5"/>
      <c r="X94" s="5"/>
      <c r="Y94" s="5"/>
      <c r="Z94" s="5"/>
      <c r="AA94" s="5"/>
      <c r="AB94" s="5"/>
      <c r="AC94" s="5"/>
      <c r="AD94" s="5"/>
      <c r="AE94" s="5"/>
      <c r="AF94" s="5"/>
      <c r="AG94" s="5"/>
    </row>
    <row r="95" spans="1:33" s="1" customFormat="1" ht="15.5">
      <c r="A95" s="301" t="s">
        <v>518</v>
      </c>
      <c r="B95" s="301" t="s">
        <v>745</v>
      </c>
      <c r="C95" s="301" t="s">
        <v>750</v>
      </c>
      <c r="D95" s="301" t="s">
        <v>747</v>
      </c>
      <c r="E95" s="410" t="s">
        <v>751</v>
      </c>
      <c r="F95" s="301" t="s">
        <v>752</v>
      </c>
      <c r="G95" s="301"/>
      <c r="H95" s="301"/>
      <c r="I95" s="301"/>
      <c r="J95" s="301"/>
      <c r="K95" s="301"/>
      <c r="L95" s="301"/>
      <c r="M95" s="301"/>
      <c r="N95" s="301"/>
      <c r="O95" s="301"/>
      <c r="P95" s="301"/>
      <c r="Q95" s="301"/>
      <c r="R95" s="301"/>
      <c r="S95" s="126"/>
      <c r="T95" s="126"/>
      <c r="U95" s="126"/>
      <c r="V95" s="126"/>
      <c r="W95" s="5"/>
      <c r="X95" s="5"/>
      <c r="Y95" s="5"/>
      <c r="Z95" s="5"/>
      <c r="AA95" s="5"/>
      <c r="AB95" s="5"/>
      <c r="AC95" s="5"/>
      <c r="AD95" s="5"/>
      <c r="AE95" s="5"/>
      <c r="AF95" s="5"/>
      <c r="AG95" s="5"/>
    </row>
    <row r="96" spans="1:33" s="1" customFormat="1" ht="15.5">
      <c r="A96" s="301" t="s">
        <v>518</v>
      </c>
      <c r="B96" s="301" t="s">
        <v>753</v>
      </c>
      <c r="C96" s="301" t="s">
        <v>754</v>
      </c>
      <c r="D96" s="301" t="s">
        <v>747</v>
      </c>
      <c r="E96" s="410" t="s">
        <v>755</v>
      </c>
      <c r="F96" s="301" t="s">
        <v>756</v>
      </c>
      <c r="G96" s="301"/>
      <c r="H96" s="301"/>
      <c r="I96" s="301"/>
      <c r="J96" s="301"/>
      <c r="K96" s="301"/>
      <c r="L96" s="301"/>
      <c r="M96" s="301"/>
      <c r="N96" s="301"/>
      <c r="O96" s="301"/>
      <c r="P96" s="301"/>
      <c r="Q96" s="301"/>
      <c r="R96" s="301"/>
      <c r="S96" s="126"/>
      <c r="T96" s="126"/>
      <c r="U96" s="126"/>
      <c r="V96" s="126"/>
      <c r="W96" s="5"/>
      <c r="X96" s="5"/>
      <c r="Y96" s="5"/>
      <c r="Z96" s="5"/>
      <c r="AA96" s="5"/>
      <c r="AB96" s="5"/>
      <c r="AC96" s="5"/>
      <c r="AD96" s="5"/>
      <c r="AE96" s="5"/>
      <c r="AF96" s="5"/>
      <c r="AG96" s="5"/>
    </row>
    <row r="97" spans="1:33" s="1" customFormat="1" ht="15.5">
      <c r="A97" s="301" t="s">
        <v>518</v>
      </c>
      <c r="B97" s="301" t="s">
        <v>753</v>
      </c>
      <c r="C97" s="301" t="s">
        <v>757</v>
      </c>
      <c r="D97" s="301" t="s">
        <v>747</v>
      </c>
      <c r="E97" s="410" t="s">
        <v>758</v>
      </c>
      <c r="F97" s="301" t="s">
        <v>759</v>
      </c>
      <c r="G97" s="301"/>
      <c r="H97" s="301"/>
      <c r="I97" s="301"/>
      <c r="J97" s="301"/>
      <c r="K97" s="301"/>
      <c r="L97" s="301"/>
      <c r="M97" s="301"/>
      <c r="N97" s="301"/>
      <c r="O97" s="301"/>
      <c r="P97" s="301"/>
      <c r="Q97" s="301"/>
      <c r="R97" s="301"/>
      <c r="S97" s="126"/>
      <c r="T97" s="126"/>
      <c r="U97" s="126"/>
      <c r="V97" s="126"/>
      <c r="W97" s="5"/>
      <c r="X97" s="5"/>
      <c r="Y97" s="5"/>
      <c r="Z97" s="5"/>
      <c r="AA97" s="5"/>
      <c r="AB97" s="5"/>
      <c r="AC97" s="5"/>
      <c r="AD97" s="5"/>
      <c r="AE97" s="5"/>
      <c r="AF97" s="5"/>
      <c r="AG97" s="5"/>
    </row>
    <row r="98" spans="1:33" s="1" customFormat="1" ht="15.5">
      <c r="A98" s="301" t="s">
        <v>518</v>
      </c>
      <c r="B98" s="301" t="s">
        <v>753</v>
      </c>
      <c r="C98" s="301" t="s">
        <v>760</v>
      </c>
      <c r="D98" s="301" t="s">
        <v>747</v>
      </c>
      <c r="E98" s="410" t="s">
        <v>761</v>
      </c>
      <c r="F98" s="301" t="s">
        <v>762</v>
      </c>
      <c r="G98" s="301"/>
      <c r="H98" s="301"/>
      <c r="I98" s="301"/>
      <c r="J98" s="301"/>
      <c r="K98" s="301"/>
      <c r="L98" s="301"/>
      <c r="M98" s="301"/>
      <c r="N98" s="301"/>
      <c r="O98" s="301"/>
      <c r="P98" s="301"/>
      <c r="Q98" s="301"/>
      <c r="R98" s="301"/>
      <c r="S98" s="126"/>
      <c r="T98" s="126"/>
      <c r="U98" s="126"/>
      <c r="V98" s="126"/>
      <c r="W98" s="5"/>
      <c r="X98" s="5"/>
      <c r="Y98" s="5"/>
      <c r="Z98" s="5"/>
      <c r="AA98" s="5"/>
      <c r="AB98" s="5"/>
      <c r="AC98" s="5"/>
      <c r="AD98" s="5"/>
      <c r="AE98" s="5"/>
      <c r="AF98" s="5"/>
      <c r="AG98" s="5"/>
    </row>
    <row r="99" spans="1:33" s="1" customFormat="1" ht="15.5">
      <c r="A99" s="301" t="s">
        <v>518</v>
      </c>
      <c r="B99" s="301" t="s">
        <v>753</v>
      </c>
      <c r="C99" s="301" t="s">
        <v>763</v>
      </c>
      <c r="D99" s="301" t="s">
        <v>747</v>
      </c>
      <c r="E99" s="410" t="s">
        <v>764</v>
      </c>
      <c r="F99" s="301" t="s">
        <v>765</v>
      </c>
      <c r="G99" s="301"/>
      <c r="H99" s="301"/>
      <c r="I99" s="301"/>
      <c r="J99" s="301"/>
      <c r="K99" s="301"/>
      <c r="L99" s="301"/>
      <c r="M99" s="301"/>
      <c r="N99" s="301"/>
      <c r="O99" s="301"/>
      <c r="P99" s="301"/>
      <c r="Q99" s="301"/>
      <c r="R99" s="301"/>
      <c r="S99" s="126"/>
      <c r="T99" s="126"/>
      <c r="U99" s="126"/>
      <c r="V99" s="126"/>
      <c r="W99" s="5"/>
      <c r="X99" s="5"/>
      <c r="Y99" s="5"/>
      <c r="Z99" s="5"/>
      <c r="AA99" s="5"/>
      <c r="AB99" s="5"/>
      <c r="AC99" s="5"/>
      <c r="AD99" s="5"/>
      <c r="AE99" s="5"/>
      <c r="AF99" s="5"/>
      <c r="AG99" s="5"/>
    </row>
    <row r="100" spans="1:33" s="1" customFormat="1" ht="15.5">
      <c r="A100" s="301" t="s">
        <v>518</v>
      </c>
      <c r="B100" s="301" t="s">
        <v>753</v>
      </c>
      <c r="C100" s="301" t="s">
        <v>766</v>
      </c>
      <c r="D100" s="301" t="s">
        <v>747</v>
      </c>
      <c r="E100" s="410" t="s">
        <v>767</v>
      </c>
      <c r="F100" s="301" t="s">
        <v>768</v>
      </c>
      <c r="G100" s="301"/>
      <c r="H100" s="301"/>
      <c r="I100" s="301"/>
      <c r="J100" s="301"/>
      <c r="K100" s="301"/>
      <c r="L100" s="301"/>
      <c r="M100" s="301"/>
      <c r="N100" s="301"/>
      <c r="O100" s="301"/>
      <c r="P100" s="301"/>
      <c r="Q100" s="301"/>
      <c r="R100" s="301"/>
      <c r="S100" s="126"/>
      <c r="T100" s="126"/>
      <c r="U100" s="126"/>
      <c r="V100" s="126"/>
      <c r="W100" s="5"/>
      <c r="X100" s="5"/>
      <c r="Y100" s="5"/>
      <c r="Z100" s="5"/>
      <c r="AA100" s="5"/>
      <c r="AB100" s="5"/>
      <c r="AC100" s="5"/>
      <c r="AD100" s="5"/>
      <c r="AE100" s="5"/>
      <c r="AF100" s="5"/>
      <c r="AG100" s="5"/>
    </row>
    <row r="101" spans="1:33" s="1" customFormat="1" ht="15.5">
      <c r="A101" s="301" t="s">
        <v>518</v>
      </c>
      <c r="B101" s="301" t="s">
        <v>753</v>
      </c>
      <c r="C101" s="301" t="s">
        <v>769</v>
      </c>
      <c r="D101" s="301" t="s">
        <v>747</v>
      </c>
      <c r="E101" s="410" t="s">
        <v>770</v>
      </c>
      <c r="F101" s="301" t="s">
        <v>771</v>
      </c>
      <c r="G101" s="301"/>
      <c r="H101" s="301"/>
      <c r="I101" s="301"/>
      <c r="J101" s="301"/>
      <c r="K101" s="301"/>
      <c r="L101" s="301"/>
      <c r="M101" s="301"/>
      <c r="N101" s="301"/>
      <c r="O101" s="301"/>
      <c r="P101" s="301"/>
      <c r="Q101" s="301"/>
      <c r="R101" s="301"/>
      <c r="S101" s="126"/>
      <c r="T101" s="126"/>
      <c r="U101" s="126"/>
      <c r="V101" s="126"/>
      <c r="W101" s="5"/>
      <c r="X101" s="5"/>
      <c r="Y101" s="5"/>
      <c r="Z101" s="5"/>
      <c r="AA101" s="5"/>
      <c r="AB101" s="5"/>
      <c r="AC101" s="5"/>
      <c r="AD101" s="5"/>
      <c r="AE101" s="5"/>
      <c r="AF101" s="5"/>
      <c r="AG101" s="5"/>
    </row>
    <row r="102" spans="1:33" s="1" customFormat="1" ht="15.5">
      <c r="A102" s="301" t="s">
        <v>518</v>
      </c>
      <c r="B102" s="301" t="s">
        <v>753</v>
      </c>
      <c r="C102" s="301" t="s">
        <v>772</v>
      </c>
      <c r="D102" s="301" t="s">
        <v>747</v>
      </c>
      <c r="E102" s="410" t="s">
        <v>773</v>
      </c>
      <c r="F102" s="301" t="s">
        <v>774</v>
      </c>
      <c r="G102" s="301"/>
      <c r="H102" s="301"/>
      <c r="I102" s="301"/>
      <c r="J102" s="301"/>
      <c r="K102" s="301"/>
      <c r="L102" s="301"/>
      <c r="M102" s="301"/>
      <c r="N102" s="301"/>
      <c r="O102" s="301"/>
      <c r="P102" s="301"/>
      <c r="Q102" s="301"/>
      <c r="R102" s="301"/>
      <c r="S102" s="126"/>
      <c r="T102" s="126"/>
      <c r="U102" s="126"/>
      <c r="V102" s="126"/>
      <c r="W102" s="5"/>
      <c r="X102" s="5"/>
      <c r="Y102" s="5"/>
      <c r="Z102" s="5"/>
      <c r="AA102" s="5"/>
      <c r="AB102" s="5"/>
      <c r="AC102" s="5"/>
      <c r="AD102" s="5"/>
      <c r="AE102" s="5"/>
      <c r="AF102" s="5"/>
      <c r="AG102" s="5"/>
    </row>
    <row r="103" spans="1:33" s="1" customFormat="1" ht="15.5">
      <c r="A103" s="301" t="s">
        <v>518</v>
      </c>
      <c r="B103" s="301" t="s">
        <v>753</v>
      </c>
      <c r="C103" s="301" t="s">
        <v>775</v>
      </c>
      <c r="D103" s="301" t="s">
        <v>747</v>
      </c>
      <c r="E103" s="410" t="s">
        <v>776</v>
      </c>
      <c r="F103" s="301" t="s">
        <v>777</v>
      </c>
      <c r="G103" s="301"/>
      <c r="H103" s="301"/>
      <c r="I103" s="301"/>
      <c r="J103" s="301"/>
      <c r="K103" s="301"/>
      <c r="L103" s="301"/>
      <c r="M103" s="301"/>
      <c r="N103" s="301"/>
      <c r="O103" s="301"/>
      <c r="P103" s="301"/>
      <c r="Q103" s="301"/>
      <c r="R103" s="301"/>
      <c r="S103" s="126"/>
      <c r="T103" s="126"/>
      <c r="U103" s="126"/>
      <c r="V103" s="126"/>
      <c r="W103" s="5"/>
      <c r="X103" s="5"/>
      <c r="Y103" s="5"/>
      <c r="Z103" s="5"/>
      <c r="AA103" s="5"/>
      <c r="AB103" s="5"/>
      <c r="AC103" s="5"/>
      <c r="AD103" s="5"/>
      <c r="AE103" s="5"/>
      <c r="AF103" s="5"/>
      <c r="AG103" s="5"/>
    </row>
    <row r="104" spans="1:33" s="1" customFormat="1" ht="15.5">
      <c r="A104" s="301" t="s">
        <v>518</v>
      </c>
      <c r="B104" s="301" t="s">
        <v>753</v>
      </c>
      <c r="C104" s="301" t="s">
        <v>778</v>
      </c>
      <c r="D104" s="301" t="s">
        <v>779</v>
      </c>
      <c r="E104" s="410" t="s">
        <v>780</v>
      </c>
      <c r="F104" s="301" t="s">
        <v>781</v>
      </c>
      <c r="G104" s="301"/>
      <c r="H104" s="301"/>
      <c r="I104" s="301"/>
      <c r="J104" s="301"/>
      <c r="K104" s="301"/>
      <c r="L104" s="301"/>
      <c r="M104" s="301"/>
      <c r="N104" s="301"/>
      <c r="O104" s="301"/>
      <c r="P104" s="301"/>
      <c r="Q104" s="301"/>
      <c r="R104" s="301"/>
      <c r="S104" s="126"/>
      <c r="T104" s="126"/>
      <c r="U104" s="126"/>
      <c r="V104" s="126"/>
      <c r="W104" s="5"/>
      <c r="X104" s="5"/>
      <c r="Y104" s="5"/>
      <c r="Z104" s="5"/>
      <c r="AA104" s="5"/>
      <c r="AB104" s="5"/>
      <c r="AC104" s="5"/>
      <c r="AD104" s="5"/>
      <c r="AE104" s="5"/>
      <c r="AF104" s="5"/>
      <c r="AG104" s="5"/>
    </row>
    <row r="105" spans="1:33" s="1" customFormat="1" ht="15.5">
      <c r="A105" s="301" t="s">
        <v>518</v>
      </c>
      <c r="B105" s="301" t="s">
        <v>782</v>
      </c>
      <c r="C105" s="301" t="s">
        <v>783</v>
      </c>
      <c r="D105" s="301" t="s">
        <v>779</v>
      </c>
      <c r="E105" s="410" t="s">
        <v>784</v>
      </c>
      <c r="F105" s="301" t="s">
        <v>785</v>
      </c>
      <c r="G105" s="301"/>
      <c r="H105" s="301"/>
      <c r="I105" s="301"/>
      <c r="J105" s="301"/>
      <c r="K105" s="301"/>
      <c r="L105" s="301"/>
      <c r="M105" s="301"/>
      <c r="N105" s="301"/>
      <c r="O105" s="301"/>
      <c r="P105" s="301"/>
      <c r="Q105" s="301"/>
      <c r="R105" s="301"/>
      <c r="S105" s="126"/>
      <c r="T105" s="126"/>
      <c r="U105" s="126"/>
      <c r="V105" s="126"/>
      <c r="W105" s="5"/>
      <c r="X105" s="5"/>
      <c r="Y105" s="5"/>
      <c r="Z105" s="5"/>
      <c r="AA105" s="5"/>
      <c r="AB105" s="5"/>
      <c r="AC105" s="5"/>
      <c r="AD105" s="5"/>
      <c r="AE105" s="5"/>
      <c r="AF105" s="5"/>
      <c r="AG105" s="5"/>
    </row>
    <row r="106" spans="1:33" s="1" customFormat="1" ht="15.5">
      <c r="A106" s="301" t="s">
        <v>518</v>
      </c>
      <c r="B106" s="301" t="s">
        <v>782</v>
      </c>
      <c r="C106" s="301" t="s">
        <v>786</v>
      </c>
      <c r="D106" s="301" t="s">
        <v>747</v>
      </c>
      <c r="E106" s="410" t="s">
        <v>787</v>
      </c>
      <c r="F106" s="301" t="s">
        <v>788</v>
      </c>
      <c r="G106" s="301"/>
      <c r="H106" s="301"/>
      <c r="I106" s="301"/>
      <c r="J106" s="301"/>
      <c r="K106" s="301"/>
      <c r="L106" s="301"/>
      <c r="M106" s="301"/>
      <c r="N106" s="301"/>
      <c r="O106" s="301"/>
      <c r="P106" s="301"/>
      <c r="Q106" s="301"/>
      <c r="R106" s="301"/>
      <c r="S106" s="126"/>
      <c r="T106" s="126"/>
      <c r="U106" s="126"/>
      <c r="V106" s="126"/>
      <c r="W106" s="5"/>
      <c r="X106" s="5"/>
      <c r="Y106" s="5"/>
      <c r="Z106" s="5"/>
      <c r="AA106" s="5"/>
      <c r="AB106" s="5"/>
      <c r="AC106" s="5"/>
      <c r="AD106" s="5"/>
      <c r="AE106" s="5"/>
      <c r="AF106" s="5"/>
      <c r="AG106" s="5"/>
    </row>
    <row r="107" spans="1:33">
      <c r="A107" s="126" t="s">
        <v>518</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5"/>
      <c r="X107" s="5"/>
      <c r="Y107" s="5"/>
      <c r="Z107" s="5"/>
      <c r="AA107" s="5"/>
      <c r="AB107" s="5"/>
      <c r="AC107" s="5"/>
      <c r="AD107" s="5"/>
      <c r="AE107" s="5"/>
      <c r="AF107" s="5"/>
      <c r="AG107" s="5"/>
    </row>
    <row r="108" spans="1:3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c r="A110" s="5"/>
    </row>
  </sheetData>
  <hyperlinks>
    <hyperlink ref="A1" location="Contenido!A1" display="Volver al Contenido" xr:uid="{6AD64E9E-5F4C-408D-9613-05CF760A1292}"/>
    <hyperlink ref="E19" r:id="rId1" xr:uid="{50E6236C-9EFF-4F99-A5E1-4E05BB5806D0}"/>
    <hyperlink ref="E20:E41" r:id="rId2" display="http://apolo.creg.gov.co/Publicac.nsf/Documentos-Resoluciones?openview=" xr:uid="{FE37B7B3-A077-4EC3-9AFD-891A4E2BDC51}"/>
    <hyperlink ref="E13" r:id="rId3" xr:uid="{1A5E00C0-C6B7-4555-ABC7-80258B5DF544}"/>
    <hyperlink ref="E63" r:id="rId4" xr:uid="{2402C9D3-8F4E-4555-8D4F-4EA6EE2E39A2}"/>
    <hyperlink ref="E64" r:id="rId5" xr:uid="{5C33B2B4-AE6D-4B86-A68E-CFCBBB067D33}"/>
    <hyperlink ref="E65" r:id="rId6" xr:uid="{98034426-7138-4AC9-BBAA-4488EBFF297C}"/>
    <hyperlink ref="E66" r:id="rId7" xr:uid="{D2588BFE-E9FC-4D7E-BF28-1373C2D0BF40}"/>
    <hyperlink ref="E67" r:id="rId8" xr:uid="{81D0B882-EF6C-463E-961E-D664AE213AE0}"/>
    <hyperlink ref="E69" r:id="rId9" xr:uid="{256A51F1-A0FE-475D-B9FC-A19F33839826}"/>
    <hyperlink ref="E68" r:id="rId10" xr:uid="{D8C06361-2B1D-4D01-8B2C-F457DD75A4A9}"/>
    <hyperlink ref="E71" r:id="rId11" xr:uid="{136C395D-62B1-4119-8709-9C1CD2D21226}"/>
    <hyperlink ref="E70" r:id="rId12" xr:uid="{3012B163-8E1F-4847-BAAD-5E5F1FCC6F36}"/>
    <hyperlink ref="E72" r:id="rId13" xr:uid="{B0A6E774-4631-4373-89E0-62F60660E660}"/>
    <hyperlink ref="E73" r:id="rId14" xr:uid="{B6DE4039-318F-4DE8-BE94-97EABC6E41F1}"/>
    <hyperlink ref="E74" r:id="rId15" xr:uid="{6DCF6993-390C-49CC-AE3C-D79DE46A75CE}"/>
    <hyperlink ref="E75" r:id="rId16" xr:uid="{7CEA5435-9DB1-4DFE-93F4-828F573B87FB}"/>
    <hyperlink ref="E76" r:id="rId17" xr:uid="{5A0E53F4-F10B-4A93-9904-E709328B1062}"/>
    <hyperlink ref="E77" r:id="rId18" xr:uid="{BBFADBFE-536F-48A1-96DE-EE78FD4BC7B2}"/>
    <hyperlink ref="E78" r:id="rId19" xr:uid="{B1BBCA14-0CF4-4FB9-8593-CEF825FDF0A7}"/>
    <hyperlink ref="E79" r:id="rId20" xr:uid="{60FA794C-5EB0-4A16-BD6F-C4CB577E4297}"/>
    <hyperlink ref="E80" r:id="rId21" xr:uid="{F41ABF2B-E59A-498C-9C58-133F7FA4ACDD}"/>
    <hyperlink ref="E81" r:id="rId22" xr:uid="{88C03177-0C63-4079-810E-83C314E99B51}"/>
    <hyperlink ref="E85" r:id="rId23" xr:uid="{2010E289-D865-406F-B768-E9E5CE2AF7F6}"/>
    <hyperlink ref="E83" r:id="rId24" xr:uid="{8AC64AB9-55B7-45C2-BC3E-79F7CCE0FEF5}"/>
    <hyperlink ref="E9" r:id="rId25" xr:uid="{2CBC480D-964E-4964-B8CC-49260F608303}"/>
    <hyperlink ref="E16" r:id="rId26" xr:uid="{C820126C-40B9-4ED2-940E-1113A3382D07}"/>
    <hyperlink ref="E18" r:id="rId27" xr:uid="{42A0059C-CA3A-4F5F-9122-B82BEB2852A6}"/>
    <hyperlink ref="E42" r:id="rId28" xr:uid="{FEBA0877-0214-4C15-A7BA-00903D5984F6}"/>
    <hyperlink ref="E30" r:id="rId29" xr:uid="{F1BA2D75-59F2-43FB-B2B2-5B3FC075FC32}"/>
    <hyperlink ref="E29" r:id="rId30" xr:uid="{1B206C4C-D918-49F4-AC9D-2FF22C814D02}"/>
    <hyperlink ref="E10" r:id="rId31" xr:uid="{B3D84226-584F-47BF-8D18-6246D741D8C3}"/>
    <hyperlink ref="E11" r:id="rId32" xr:uid="{D8EBDCE1-9CD1-4057-85A3-89A8D4E29C28}"/>
    <hyperlink ref="E12" r:id="rId33" xr:uid="{C5117AE7-D77A-4D8A-8D42-6703870ECCF9}"/>
    <hyperlink ref="E15" r:id="rId34" xr:uid="{3C5916C3-D42B-4FD0-9923-1E483F3DBBEC}"/>
    <hyperlink ref="E14" r:id="rId35" xr:uid="{E5F758CF-65A2-4826-8393-B997DEB844B4}"/>
    <hyperlink ref="E17" r:id="rId36" xr:uid="{A6EEC520-2008-4DB1-B769-C994168CC6F4}"/>
    <hyperlink ref="E44" r:id="rId37" xr:uid="{B46110BB-EFB7-4DCF-B856-31E1641E96F1}"/>
    <hyperlink ref="E45" r:id="rId38" xr:uid="{EB1D42DE-4B90-4A4B-A29E-AC43EC5C44A1}"/>
    <hyperlink ref="E46" r:id="rId39" xr:uid="{896CEF87-6EF9-4F0C-B554-7D049269AF6E}"/>
    <hyperlink ref="E49" r:id="rId40" xr:uid="{0B528D5E-9AC8-448F-A15C-E737BFB17A62}"/>
    <hyperlink ref="E50" r:id="rId41" xr:uid="{C80FDCA7-10D9-4DD8-87FC-246C7B5C5219}"/>
    <hyperlink ref="E52" r:id="rId42" xr:uid="{7A84C775-E168-4168-8244-706BA2328A98}"/>
    <hyperlink ref="E56" r:id="rId43" xr:uid="{B1096C48-5901-4F4E-B525-52CB621D59BF}"/>
    <hyperlink ref="E57" r:id="rId44" xr:uid="{99787C69-D472-4BD1-BBAD-150B4E1EA254}"/>
    <hyperlink ref="E58" r:id="rId45" xr:uid="{0E1E9D9B-93A5-43C1-9080-5585353CE38F}"/>
    <hyperlink ref="E59" r:id="rId46" xr:uid="{ADF6F160-82C8-4B0B-BF6D-176AFEBB671C}"/>
    <hyperlink ref="E60" r:id="rId47" xr:uid="{778F5166-F03D-442B-8FA2-A59C47CEB1BF}"/>
    <hyperlink ref="E61" r:id="rId48" xr:uid="{E467E637-5187-40B5-B10F-7F548BE9FA37}"/>
    <hyperlink ref="E62" r:id="rId49" xr:uid="{5398FBF2-60CF-42FB-8FBA-5199796B7E62}"/>
    <hyperlink ref="E100" r:id="rId50" xr:uid="{0D974D39-5EE4-4B16-84A3-8D5EF3B0D78E}"/>
    <hyperlink ref="E103" r:id="rId51" xr:uid="{B2728268-DCB7-4762-B642-AFEA9348601C}"/>
  </hyperlinks>
  <pageMargins left="0.7" right="0.7" top="0.75" bottom="0.75" header="0.3" footer="0.3"/>
  <customProperties>
    <customPr name="_pios_id" r:id="rId52"/>
    <customPr name="EpmWorksheetKeyString_GUID" r:id="rId53"/>
  </customProperties>
  <drawing r:id="rId5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G41"/>
  <sheetViews>
    <sheetView showGridLines="0" tabSelected="1" zoomScaleNormal="100" workbookViewId="0"/>
  </sheetViews>
  <sheetFormatPr baseColWidth="10" defaultColWidth="11.453125" defaultRowHeight="14.5"/>
  <cols>
    <col min="2" max="2" width="27.54296875" customWidth="1"/>
    <col min="3" max="7" width="13.54296875" customWidth="1"/>
  </cols>
  <sheetData>
    <row r="1" spans="1:7">
      <c r="A1" s="2" t="s">
        <v>17</v>
      </c>
      <c r="B1" s="106"/>
      <c r="C1" s="106"/>
      <c r="D1" s="106"/>
      <c r="E1" s="106"/>
      <c r="F1" s="106"/>
      <c r="G1" s="106"/>
    </row>
    <row r="2" spans="1:7" s="106" customFormat="1">
      <c r="A2" s="2"/>
    </row>
    <row r="3" spans="1:7" s="106" customFormat="1">
      <c r="A3" s="2"/>
    </row>
    <row r="4" spans="1:7" s="106" customFormat="1">
      <c r="A4" s="2"/>
    </row>
    <row r="6" spans="1:7" ht="15.5">
      <c r="A6" s="106"/>
      <c r="B6" s="12" t="s">
        <v>789</v>
      </c>
      <c r="C6" s="167"/>
      <c r="D6" s="167"/>
      <c r="E6" s="167"/>
      <c r="F6" s="167"/>
      <c r="G6" s="106"/>
    </row>
    <row r="7" spans="1:7" ht="15.5">
      <c r="A7" s="106"/>
      <c r="B7" s="14" t="s">
        <v>19</v>
      </c>
      <c r="C7" s="167"/>
      <c r="D7" s="167"/>
      <c r="E7" s="167"/>
      <c r="F7" s="167"/>
      <c r="G7" s="106"/>
    </row>
    <row r="8" spans="1:7" ht="15.5">
      <c r="A8" s="106"/>
      <c r="B8" s="167"/>
      <c r="C8" s="167"/>
      <c r="D8" s="167"/>
      <c r="E8" s="167"/>
      <c r="F8" s="167"/>
      <c r="G8" s="106"/>
    </row>
    <row r="9" spans="1:7" ht="15">
      <c r="A9" s="119"/>
      <c r="B9" s="469" t="s">
        <v>525</v>
      </c>
      <c r="C9" s="470">
        <v>2016</v>
      </c>
      <c r="D9" s="470">
        <v>2017</v>
      </c>
      <c r="E9" s="470">
        <v>2018</v>
      </c>
      <c r="F9" s="470">
        <v>2019</v>
      </c>
      <c r="G9" s="538">
        <v>2020</v>
      </c>
    </row>
    <row r="10" spans="1:7" ht="15.5">
      <c r="A10" s="106"/>
      <c r="B10" s="172" t="s">
        <v>4</v>
      </c>
      <c r="C10" s="207">
        <v>85101.153912947761</v>
      </c>
      <c r="D10" s="207">
        <v>78851.547697000002</v>
      </c>
      <c r="E10" s="207">
        <v>99053.963673000006</v>
      </c>
      <c r="F10" s="207">
        <v>135781.84656100001</v>
      </c>
      <c r="G10" s="207">
        <v>170616.69114169001</v>
      </c>
    </row>
    <row r="11" spans="1:7" ht="15.5">
      <c r="A11" s="106"/>
      <c r="B11" s="172" t="s">
        <v>501</v>
      </c>
      <c r="C11" s="207">
        <v>7775.7323999561759</v>
      </c>
      <c r="D11" s="207">
        <v>7055.9473680000001</v>
      </c>
      <c r="E11" s="207">
        <v>12086.495009</v>
      </c>
      <c r="F11" s="207">
        <v>6041.7694629999996</v>
      </c>
      <c r="G11" s="207">
        <v>7981.3869631499992</v>
      </c>
    </row>
    <row r="12" spans="1:7" ht="15.5">
      <c r="A12" s="106"/>
      <c r="B12" s="172" t="s">
        <v>3</v>
      </c>
      <c r="C12" s="207">
        <v>21938.653652952991</v>
      </c>
      <c r="D12" s="207">
        <v>21265.532396999999</v>
      </c>
      <c r="E12" s="207">
        <v>21978.812180000001</v>
      </c>
      <c r="F12" s="207">
        <v>23829.360186000002</v>
      </c>
      <c r="G12" s="207">
        <v>29647.467782</v>
      </c>
    </row>
    <row r="13" spans="1:7" ht="15.5">
      <c r="A13" s="106"/>
      <c r="B13" s="172" t="s">
        <v>502</v>
      </c>
      <c r="C13" s="207">
        <v>0</v>
      </c>
      <c r="D13" s="207">
        <v>702.67513899999994</v>
      </c>
      <c r="E13" s="207">
        <v>1557.0854939999999</v>
      </c>
      <c r="F13" s="207">
        <v>465</v>
      </c>
      <c r="G13" s="207">
        <v>750</v>
      </c>
    </row>
    <row r="14" spans="1:7" ht="15.5">
      <c r="A14" s="119" t="s">
        <v>105</v>
      </c>
      <c r="B14" s="475" t="s">
        <v>504</v>
      </c>
      <c r="C14" s="476">
        <v>114815.55688885694</v>
      </c>
      <c r="D14" s="476">
        <v>107875.76950699999</v>
      </c>
      <c r="E14" s="476">
        <v>134676.356356</v>
      </c>
      <c r="F14" s="476">
        <v>166117.97621000002</v>
      </c>
      <c r="G14" s="476">
        <v>208995.54588684</v>
      </c>
    </row>
    <row r="15" spans="1:7" ht="15.5">
      <c r="A15" s="106"/>
      <c r="B15" s="416"/>
      <c r="C15" s="418"/>
      <c r="D15" s="418"/>
      <c r="E15" s="418"/>
      <c r="F15" s="418"/>
      <c r="G15" s="418"/>
    </row>
    <row r="16" spans="1:7" ht="15">
      <c r="A16" s="106"/>
      <c r="B16" s="469" t="s">
        <v>525</v>
      </c>
      <c r="C16" s="470">
        <v>2016</v>
      </c>
      <c r="D16" s="470">
        <v>2017</v>
      </c>
      <c r="E16" s="470">
        <v>2018</v>
      </c>
      <c r="F16" s="470">
        <v>2019</v>
      </c>
      <c r="G16" s="470">
        <v>2020</v>
      </c>
    </row>
    <row r="17" spans="1:7" ht="15.5">
      <c r="A17" s="106"/>
      <c r="B17" s="172" t="s">
        <v>708</v>
      </c>
      <c r="C17" s="207">
        <v>8110.48495</v>
      </c>
      <c r="D17" s="207">
        <v>8322.3125029999992</v>
      </c>
      <c r="E17" s="207">
        <v>7193.5210749999997</v>
      </c>
      <c r="F17" s="207">
        <v>43744.88183998</v>
      </c>
      <c r="G17" s="207">
        <v>47983.215443139998</v>
      </c>
    </row>
    <row r="18" spans="1:7" ht="15.5">
      <c r="A18" s="106"/>
      <c r="B18" s="172" t="s">
        <v>8</v>
      </c>
      <c r="C18" s="207">
        <v>36407.531726000001</v>
      </c>
      <c r="D18" s="207">
        <v>34950.36</v>
      </c>
      <c r="E18" s="207">
        <v>48526.724999999999</v>
      </c>
      <c r="F18" s="207">
        <v>55840.5</v>
      </c>
      <c r="G18" s="207">
        <v>81644.284842530004</v>
      </c>
    </row>
    <row r="19" spans="1:7" ht="15.5">
      <c r="A19" s="106"/>
      <c r="B19" s="172" t="s">
        <v>9</v>
      </c>
      <c r="C19" s="207">
        <v>7939.7152500000002</v>
      </c>
      <c r="D19" s="207">
        <v>7967.5199810000004</v>
      </c>
      <c r="E19" s="207">
        <v>7826.9033980000004</v>
      </c>
      <c r="F19" s="207">
        <v>10403.445011</v>
      </c>
      <c r="G19" s="207">
        <v>17637.024750880002</v>
      </c>
    </row>
    <row r="20" spans="1:7" ht="15.5">
      <c r="A20" s="106"/>
      <c r="B20" s="172" t="s">
        <v>415</v>
      </c>
      <c r="C20" s="207">
        <v>0</v>
      </c>
      <c r="D20" s="207">
        <v>0</v>
      </c>
      <c r="E20" s="207">
        <v>111221.75999999999</v>
      </c>
      <c r="F20" s="207">
        <v>120987.75</v>
      </c>
      <c r="G20" s="207">
        <v>151338.72</v>
      </c>
    </row>
    <row r="21" spans="1:7" ht="15.5">
      <c r="A21" s="106"/>
      <c r="B21" s="172" t="s">
        <v>790</v>
      </c>
      <c r="C21" s="207">
        <v>4732.4298449999997</v>
      </c>
      <c r="D21" s="207">
        <v>2879.3759279999999</v>
      </c>
      <c r="E21" s="207">
        <v>8549.504379</v>
      </c>
      <c r="F21" s="207">
        <v>4778.2111064999999</v>
      </c>
      <c r="G21" s="207">
        <v>12381.39003255</v>
      </c>
    </row>
    <row r="22" spans="1:7" ht="15.5">
      <c r="A22" s="106"/>
      <c r="B22" s="172" t="s">
        <v>791</v>
      </c>
      <c r="C22" s="207">
        <v>2336.7507099999998</v>
      </c>
      <c r="D22" s="207">
        <v>2293.33840616</v>
      </c>
      <c r="E22" s="207">
        <v>2365.384125</v>
      </c>
      <c r="F22" s="207">
        <v>2890.2296939399998</v>
      </c>
      <c r="G22" s="207">
        <v>3578.1572996599998</v>
      </c>
    </row>
    <row r="23" spans="1:7" ht="15.5">
      <c r="A23" s="106"/>
      <c r="B23" s="172" t="s">
        <v>792</v>
      </c>
      <c r="C23" s="207">
        <v>0</v>
      </c>
      <c r="D23" s="207">
        <v>2713.3992161199999</v>
      </c>
      <c r="E23" s="207">
        <v>0</v>
      </c>
      <c r="F23" s="207">
        <v>0</v>
      </c>
      <c r="G23" s="207">
        <v>0</v>
      </c>
    </row>
    <row r="24" spans="1:7" ht="15.5">
      <c r="A24" s="106"/>
      <c r="B24" s="172" t="s">
        <v>793</v>
      </c>
      <c r="C24" s="207">
        <v>0</v>
      </c>
      <c r="D24" s="207">
        <v>0</v>
      </c>
      <c r="E24" s="207">
        <v>0</v>
      </c>
      <c r="F24" s="207">
        <v>304479.88132889004</v>
      </c>
      <c r="G24" s="207">
        <v>172754.18018920001</v>
      </c>
    </row>
    <row r="25" spans="1:7" ht="15.5">
      <c r="A25" s="106"/>
      <c r="B25" s="172" t="s">
        <v>794</v>
      </c>
      <c r="C25" s="207">
        <v>0</v>
      </c>
      <c r="D25" s="207">
        <v>0</v>
      </c>
      <c r="E25" s="207">
        <v>79.830445150000003</v>
      </c>
      <c r="F25" s="207">
        <v>0</v>
      </c>
      <c r="G25" s="207">
        <v>71698.663217179987</v>
      </c>
    </row>
    <row r="26" spans="1:7" ht="15.5">
      <c r="A26" s="119" t="s">
        <v>105</v>
      </c>
      <c r="B26" s="475" t="s">
        <v>795</v>
      </c>
      <c r="C26" s="476">
        <v>59526.912480999999</v>
      </c>
      <c r="D26" s="476">
        <v>59126.306034280002</v>
      </c>
      <c r="E26" s="476">
        <v>185763.62842214998</v>
      </c>
      <c r="F26" s="476">
        <v>543124.89898031007</v>
      </c>
      <c r="G26" s="476">
        <v>559015.6357751399</v>
      </c>
    </row>
    <row r="27" spans="1:7" ht="15.5">
      <c r="A27" s="106"/>
      <c r="B27" s="417"/>
      <c r="C27" s="419"/>
      <c r="D27" s="419"/>
      <c r="E27" s="419"/>
      <c r="F27" s="419"/>
      <c r="G27" s="419"/>
    </row>
    <row r="28" spans="1:7" ht="15.5">
      <c r="A28" s="119" t="s">
        <v>105</v>
      </c>
      <c r="B28" s="475" t="s">
        <v>796</v>
      </c>
      <c r="C28" s="476">
        <v>174342.46936985693</v>
      </c>
      <c r="D28" s="476">
        <v>167002.07554127998</v>
      </c>
      <c r="E28" s="476">
        <v>320439.98477814998</v>
      </c>
      <c r="F28" s="476">
        <v>709242.87519031006</v>
      </c>
      <c r="G28" s="476">
        <v>768011.18166197988</v>
      </c>
    </row>
    <row r="29" spans="1:7">
      <c r="A29" s="106"/>
      <c r="B29" s="106"/>
      <c r="C29" s="106"/>
      <c r="D29" s="106"/>
      <c r="E29" s="106"/>
      <c r="F29" s="106"/>
      <c r="G29" s="106"/>
    </row>
    <row r="30" spans="1:7">
      <c r="A30" s="106"/>
      <c r="B30" s="106"/>
      <c r="C30" s="106"/>
      <c r="D30" s="106"/>
      <c r="E30" s="106"/>
      <c r="F30" s="106"/>
      <c r="G30" s="106"/>
    </row>
    <row r="31" spans="1:7">
      <c r="A31" s="106"/>
      <c r="B31" s="106"/>
      <c r="C31" s="106"/>
      <c r="D31" s="106"/>
      <c r="E31" s="106"/>
      <c r="F31" s="106"/>
      <c r="G31" s="106"/>
    </row>
    <row r="32" spans="1:7" ht="15">
      <c r="A32" s="119" t="s">
        <v>105</v>
      </c>
      <c r="B32" s="12" t="s">
        <v>797</v>
      </c>
      <c r="C32" s="106"/>
      <c r="D32" s="106"/>
      <c r="E32" s="106"/>
      <c r="F32" s="106"/>
      <c r="G32" s="106"/>
    </row>
    <row r="33" spans="1:7" ht="15">
      <c r="A33" s="106"/>
      <c r="B33" s="14" t="s">
        <v>19</v>
      </c>
      <c r="C33" s="106"/>
      <c r="D33" s="106"/>
      <c r="E33" s="106"/>
      <c r="F33" s="106"/>
      <c r="G33" s="106"/>
    </row>
    <row r="34" spans="1:7">
      <c r="A34" s="106"/>
      <c r="B34" s="106"/>
      <c r="C34" s="106"/>
      <c r="D34" s="106"/>
      <c r="E34" s="106"/>
      <c r="F34" s="106"/>
      <c r="G34" s="106"/>
    </row>
    <row r="35" spans="1:7">
      <c r="A35" s="106"/>
      <c r="B35" s="420"/>
      <c r="C35" s="421">
        <v>2016</v>
      </c>
      <c r="D35" s="421">
        <v>2017</v>
      </c>
      <c r="E35" s="421">
        <v>2018</v>
      </c>
      <c r="F35" s="421">
        <v>2019</v>
      </c>
      <c r="G35" s="421">
        <v>2020</v>
      </c>
    </row>
    <row r="36" spans="1:7">
      <c r="A36" s="106"/>
      <c r="B36" s="104" t="s">
        <v>798</v>
      </c>
      <c r="C36" s="10">
        <v>319011.23347199999</v>
      </c>
      <c r="D36" s="10">
        <v>434209.73444799997</v>
      </c>
      <c r="E36" s="10">
        <v>600361.41854800005</v>
      </c>
      <c r="F36" s="10">
        <v>611438.19748800003</v>
      </c>
      <c r="G36" s="10">
        <v>747682.57845000003</v>
      </c>
    </row>
    <row r="37" spans="1:7">
      <c r="A37" s="106"/>
      <c r="B37" s="36" t="s">
        <v>799</v>
      </c>
      <c r="C37" s="37">
        <v>288</v>
      </c>
      <c r="D37" s="37">
        <v>392</v>
      </c>
      <c r="E37" s="37">
        <v>542</v>
      </c>
      <c r="F37" s="37">
        <v>552</v>
      </c>
      <c r="G37" s="37">
        <v>675</v>
      </c>
    </row>
    <row r="38" spans="1:7">
      <c r="A38" s="119" t="s">
        <v>105</v>
      </c>
      <c r="B38" s="106"/>
      <c r="C38" s="106"/>
      <c r="D38" s="106"/>
      <c r="E38" s="106"/>
      <c r="F38" s="106"/>
      <c r="G38" s="106"/>
    </row>
    <row r="39" spans="1:7" s="106" customFormat="1" ht="15">
      <c r="A39" s="119"/>
      <c r="B39" s="477" t="s">
        <v>860</v>
      </c>
    </row>
    <row r="40" spans="1:7" ht="15">
      <c r="B40" s="14" t="s">
        <v>858</v>
      </c>
    </row>
    <row r="41" spans="1:7" ht="15">
      <c r="B41" s="14" t="s">
        <v>859</v>
      </c>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CA82E-F436-4B9D-8FC3-4E1280842801}">
  <dimension ref="A1:L66"/>
  <sheetViews>
    <sheetView showGridLines="0" zoomScale="90" zoomScaleNormal="90" workbookViewId="0"/>
  </sheetViews>
  <sheetFormatPr baseColWidth="10" defaultColWidth="11.453125" defaultRowHeight="14.5"/>
  <cols>
    <col min="2" max="2" width="27.453125" customWidth="1"/>
    <col min="3" max="3" width="69.26953125" customWidth="1"/>
    <col min="4" max="4" width="11.7265625" bestFit="1" customWidth="1"/>
    <col min="5" max="5" width="15" customWidth="1"/>
    <col min="6" max="6" width="11.54296875" bestFit="1" customWidth="1"/>
    <col min="7" max="7" width="13.54296875" customWidth="1"/>
  </cols>
  <sheetData>
    <row r="1" spans="1:12">
      <c r="A1" s="2" t="s">
        <v>17</v>
      </c>
      <c r="B1" s="106"/>
      <c r="C1" s="106"/>
      <c r="D1" s="106"/>
      <c r="E1" s="106"/>
      <c r="F1" s="106"/>
      <c r="G1" s="106"/>
    </row>
    <row r="2" spans="1:12" s="106" customFormat="1">
      <c r="A2" s="2"/>
    </row>
    <row r="3" spans="1:12" s="106" customFormat="1">
      <c r="A3" s="2"/>
    </row>
    <row r="4" spans="1:12" s="106" customFormat="1">
      <c r="A4" s="2"/>
    </row>
    <row r="5" spans="1:12" s="106" customFormat="1">
      <c r="A5" s="2"/>
    </row>
    <row r="7" spans="1:12" ht="15">
      <c r="A7" s="106"/>
      <c r="B7" s="682" t="s">
        <v>800</v>
      </c>
      <c r="C7" s="682"/>
      <c r="D7" s="682"/>
      <c r="E7" s="682"/>
      <c r="F7" s="682"/>
      <c r="G7" s="682"/>
      <c r="H7" s="106"/>
      <c r="I7" s="106"/>
      <c r="J7" s="106"/>
      <c r="K7" s="106"/>
      <c r="L7" s="106"/>
    </row>
    <row r="8" spans="1:12" ht="45">
      <c r="A8" s="106"/>
      <c r="B8" s="437" t="s">
        <v>405</v>
      </c>
      <c r="C8" s="437" t="s">
        <v>801</v>
      </c>
      <c r="D8" s="437" t="s">
        <v>802</v>
      </c>
      <c r="E8" s="437" t="s">
        <v>803</v>
      </c>
      <c r="F8" s="437" t="s">
        <v>804</v>
      </c>
      <c r="G8" s="437" t="s">
        <v>805</v>
      </c>
      <c r="H8" s="106"/>
      <c r="I8" s="106"/>
      <c r="J8" s="106"/>
      <c r="K8" s="106"/>
      <c r="L8" s="106"/>
    </row>
    <row r="9" spans="1:12" ht="15" hidden="1" customHeight="1">
      <c r="A9" s="106"/>
      <c r="B9" s="683" t="s">
        <v>431</v>
      </c>
      <c r="C9" s="422" t="s">
        <v>806</v>
      </c>
      <c r="D9" s="423">
        <v>0</v>
      </c>
      <c r="E9" s="424" t="s">
        <v>807</v>
      </c>
      <c r="F9" s="425">
        <v>0.91</v>
      </c>
      <c r="G9" s="426">
        <v>5.6</v>
      </c>
      <c r="H9" s="106"/>
      <c r="I9" s="106"/>
      <c r="J9" s="106"/>
      <c r="K9" s="106"/>
      <c r="L9" s="106"/>
    </row>
    <row r="10" spans="1:12" ht="15" hidden="1" customHeight="1">
      <c r="A10" s="106"/>
      <c r="B10" s="684"/>
      <c r="C10" s="427" t="s">
        <v>808</v>
      </c>
      <c r="D10" s="428">
        <v>0</v>
      </c>
      <c r="E10" s="429" t="s">
        <v>813</v>
      </c>
      <c r="F10" s="425">
        <v>0.32</v>
      </c>
      <c r="G10" s="430">
        <v>1.2</v>
      </c>
      <c r="H10" s="106"/>
      <c r="I10" s="106"/>
      <c r="J10" s="106"/>
      <c r="K10" s="106"/>
      <c r="L10" s="106"/>
    </row>
    <row r="11" spans="1:12" ht="15" hidden="1" customHeight="1">
      <c r="A11" s="106"/>
      <c r="B11" s="684" t="s">
        <v>600</v>
      </c>
      <c r="C11" s="427" t="s">
        <v>811</v>
      </c>
      <c r="D11" s="428">
        <v>684.30000000000007</v>
      </c>
      <c r="E11" s="429" t="s">
        <v>813</v>
      </c>
      <c r="F11" s="425">
        <v>0.99</v>
      </c>
      <c r="G11" s="430">
        <v>42.42</v>
      </c>
      <c r="H11" s="106"/>
      <c r="I11" s="106"/>
      <c r="J11" s="106"/>
      <c r="K11" s="106"/>
      <c r="L11" s="106"/>
    </row>
    <row r="12" spans="1:12" ht="15">
      <c r="A12" s="106"/>
      <c r="B12" s="683" t="s">
        <v>431</v>
      </c>
      <c r="C12" s="422" t="s">
        <v>806</v>
      </c>
      <c r="D12" s="423">
        <v>0</v>
      </c>
      <c r="E12" s="424" t="s">
        <v>807</v>
      </c>
      <c r="F12" s="425">
        <v>0.91</v>
      </c>
      <c r="G12" s="426">
        <v>5.6</v>
      </c>
      <c r="H12" s="106"/>
      <c r="I12" s="106"/>
      <c r="J12" s="106"/>
      <c r="K12" s="106"/>
      <c r="L12" s="106"/>
    </row>
    <row r="13" spans="1:12" ht="15">
      <c r="A13" s="106"/>
      <c r="B13" s="684"/>
      <c r="C13" s="427" t="s">
        <v>808</v>
      </c>
      <c r="D13" s="428">
        <v>0</v>
      </c>
      <c r="E13" s="429" t="s">
        <v>813</v>
      </c>
      <c r="F13" s="425">
        <v>0.32</v>
      </c>
      <c r="G13" s="430">
        <v>1.2</v>
      </c>
      <c r="H13" s="106"/>
      <c r="I13" s="106"/>
      <c r="J13" s="106"/>
      <c r="K13" s="106"/>
      <c r="L13" s="106"/>
    </row>
    <row r="14" spans="1:12" ht="15">
      <c r="A14" s="106"/>
      <c r="B14" s="684" t="s">
        <v>600</v>
      </c>
      <c r="C14" s="427" t="s">
        <v>811</v>
      </c>
      <c r="D14" s="428">
        <v>684.30000000000007</v>
      </c>
      <c r="E14" s="429" t="s">
        <v>813</v>
      </c>
      <c r="F14" s="425">
        <v>0.99</v>
      </c>
      <c r="G14" s="430">
        <v>42.42</v>
      </c>
      <c r="H14" s="106"/>
      <c r="I14" s="106"/>
      <c r="J14" s="106"/>
      <c r="K14" s="106"/>
      <c r="L14" s="106"/>
    </row>
    <row r="15" spans="1:12" ht="15">
      <c r="A15" s="106"/>
      <c r="B15" s="684"/>
      <c r="C15" s="427" t="s">
        <v>812</v>
      </c>
      <c r="D15" s="428">
        <v>351.7</v>
      </c>
      <c r="E15" s="429" t="s">
        <v>840</v>
      </c>
      <c r="F15" s="425">
        <v>0.93</v>
      </c>
      <c r="G15" s="430">
        <v>14.13</v>
      </c>
      <c r="H15" s="106"/>
      <c r="I15" s="106"/>
      <c r="J15" s="106"/>
      <c r="K15" s="106"/>
      <c r="L15" s="106"/>
    </row>
    <row r="16" spans="1:12" ht="15">
      <c r="A16" s="106"/>
      <c r="B16" s="684"/>
      <c r="C16" s="427" t="s">
        <v>815</v>
      </c>
      <c r="D16" s="428">
        <v>65</v>
      </c>
      <c r="E16" s="429" t="s">
        <v>974</v>
      </c>
      <c r="F16" s="425">
        <v>0.47</v>
      </c>
      <c r="G16" s="430">
        <v>4.9000000000000004</v>
      </c>
      <c r="H16" s="106"/>
      <c r="I16" s="106"/>
      <c r="J16" s="106"/>
      <c r="K16" s="106"/>
      <c r="L16" s="106"/>
    </row>
    <row r="17" spans="1:12" ht="15">
      <c r="A17" s="106"/>
      <c r="B17" s="684"/>
      <c r="C17" s="427" t="s">
        <v>817</v>
      </c>
      <c r="D17" s="428">
        <v>16</v>
      </c>
      <c r="E17" s="429" t="s">
        <v>818</v>
      </c>
      <c r="F17" s="425">
        <v>0.47</v>
      </c>
      <c r="G17" s="430">
        <v>10.8</v>
      </c>
      <c r="H17" s="106"/>
      <c r="I17" s="106"/>
      <c r="J17" s="106"/>
      <c r="K17" s="106"/>
      <c r="L17" s="106"/>
    </row>
    <row r="18" spans="1:12" ht="15">
      <c r="A18" s="106"/>
      <c r="B18" s="684"/>
      <c r="C18" s="427" t="s">
        <v>814</v>
      </c>
      <c r="D18" s="428">
        <v>289</v>
      </c>
      <c r="E18" s="429" t="s">
        <v>975</v>
      </c>
      <c r="F18" s="425">
        <v>0.57999999999999996</v>
      </c>
      <c r="G18" s="430">
        <v>18.2</v>
      </c>
      <c r="H18" s="106"/>
      <c r="I18" s="106"/>
      <c r="J18" s="106"/>
      <c r="K18" s="106"/>
      <c r="L18" s="106"/>
    </row>
    <row r="19" spans="1:12" ht="15">
      <c r="A19" s="106"/>
      <c r="B19" s="684"/>
      <c r="C19" s="427" t="s">
        <v>819</v>
      </c>
      <c r="D19" s="428">
        <v>275</v>
      </c>
      <c r="E19" s="429" t="s">
        <v>820</v>
      </c>
      <c r="F19" s="425">
        <v>0.2</v>
      </c>
      <c r="G19" s="430">
        <v>9.4</v>
      </c>
      <c r="H19" s="106"/>
      <c r="I19" s="106"/>
      <c r="J19" s="106"/>
      <c r="K19" s="106"/>
      <c r="L19" s="106"/>
    </row>
    <row r="20" spans="1:12" ht="15">
      <c r="A20" s="106"/>
      <c r="B20" s="534" t="s">
        <v>463</v>
      </c>
      <c r="C20" s="427" t="s">
        <v>821</v>
      </c>
      <c r="D20" s="428">
        <v>8</v>
      </c>
      <c r="E20" s="429" t="s">
        <v>822</v>
      </c>
      <c r="F20" s="425">
        <v>0.6</v>
      </c>
      <c r="G20" s="430">
        <v>0.1</v>
      </c>
      <c r="H20" s="106"/>
      <c r="I20" s="106"/>
      <c r="J20" s="106"/>
      <c r="K20" s="106"/>
      <c r="L20" s="106"/>
    </row>
    <row r="21" spans="1:12" ht="15">
      <c r="B21" s="684" t="s">
        <v>419</v>
      </c>
      <c r="C21" s="427" t="s">
        <v>825</v>
      </c>
      <c r="D21" s="428">
        <v>1248</v>
      </c>
      <c r="E21" s="534" t="s">
        <v>824</v>
      </c>
      <c r="F21" s="425">
        <v>0.86</v>
      </c>
      <c r="G21" s="430">
        <v>21.7</v>
      </c>
      <c r="H21" s="106"/>
      <c r="I21" s="106"/>
      <c r="J21" s="106"/>
      <c r="K21" s="106"/>
      <c r="L21" s="106"/>
    </row>
    <row r="22" spans="1:12" ht="15">
      <c r="B22" s="684"/>
      <c r="C22" s="427" t="s">
        <v>826</v>
      </c>
      <c r="D22" s="428">
        <v>676</v>
      </c>
      <c r="E22" s="534" t="s">
        <v>824</v>
      </c>
      <c r="F22" s="425">
        <v>0.86</v>
      </c>
      <c r="G22" s="430">
        <v>32.4</v>
      </c>
      <c r="H22" s="106"/>
      <c r="I22" s="106"/>
      <c r="J22" s="106"/>
      <c r="K22" s="106"/>
      <c r="L22" s="106"/>
    </row>
    <row r="23" spans="1:12" ht="15">
      <c r="B23" s="684"/>
      <c r="C23" s="427" t="s">
        <v>823</v>
      </c>
      <c r="D23" s="428">
        <v>79</v>
      </c>
      <c r="E23" s="534" t="s">
        <v>824</v>
      </c>
      <c r="F23" s="425">
        <v>0.66</v>
      </c>
      <c r="G23" s="430">
        <v>14.3</v>
      </c>
      <c r="H23" s="106"/>
      <c r="I23" s="106"/>
      <c r="J23" s="106"/>
      <c r="K23" s="106"/>
      <c r="L23" s="106"/>
    </row>
    <row r="24" spans="1:12" ht="15">
      <c r="B24" s="684"/>
      <c r="C24" s="427" t="s">
        <v>827</v>
      </c>
      <c r="D24" s="428">
        <v>1115</v>
      </c>
      <c r="E24" s="534" t="s">
        <v>816</v>
      </c>
      <c r="F24" s="425">
        <v>0.64</v>
      </c>
      <c r="G24" s="430">
        <v>81.2</v>
      </c>
      <c r="H24" s="106"/>
      <c r="I24" s="106"/>
      <c r="J24" s="106"/>
      <c r="K24" s="106"/>
      <c r="L24" s="106"/>
    </row>
    <row r="25" spans="1:12" ht="15">
      <c r="B25" s="684"/>
      <c r="C25" s="427" t="s">
        <v>829</v>
      </c>
      <c r="D25" s="428">
        <v>151</v>
      </c>
      <c r="E25" s="534" t="s">
        <v>816</v>
      </c>
      <c r="F25" s="425">
        <v>0.99</v>
      </c>
      <c r="G25" s="430">
        <v>16.3</v>
      </c>
      <c r="H25" s="106"/>
      <c r="I25" s="106"/>
      <c r="J25" s="106"/>
      <c r="K25" s="106"/>
      <c r="L25" s="106"/>
    </row>
    <row r="26" spans="1:12" ht="15">
      <c r="B26" s="684"/>
      <c r="C26" s="427" t="s">
        <v>830</v>
      </c>
      <c r="D26" s="428">
        <v>4</v>
      </c>
      <c r="E26" s="534" t="s">
        <v>816</v>
      </c>
      <c r="F26" s="425">
        <v>0.85</v>
      </c>
      <c r="G26" s="430">
        <v>12</v>
      </c>
      <c r="H26" s="106"/>
      <c r="I26" s="106"/>
      <c r="J26" s="106"/>
      <c r="K26" s="106"/>
      <c r="L26" s="106"/>
    </row>
    <row r="27" spans="1:12" ht="15">
      <c r="B27" s="684"/>
      <c r="C27" s="427" t="s">
        <v>831</v>
      </c>
      <c r="D27" s="428">
        <v>57</v>
      </c>
      <c r="E27" s="534" t="s">
        <v>832</v>
      </c>
      <c r="F27" s="425">
        <v>0.52</v>
      </c>
      <c r="G27" s="430">
        <v>11.8</v>
      </c>
      <c r="H27" s="106"/>
      <c r="I27" s="106"/>
      <c r="J27" s="106"/>
      <c r="K27" s="106"/>
      <c r="L27" s="106"/>
    </row>
    <row r="28" spans="1:12" ht="15">
      <c r="B28" s="684"/>
      <c r="C28" s="427" t="s">
        <v>833</v>
      </c>
      <c r="D28" s="428">
        <v>37</v>
      </c>
      <c r="E28" s="534" t="s">
        <v>834</v>
      </c>
      <c r="F28" s="425">
        <v>0.24</v>
      </c>
      <c r="G28" s="430">
        <v>1.3</v>
      </c>
      <c r="H28" s="106"/>
      <c r="I28" s="106"/>
      <c r="J28" s="106"/>
      <c r="K28" s="106"/>
      <c r="L28" s="106"/>
    </row>
    <row r="29" spans="1:12" ht="15">
      <c r="B29" s="684"/>
      <c r="C29" s="427" t="s">
        <v>835</v>
      </c>
      <c r="D29" s="428">
        <v>169</v>
      </c>
      <c r="E29" s="534" t="s">
        <v>836</v>
      </c>
      <c r="F29" s="425">
        <v>0.23</v>
      </c>
      <c r="G29" s="430">
        <v>9.5</v>
      </c>
      <c r="H29" s="106"/>
      <c r="I29" s="106"/>
      <c r="J29" s="106"/>
      <c r="K29" s="106"/>
      <c r="L29" s="106"/>
    </row>
    <row r="30" spans="1:12" ht="15">
      <c r="B30" s="684"/>
      <c r="C30" s="427" t="s">
        <v>837</v>
      </c>
      <c r="D30" s="428">
        <v>173</v>
      </c>
      <c r="E30" s="534" t="s">
        <v>836</v>
      </c>
      <c r="F30" s="425">
        <v>0.21</v>
      </c>
      <c r="G30" s="430">
        <v>9.8000000000000007</v>
      </c>
      <c r="H30" s="106"/>
      <c r="I30" s="106"/>
      <c r="J30" s="106"/>
      <c r="K30" s="106"/>
      <c r="L30" s="106"/>
    </row>
    <row r="31" spans="1:12" ht="15">
      <c r="B31" s="684" t="s">
        <v>415</v>
      </c>
      <c r="C31" s="427" t="s">
        <v>839</v>
      </c>
      <c r="D31" s="428">
        <v>771</v>
      </c>
      <c r="E31" s="534" t="s">
        <v>840</v>
      </c>
      <c r="F31" s="425">
        <v>0.47</v>
      </c>
      <c r="G31" s="430">
        <v>40.6</v>
      </c>
      <c r="H31" s="106"/>
      <c r="I31" s="106"/>
      <c r="J31" s="106"/>
      <c r="K31" s="106"/>
      <c r="L31" s="106"/>
    </row>
    <row r="32" spans="1:12" ht="15">
      <c r="B32" s="684"/>
      <c r="C32" s="427" t="s">
        <v>841</v>
      </c>
      <c r="D32" s="428">
        <v>75</v>
      </c>
      <c r="E32" s="534" t="s">
        <v>807</v>
      </c>
      <c r="F32" s="425">
        <v>0.87</v>
      </c>
      <c r="G32" s="430">
        <v>2.9</v>
      </c>
      <c r="H32" s="106"/>
      <c r="I32" s="106"/>
      <c r="J32" s="106"/>
      <c r="K32" s="106"/>
      <c r="L32" s="106"/>
    </row>
    <row r="33" spans="2:12" ht="15">
      <c r="B33" s="684"/>
      <c r="C33" s="427" t="s">
        <v>842</v>
      </c>
      <c r="D33" s="428">
        <v>29</v>
      </c>
      <c r="E33" s="534" t="s">
        <v>807</v>
      </c>
      <c r="F33" s="425">
        <v>0.89</v>
      </c>
      <c r="G33" s="430">
        <v>3.5</v>
      </c>
      <c r="H33" s="106"/>
      <c r="I33" s="106"/>
      <c r="J33" s="106"/>
      <c r="K33" s="106"/>
      <c r="L33" s="106"/>
    </row>
    <row r="34" spans="2:12">
      <c r="B34" s="106"/>
      <c r="C34" s="106"/>
      <c r="D34" s="106"/>
      <c r="E34" s="106"/>
      <c r="F34" s="106"/>
      <c r="G34" s="106"/>
      <c r="H34" s="106"/>
      <c r="I34" s="106"/>
      <c r="J34" s="106"/>
      <c r="K34" s="106"/>
      <c r="L34" s="106"/>
    </row>
    <row r="35" spans="2:12" ht="15.5">
      <c r="B35" s="436" t="s">
        <v>843</v>
      </c>
      <c r="C35" s="545"/>
      <c r="D35" s="546"/>
      <c r="E35" s="544"/>
      <c r="F35" s="547"/>
      <c r="G35" s="487"/>
      <c r="H35" s="106"/>
      <c r="I35" s="106"/>
      <c r="J35" s="106"/>
      <c r="K35" s="106"/>
      <c r="L35" s="106"/>
    </row>
    <row r="36" spans="2:12">
      <c r="B36" s="548"/>
      <c r="C36" s="545"/>
      <c r="D36" s="546"/>
      <c r="E36" s="544"/>
      <c r="F36" s="547"/>
      <c r="G36" s="487"/>
      <c r="H36" s="106"/>
      <c r="I36" s="106"/>
      <c r="J36" s="106"/>
      <c r="K36" s="106"/>
      <c r="L36" s="106"/>
    </row>
    <row r="37" spans="2:12" s="106" customFormat="1" ht="15">
      <c r="B37" s="685" t="s">
        <v>976</v>
      </c>
      <c r="C37" s="685"/>
      <c r="D37" s="685"/>
      <c r="E37" s="685"/>
      <c r="F37" s="685"/>
      <c r="G37" s="685"/>
    </row>
    <row r="38" spans="2:12" ht="15.5">
      <c r="B38" s="549" t="s">
        <v>431</v>
      </c>
      <c r="C38" s="550" t="s">
        <v>809</v>
      </c>
      <c r="D38" s="428">
        <v>0</v>
      </c>
      <c r="E38" s="429">
        <v>44180</v>
      </c>
      <c r="F38" s="425"/>
      <c r="G38" s="430">
        <v>3.6</v>
      </c>
      <c r="H38" s="106"/>
      <c r="I38" s="106"/>
      <c r="J38" s="106"/>
      <c r="K38" s="106"/>
      <c r="L38" s="106"/>
    </row>
    <row r="39" spans="2:12" ht="15.5">
      <c r="B39" s="549" t="s">
        <v>600</v>
      </c>
      <c r="C39" s="427" t="s">
        <v>810</v>
      </c>
      <c r="D39" s="428">
        <v>0</v>
      </c>
      <c r="E39" s="429">
        <v>44186</v>
      </c>
      <c r="F39" s="425"/>
      <c r="G39" s="430">
        <v>1.5</v>
      </c>
      <c r="H39" s="106"/>
      <c r="I39" s="106"/>
      <c r="J39" s="106"/>
      <c r="K39" s="106"/>
      <c r="L39" s="106"/>
    </row>
    <row r="40" spans="2:12" ht="15.5">
      <c r="B40" s="549" t="s">
        <v>419</v>
      </c>
      <c r="C40" s="427" t="s">
        <v>828</v>
      </c>
      <c r="D40" s="428">
        <v>18.2</v>
      </c>
      <c r="E40" s="429">
        <v>44179</v>
      </c>
      <c r="F40" s="425"/>
      <c r="G40" s="430">
        <v>5.6</v>
      </c>
      <c r="H40" s="106"/>
      <c r="I40" s="106"/>
      <c r="J40" s="106"/>
      <c r="K40" s="106"/>
      <c r="L40" s="106"/>
    </row>
    <row r="41" spans="2:12" ht="15.5">
      <c r="B41" s="549" t="s">
        <v>8</v>
      </c>
      <c r="C41" s="427" t="s">
        <v>838</v>
      </c>
      <c r="D41" s="428">
        <v>0</v>
      </c>
      <c r="E41" s="429">
        <v>44166</v>
      </c>
      <c r="F41" s="425"/>
      <c r="G41" s="430">
        <v>3.3</v>
      </c>
      <c r="H41" s="106"/>
      <c r="I41" s="106"/>
      <c r="J41" s="106"/>
      <c r="K41" s="106"/>
      <c r="L41" s="106"/>
    </row>
    <row r="42" spans="2:12" ht="15.5">
      <c r="B42" s="436"/>
      <c r="C42" s="432"/>
      <c r="D42" s="433"/>
      <c r="E42" s="431"/>
      <c r="F42" s="434"/>
      <c r="G42" s="435"/>
      <c r="H42" s="106"/>
      <c r="I42" s="106"/>
      <c r="J42" s="106"/>
      <c r="K42" s="106"/>
      <c r="L42" s="106"/>
    </row>
    <row r="43" spans="2:12" ht="15">
      <c r="B43" s="685" t="s">
        <v>977</v>
      </c>
      <c r="C43" s="685"/>
      <c r="D43" s="685"/>
      <c r="E43" s="685"/>
      <c r="F43" s="685"/>
      <c r="G43" s="685"/>
      <c r="H43" s="106"/>
      <c r="I43" s="106"/>
      <c r="J43" s="106"/>
      <c r="K43" s="106"/>
      <c r="L43" s="106"/>
    </row>
    <row r="44" spans="2:12" ht="15.5">
      <c r="B44" s="551" t="s">
        <v>419</v>
      </c>
      <c r="C44" s="427" t="s">
        <v>844</v>
      </c>
      <c r="D44" s="428">
        <v>0</v>
      </c>
      <c r="E44" s="429">
        <v>44089</v>
      </c>
      <c r="F44" s="425"/>
      <c r="G44" s="430">
        <v>14</v>
      </c>
      <c r="H44" s="106"/>
      <c r="I44" s="106"/>
      <c r="J44" s="106"/>
      <c r="K44" s="106"/>
      <c r="L44" s="106"/>
    </row>
    <row r="45" spans="2:12" ht="15.5">
      <c r="B45" s="436"/>
      <c r="C45" s="432"/>
      <c r="D45" s="433"/>
      <c r="E45" s="431"/>
      <c r="F45" s="434"/>
      <c r="G45" s="435"/>
      <c r="H45" s="106"/>
      <c r="I45" s="106"/>
      <c r="J45" s="106"/>
      <c r="K45" s="106"/>
      <c r="L45" s="106"/>
    </row>
    <row r="46" spans="2:12" ht="15.5">
      <c r="B46" s="436" t="s">
        <v>978</v>
      </c>
      <c r="C46" s="545"/>
      <c r="D46" s="546"/>
      <c r="E46" s="544"/>
      <c r="F46" s="547"/>
      <c r="G46" s="487"/>
      <c r="H46" s="106"/>
      <c r="I46" s="106"/>
      <c r="J46" s="106"/>
      <c r="K46" s="106"/>
      <c r="L46" s="106"/>
    </row>
    <row r="47" spans="2:12" ht="15.5">
      <c r="B47" s="436"/>
      <c r="C47" s="545"/>
      <c r="D47" s="546"/>
      <c r="E47" s="544"/>
      <c r="F47" s="547"/>
      <c r="G47" s="487"/>
      <c r="H47" s="106"/>
      <c r="I47" s="106"/>
      <c r="J47" s="106"/>
      <c r="K47" s="106"/>
      <c r="L47" s="106"/>
    </row>
    <row r="48" spans="2:12">
      <c r="B48" s="487"/>
      <c r="C48" s="487"/>
      <c r="D48" s="487"/>
      <c r="E48" s="487"/>
      <c r="F48" s="487"/>
      <c r="G48" s="487"/>
      <c r="H48" s="106"/>
      <c r="I48" s="106"/>
      <c r="J48" s="106"/>
      <c r="K48" s="106"/>
      <c r="L48" s="106"/>
    </row>
    <row r="49" spans="2:12">
      <c r="B49" s="487"/>
      <c r="C49" s="487"/>
      <c r="D49" s="487"/>
      <c r="E49" s="487"/>
      <c r="F49" s="487"/>
      <c r="G49" s="487"/>
      <c r="H49" s="106"/>
      <c r="I49" s="106"/>
      <c r="J49" s="106"/>
      <c r="K49" s="106"/>
      <c r="L49" s="106"/>
    </row>
    <row r="50" spans="2:12">
      <c r="B50" s="106"/>
      <c r="C50" s="106"/>
      <c r="D50" s="106"/>
      <c r="E50" s="106"/>
      <c r="F50" s="106"/>
      <c r="G50" s="106"/>
      <c r="H50" s="106"/>
      <c r="I50" s="106"/>
      <c r="J50" s="106"/>
      <c r="K50" s="106"/>
      <c r="L50" s="106"/>
    </row>
    <row r="51" spans="2:12">
      <c r="B51" s="106"/>
      <c r="C51" s="106"/>
      <c r="D51" s="106"/>
      <c r="E51" s="106"/>
      <c r="F51" s="106"/>
      <c r="G51" s="106"/>
      <c r="H51" s="106"/>
      <c r="I51" s="106"/>
      <c r="J51" s="106"/>
      <c r="K51" s="106"/>
      <c r="L51" s="106"/>
    </row>
    <row r="52" spans="2:12">
      <c r="B52" s="106"/>
      <c r="C52" s="106"/>
      <c r="D52" s="106"/>
      <c r="E52" s="106"/>
      <c r="F52" s="106"/>
      <c r="G52" s="106"/>
      <c r="H52" s="106"/>
      <c r="I52" s="106"/>
      <c r="J52" s="106"/>
      <c r="K52" s="106"/>
      <c r="L52" s="106"/>
    </row>
    <row r="53" spans="2:12">
      <c r="B53" s="106"/>
      <c r="C53" s="106"/>
      <c r="D53" s="106"/>
      <c r="E53" s="106"/>
      <c r="F53" s="106"/>
      <c r="G53" s="106"/>
      <c r="H53" s="106"/>
      <c r="I53" s="106"/>
      <c r="J53" s="106"/>
      <c r="K53" s="106"/>
      <c r="L53" s="106"/>
    </row>
    <row r="54" spans="2:12">
      <c r="B54" s="106"/>
      <c r="C54" s="106"/>
      <c r="D54" s="106"/>
      <c r="E54" s="106"/>
      <c r="F54" s="106"/>
      <c r="G54" s="106"/>
      <c r="H54" s="106"/>
      <c r="I54" s="106"/>
      <c r="J54" s="106"/>
      <c r="K54" s="106"/>
      <c r="L54" s="106"/>
    </row>
    <row r="55" spans="2:12">
      <c r="B55" s="106"/>
      <c r="C55" s="106"/>
      <c r="D55" s="106"/>
      <c r="E55" s="106"/>
      <c r="F55" s="106"/>
      <c r="G55" s="106"/>
      <c r="H55" s="106"/>
      <c r="I55" s="106"/>
      <c r="J55" s="106"/>
      <c r="K55" s="106"/>
      <c r="L55" s="106"/>
    </row>
    <row r="56" spans="2:12">
      <c r="B56" s="106"/>
      <c r="C56" s="106"/>
      <c r="D56" s="106"/>
      <c r="E56" s="106"/>
      <c r="F56" s="106"/>
      <c r="G56" s="106"/>
      <c r="H56" s="106"/>
      <c r="I56" s="106"/>
      <c r="J56" s="106"/>
      <c r="K56" s="106"/>
      <c r="L56" s="106"/>
    </row>
    <row r="57" spans="2:12">
      <c r="B57" s="106"/>
      <c r="C57" s="106"/>
      <c r="D57" s="106"/>
      <c r="E57" s="106"/>
      <c r="F57" s="106"/>
      <c r="G57" s="106"/>
      <c r="H57" s="106"/>
      <c r="I57" s="106"/>
      <c r="J57" s="106"/>
      <c r="K57" s="106"/>
      <c r="L57" s="106"/>
    </row>
    <row r="58" spans="2:12">
      <c r="B58" s="106"/>
      <c r="C58" s="106"/>
      <c r="D58" s="106"/>
      <c r="E58" s="106"/>
      <c r="F58" s="106"/>
      <c r="G58" s="106"/>
      <c r="H58" s="106"/>
      <c r="I58" s="106"/>
      <c r="J58" s="106"/>
      <c r="K58" s="106"/>
      <c r="L58" s="106"/>
    </row>
    <row r="59" spans="2:12">
      <c r="B59" s="106"/>
      <c r="C59" s="106"/>
      <c r="D59" s="106"/>
      <c r="E59" s="106"/>
      <c r="F59" s="106"/>
      <c r="G59" s="106"/>
      <c r="H59" s="106"/>
      <c r="I59" s="106"/>
      <c r="J59" s="106"/>
      <c r="K59" s="106"/>
      <c r="L59" s="106"/>
    </row>
    <row r="60" spans="2:12">
      <c r="B60" s="106"/>
      <c r="C60" s="106"/>
      <c r="D60" s="106"/>
      <c r="E60" s="106"/>
      <c r="F60" s="106"/>
      <c r="G60" s="106"/>
      <c r="H60" s="106"/>
      <c r="I60" s="106"/>
      <c r="J60" s="106"/>
      <c r="K60" s="106"/>
      <c r="L60" s="106"/>
    </row>
    <row r="61" spans="2:12">
      <c r="B61" s="106"/>
      <c r="C61" s="106"/>
      <c r="D61" s="106"/>
      <c r="E61" s="106"/>
      <c r="F61" s="106"/>
      <c r="G61" s="106"/>
      <c r="H61" s="106"/>
      <c r="I61" s="106"/>
      <c r="J61" s="106"/>
      <c r="K61" s="106"/>
      <c r="L61" s="106"/>
    </row>
    <row r="62" spans="2:12">
      <c r="B62" s="106"/>
      <c r="C62" s="106"/>
      <c r="D62" s="106"/>
      <c r="E62" s="106"/>
      <c r="F62" s="106"/>
      <c r="G62" s="106"/>
      <c r="H62" s="106"/>
      <c r="I62" s="106"/>
      <c r="J62" s="106"/>
      <c r="K62" s="106"/>
      <c r="L62" s="106"/>
    </row>
    <row r="63" spans="2:12">
      <c r="B63" s="106"/>
      <c r="C63" s="106"/>
      <c r="D63" s="106"/>
      <c r="E63" s="106"/>
      <c r="F63" s="106"/>
      <c r="G63" s="106"/>
      <c r="H63" s="106"/>
      <c r="I63" s="106"/>
      <c r="J63" s="106"/>
      <c r="K63" s="106"/>
      <c r="L63" s="106"/>
    </row>
    <row r="64" spans="2:12">
      <c r="B64" s="106"/>
      <c r="C64" s="106"/>
      <c r="D64" s="106"/>
      <c r="E64" s="106"/>
      <c r="F64" s="106"/>
      <c r="G64" s="106"/>
      <c r="H64" s="106"/>
      <c r="I64" s="106"/>
      <c r="J64" s="106"/>
      <c r="K64" s="106"/>
      <c r="L64" s="106"/>
    </row>
    <row r="65" spans="2:12">
      <c r="B65" s="106"/>
      <c r="C65" s="106"/>
      <c r="D65" s="106"/>
      <c r="E65" s="106"/>
      <c r="F65" s="106"/>
      <c r="G65" s="106"/>
      <c r="H65" s="106"/>
      <c r="I65" s="106"/>
      <c r="J65" s="106"/>
      <c r="K65" s="106"/>
      <c r="L65" s="106"/>
    </row>
    <row r="66" spans="2:12">
      <c r="B66" s="106"/>
      <c r="C66" s="106"/>
      <c r="D66" s="106"/>
      <c r="E66" s="106"/>
      <c r="F66" s="106"/>
      <c r="G66" s="106"/>
      <c r="H66" s="106"/>
      <c r="I66" s="106"/>
      <c r="J66" s="106"/>
      <c r="K66" s="106"/>
      <c r="L66" s="106"/>
    </row>
  </sheetData>
  <mergeCells count="8">
    <mergeCell ref="B7:G7"/>
    <mergeCell ref="B9:B11"/>
    <mergeCell ref="B12:B13"/>
    <mergeCell ref="B43:G43"/>
    <mergeCell ref="B31:B33"/>
    <mergeCell ref="B14:B19"/>
    <mergeCell ref="B21:B30"/>
    <mergeCell ref="B37:G37"/>
  </mergeCells>
  <hyperlinks>
    <hyperlink ref="A1" location="Contenido!A1" display="Volver al Contenido" xr:uid="{716746B3-ABD8-4E73-ADAE-91C34F8E7A75}"/>
  </hyperlinks>
  <pageMargins left="0.7" right="0.7" top="0.75" bottom="0.75" header="0.3" footer="0.3"/>
  <customProperties>
    <customPr name="_pios_id" r:id="rId1"/>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09"/>
  <sheetViews>
    <sheetView showGridLines="0" zoomScale="90" zoomScaleNormal="90" workbookViewId="0">
      <pane xSplit="2" ySplit="7" topLeftCell="K99" activePane="bottomRight" state="frozen"/>
      <selection pane="topRight" activeCell="C1" sqref="C1"/>
      <selection pane="bottomLeft" activeCell="A7" sqref="A7"/>
      <selection pane="bottomRight" activeCell="P114" sqref="P114"/>
    </sheetView>
  </sheetViews>
  <sheetFormatPr baseColWidth="10" defaultColWidth="10.81640625" defaultRowHeight="14.5"/>
  <cols>
    <col min="1" max="1" width="4.54296875" style="5" customWidth="1"/>
    <col min="2" max="2" width="67.453125" style="5" customWidth="1"/>
    <col min="3" max="14" width="15.1796875" style="5" customWidth="1"/>
    <col min="15" max="15" width="15" style="5" customWidth="1"/>
    <col min="16" max="16" width="14.453125" customWidth="1"/>
    <col min="41" max="41" width="12.453125" bestFit="1" customWidth="1"/>
    <col min="44" max="16384" width="10.81640625" style="5"/>
  </cols>
  <sheetData>
    <row r="1" spans="1:43">
      <c r="A1" s="4" t="s">
        <v>17</v>
      </c>
    </row>
    <row r="3" spans="1:43" ht="15.5">
      <c r="B3" s="12" t="s">
        <v>18</v>
      </c>
      <c r="C3" s="6"/>
      <c r="D3" s="6"/>
      <c r="E3" s="7"/>
      <c r="F3" s="6"/>
      <c r="G3" s="6"/>
      <c r="H3" s="6"/>
      <c r="I3" s="7"/>
      <c r="J3" s="6"/>
      <c r="K3" s="6"/>
      <c r="L3" s="6"/>
      <c r="M3" s="7"/>
      <c r="N3" s="6"/>
    </row>
    <row r="4" spans="1:43" ht="15">
      <c r="B4" s="14" t="s">
        <v>19</v>
      </c>
      <c r="C4" s="8"/>
      <c r="D4" s="8"/>
      <c r="E4" s="8"/>
      <c r="F4" s="8"/>
      <c r="G4" s="8"/>
      <c r="H4" s="8"/>
      <c r="I4" s="8"/>
      <c r="J4" s="8"/>
      <c r="K4" s="8"/>
      <c r="L4" s="8"/>
      <c r="M4" s="8"/>
      <c r="N4" s="8"/>
    </row>
    <row r="5" spans="1:43" ht="15">
      <c r="B5" s="14"/>
      <c r="C5" s="8"/>
      <c r="D5" s="8"/>
      <c r="E5" s="8"/>
      <c r="F5" s="8"/>
      <c r="G5" s="8"/>
      <c r="H5" s="8"/>
      <c r="I5" s="8"/>
      <c r="J5" s="8"/>
      <c r="K5" s="8"/>
      <c r="L5" s="8"/>
      <c r="M5" s="8"/>
      <c r="N5" s="8"/>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row>
    <row r="6" spans="1:43" ht="15.5">
      <c r="B6" s="9"/>
      <c r="C6" s="9"/>
      <c r="D6" s="9"/>
      <c r="E6" s="9"/>
      <c r="F6" s="9"/>
      <c r="G6" s="9"/>
      <c r="H6" s="9"/>
      <c r="I6" s="9"/>
      <c r="J6" s="9"/>
      <c r="K6" s="9"/>
      <c r="L6" s="9"/>
      <c r="M6" s="9"/>
      <c r="N6" s="9"/>
    </row>
    <row r="7" spans="1:43" ht="15">
      <c r="B7" s="170"/>
      <c r="C7" s="31">
        <v>2016</v>
      </c>
      <c r="D7" s="31">
        <v>2017</v>
      </c>
      <c r="E7" s="31" t="s">
        <v>20</v>
      </c>
      <c r="F7" s="31" t="s">
        <v>21</v>
      </c>
      <c r="G7" s="31" t="s">
        <v>22</v>
      </c>
      <c r="H7" s="31" t="s">
        <v>23</v>
      </c>
      <c r="I7" s="31" t="s">
        <v>24</v>
      </c>
      <c r="J7" s="31" t="s">
        <v>25</v>
      </c>
      <c r="K7" s="31" t="s">
        <v>26</v>
      </c>
      <c r="L7" s="31" t="s">
        <v>27</v>
      </c>
      <c r="M7" s="31" t="s">
        <v>28</v>
      </c>
      <c r="N7" s="31" t="s">
        <v>29</v>
      </c>
      <c r="O7" s="31" t="s">
        <v>30</v>
      </c>
      <c r="P7" s="31" t="s">
        <v>954</v>
      </c>
    </row>
    <row r="8" spans="1:43" ht="15.5">
      <c r="B8" s="171"/>
      <c r="C8" s="105"/>
      <c r="D8" s="105"/>
      <c r="E8" s="105"/>
      <c r="F8" s="105"/>
      <c r="G8" s="105"/>
      <c r="H8" s="105"/>
      <c r="I8" s="105"/>
      <c r="J8" s="105"/>
      <c r="K8" s="105"/>
      <c r="L8" s="105"/>
      <c r="M8" s="105"/>
      <c r="N8" s="105"/>
      <c r="O8" s="105"/>
    </row>
    <row r="9" spans="1:43" ht="15.5">
      <c r="B9" s="172" t="s">
        <v>31</v>
      </c>
      <c r="C9" s="10">
        <v>1303189</v>
      </c>
      <c r="D9" s="10">
        <v>777045</v>
      </c>
      <c r="E9" s="10">
        <v>151913</v>
      </c>
      <c r="F9" s="10">
        <v>174569</v>
      </c>
      <c r="G9" s="10">
        <v>145130</v>
      </c>
      <c r="H9" s="10">
        <v>519400</v>
      </c>
      <c r="I9" s="10">
        <v>222479</v>
      </c>
      <c r="J9" s="10">
        <v>368582</v>
      </c>
      <c r="K9" s="10">
        <v>330344</v>
      </c>
      <c r="L9" s="10">
        <v>519864</v>
      </c>
      <c r="M9" s="10">
        <v>315675</v>
      </c>
      <c r="N9" s="10">
        <v>392306</v>
      </c>
      <c r="O9" s="10">
        <v>617628</v>
      </c>
      <c r="P9" s="10">
        <f>2194300-O9-N9-M9</f>
        <v>868691</v>
      </c>
    </row>
    <row r="10" spans="1:43" ht="15.5">
      <c r="B10" s="172" t="s">
        <v>32</v>
      </c>
      <c r="C10" s="10">
        <v>1259856</v>
      </c>
      <c r="D10" s="10">
        <v>751031</v>
      </c>
      <c r="E10" s="10">
        <v>143392</v>
      </c>
      <c r="F10" s="10">
        <v>168951</v>
      </c>
      <c r="G10" s="10">
        <v>134987</v>
      </c>
      <c r="H10" s="10">
        <v>209921</v>
      </c>
      <c r="I10" s="10">
        <v>134437</v>
      </c>
      <c r="J10" s="10">
        <v>206523</v>
      </c>
      <c r="K10" s="10">
        <v>241195</v>
      </c>
      <c r="L10" s="10">
        <v>373468</v>
      </c>
      <c r="M10" s="10">
        <v>296938</v>
      </c>
      <c r="N10" s="10">
        <v>372794</v>
      </c>
      <c r="O10" s="10">
        <v>473739</v>
      </c>
      <c r="P10" s="10">
        <f>1628854-O10-N10-M10</f>
        <v>485383</v>
      </c>
    </row>
    <row r="11" spans="1:43" ht="15.5">
      <c r="B11" s="232" t="s">
        <v>33</v>
      </c>
      <c r="C11" s="11">
        <v>43333</v>
      </c>
      <c r="D11" s="11">
        <v>26014</v>
      </c>
      <c r="E11" s="11">
        <v>8521</v>
      </c>
      <c r="F11" s="11">
        <v>5618</v>
      </c>
      <c r="G11" s="11">
        <v>10143</v>
      </c>
      <c r="H11" s="11">
        <v>309479</v>
      </c>
      <c r="I11" s="11">
        <v>88042</v>
      </c>
      <c r="J11" s="11">
        <v>162059</v>
      </c>
      <c r="K11" s="11">
        <v>89149</v>
      </c>
      <c r="L11" s="11">
        <v>146396</v>
      </c>
      <c r="M11" s="11">
        <v>18737</v>
      </c>
      <c r="N11" s="11">
        <v>19512</v>
      </c>
      <c r="O11" s="11">
        <v>143889</v>
      </c>
      <c r="P11" s="11">
        <f>+P9-P10</f>
        <v>383308</v>
      </c>
    </row>
    <row r="12" spans="1:43" ht="15.5">
      <c r="B12" s="172"/>
      <c r="C12" s="10"/>
      <c r="D12" s="10"/>
      <c r="E12" s="10"/>
      <c r="F12" s="10"/>
      <c r="G12" s="10"/>
      <c r="H12" s="10"/>
      <c r="I12" s="10"/>
      <c r="J12" s="10"/>
      <c r="K12" s="10"/>
      <c r="L12" s="10"/>
      <c r="M12" s="10"/>
      <c r="N12" s="10"/>
      <c r="O12" s="10"/>
      <c r="P12" s="10"/>
    </row>
    <row r="13" spans="1:43" ht="15.5">
      <c r="B13" s="172" t="s">
        <v>34</v>
      </c>
      <c r="C13" s="10">
        <v>8738226</v>
      </c>
      <c r="D13" s="10">
        <v>4335715</v>
      </c>
      <c r="E13" s="10">
        <v>969721</v>
      </c>
      <c r="F13" s="10">
        <v>910044</v>
      </c>
      <c r="G13" s="10">
        <v>1378425</v>
      </c>
      <c r="H13" s="10">
        <v>1144556</v>
      </c>
      <c r="I13" s="10">
        <v>1140208</v>
      </c>
      <c r="J13" s="10">
        <v>1258709</v>
      </c>
      <c r="K13" s="10">
        <v>1158653</v>
      </c>
      <c r="L13" s="10">
        <v>1225917</v>
      </c>
      <c r="M13" s="10">
        <v>1307469</v>
      </c>
      <c r="N13" s="10">
        <v>1810003</v>
      </c>
      <c r="O13" s="10">
        <v>1297177</v>
      </c>
      <c r="P13" s="10">
        <f>4915021+1056979-O13-N13-M13</f>
        <v>1557351</v>
      </c>
    </row>
    <row r="14" spans="1:43" ht="15.5">
      <c r="B14" s="172" t="s">
        <v>35</v>
      </c>
      <c r="C14" s="10">
        <v>211553</v>
      </c>
      <c r="D14" s="10">
        <v>223979</v>
      </c>
      <c r="E14" s="10">
        <v>56086</v>
      </c>
      <c r="F14" s="10">
        <v>57126</v>
      </c>
      <c r="G14" s="10">
        <v>59056</v>
      </c>
      <c r="H14" s="10">
        <v>60620</v>
      </c>
      <c r="I14" s="10">
        <v>58700</v>
      </c>
      <c r="J14" s="10">
        <v>60150</v>
      </c>
      <c r="K14" s="10">
        <v>62983</v>
      </c>
      <c r="L14" s="10">
        <v>61922</v>
      </c>
      <c r="M14" s="10">
        <v>62775</v>
      </c>
      <c r="N14" s="10">
        <v>63492</v>
      </c>
      <c r="O14" s="10">
        <v>65946</v>
      </c>
      <c r="P14" s="10">
        <f>260201-O14-N14-M14</f>
        <v>67988</v>
      </c>
    </row>
    <row r="15" spans="1:43" ht="15.5">
      <c r="B15" s="172" t="s">
        <v>36</v>
      </c>
      <c r="C15" s="10">
        <v>1126331</v>
      </c>
      <c r="D15" s="10">
        <v>1088430</v>
      </c>
      <c r="E15" s="10">
        <v>265986</v>
      </c>
      <c r="F15" s="10">
        <v>253788</v>
      </c>
      <c r="G15" s="10">
        <v>230163</v>
      </c>
      <c r="H15" s="10">
        <v>265923</v>
      </c>
      <c r="I15" s="10">
        <v>261113</v>
      </c>
      <c r="J15" s="10">
        <v>272995</v>
      </c>
      <c r="K15" s="10">
        <v>274916</v>
      </c>
      <c r="L15" s="10">
        <v>280055</v>
      </c>
      <c r="M15" s="10">
        <v>238508</v>
      </c>
      <c r="N15" s="10">
        <v>261797</v>
      </c>
      <c r="O15" s="10">
        <v>253735</v>
      </c>
      <c r="P15" s="10">
        <f>1120376-O15-N15-M15</f>
        <v>366336</v>
      </c>
    </row>
    <row r="16" spans="1:43" ht="15.5">
      <c r="B16" s="172" t="s">
        <v>37</v>
      </c>
      <c r="C16" s="10">
        <v>75112</v>
      </c>
      <c r="D16" s="10">
        <v>83402</v>
      </c>
      <c r="E16" s="10">
        <v>21235</v>
      </c>
      <c r="F16" s="10">
        <v>21477</v>
      </c>
      <c r="G16" s="10">
        <v>21604</v>
      </c>
      <c r="H16" s="10">
        <v>21653</v>
      </c>
      <c r="I16" s="10">
        <v>22759</v>
      </c>
      <c r="J16" s="10">
        <v>23083</v>
      </c>
      <c r="K16" s="10">
        <v>23273</v>
      </c>
      <c r="L16" s="10">
        <v>23398</v>
      </c>
      <c r="M16" s="10">
        <v>25324</v>
      </c>
      <c r="N16" s="10">
        <v>25662</v>
      </c>
      <c r="O16" s="10">
        <v>25439</v>
      </c>
      <c r="P16" s="10">
        <f>101969-O16-N16-M16</f>
        <v>25544</v>
      </c>
    </row>
    <row r="17" spans="2:16" ht="15.5">
      <c r="B17" s="172" t="s">
        <v>38</v>
      </c>
      <c r="C17" s="10">
        <v>39625</v>
      </c>
      <c r="D17" s="10">
        <v>32644</v>
      </c>
      <c r="E17" s="10">
        <v>7275</v>
      </c>
      <c r="F17" s="10">
        <v>10330</v>
      </c>
      <c r="G17" s="10">
        <v>9911</v>
      </c>
      <c r="H17" s="10">
        <v>13137</v>
      </c>
      <c r="I17" s="10">
        <v>10535</v>
      </c>
      <c r="J17" s="10">
        <v>12341</v>
      </c>
      <c r="K17" s="10">
        <v>13277</v>
      </c>
      <c r="L17" s="10">
        <v>12572</v>
      </c>
      <c r="M17" s="10">
        <v>12167</v>
      </c>
      <c r="N17" s="10">
        <v>13982</v>
      </c>
      <c r="O17" s="10">
        <v>13188</v>
      </c>
      <c r="P17" s="10">
        <f>53754-O17-N17-M17</f>
        <v>14417</v>
      </c>
    </row>
    <row r="18" spans="2:16" ht="15.5">
      <c r="B18" s="172" t="s">
        <v>39</v>
      </c>
      <c r="C18" s="10">
        <v>337167</v>
      </c>
      <c r="D18" s="10">
        <v>345386</v>
      </c>
      <c r="E18" s="10">
        <v>80606</v>
      </c>
      <c r="F18" s="10">
        <v>80373</v>
      </c>
      <c r="G18" s="10">
        <v>78648</v>
      </c>
      <c r="H18" s="10">
        <v>85095</v>
      </c>
      <c r="I18" s="10">
        <v>82804</v>
      </c>
      <c r="J18" s="10">
        <v>87319</v>
      </c>
      <c r="K18" s="10">
        <v>87360</v>
      </c>
      <c r="L18" s="10">
        <v>101557</v>
      </c>
      <c r="M18" s="10">
        <v>90327</v>
      </c>
      <c r="N18" s="10">
        <v>96428</v>
      </c>
      <c r="O18" s="10">
        <v>96017</v>
      </c>
      <c r="P18" s="10">
        <f>379168-O18-N18-M18</f>
        <v>96396</v>
      </c>
    </row>
    <row r="19" spans="2:16" ht="15.5">
      <c r="B19" s="172" t="s">
        <v>40</v>
      </c>
      <c r="C19" s="10">
        <v>61423</v>
      </c>
      <c r="D19" s="10">
        <v>67664</v>
      </c>
      <c r="E19" s="10">
        <v>78364</v>
      </c>
      <c r="F19" s="10">
        <v>20591</v>
      </c>
      <c r="G19" s="10">
        <v>22017</v>
      </c>
      <c r="H19" s="10">
        <v>19889</v>
      </c>
      <c r="I19" s="10">
        <v>17567</v>
      </c>
      <c r="J19" s="10">
        <v>18145</v>
      </c>
      <c r="K19" s="10">
        <v>20543</v>
      </c>
      <c r="L19" s="10">
        <v>24885</v>
      </c>
      <c r="M19" s="10">
        <v>17328</v>
      </c>
      <c r="N19" s="10">
        <v>17268</v>
      </c>
      <c r="O19" s="10">
        <v>21536</v>
      </c>
      <c r="P19" s="10">
        <f>86058-O19-N19-M19</f>
        <v>29926</v>
      </c>
    </row>
    <row r="20" spans="2:16" ht="15.5">
      <c r="B20" s="172" t="s">
        <v>41</v>
      </c>
      <c r="C20" s="10">
        <v>1708947</v>
      </c>
      <c r="D20" s="10">
        <v>1764077</v>
      </c>
      <c r="E20" s="10">
        <v>417515</v>
      </c>
      <c r="F20" s="10">
        <v>413924</v>
      </c>
      <c r="G20" s="10">
        <v>416013</v>
      </c>
      <c r="H20" s="10">
        <v>517759</v>
      </c>
      <c r="I20" s="10">
        <v>454460</v>
      </c>
      <c r="J20" s="10">
        <v>469804</v>
      </c>
      <c r="K20" s="10">
        <v>484688</v>
      </c>
      <c r="L20" s="10">
        <v>488827</v>
      </c>
      <c r="M20" s="10">
        <v>453207</v>
      </c>
      <c r="N20" s="10">
        <v>455659</v>
      </c>
      <c r="O20" s="10">
        <v>436740</v>
      </c>
      <c r="P20" s="10">
        <f>1965513-O20-N20-M20</f>
        <v>619907</v>
      </c>
    </row>
    <row r="21" spans="2:16" ht="15.5">
      <c r="B21" s="232" t="s">
        <v>42</v>
      </c>
      <c r="C21" s="11">
        <v>8880490</v>
      </c>
      <c r="D21" s="11">
        <v>4413143</v>
      </c>
      <c r="E21" s="11">
        <v>1061758</v>
      </c>
      <c r="F21" s="11">
        <v>939805</v>
      </c>
      <c r="G21" s="11">
        <v>1383811</v>
      </c>
      <c r="H21" s="11">
        <v>1093114</v>
      </c>
      <c r="I21" s="11">
        <v>1139226</v>
      </c>
      <c r="J21" s="11">
        <v>1262938</v>
      </c>
      <c r="K21" s="11">
        <v>1156317</v>
      </c>
      <c r="L21" s="11">
        <v>1241479</v>
      </c>
      <c r="M21" s="11">
        <v>1300691</v>
      </c>
      <c r="N21" s="11">
        <v>1832973</v>
      </c>
      <c r="O21" s="11">
        <v>1336298</v>
      </c>
      <c r="P21" s="11">
        <f>+SUM(P13:P19)-P20</f>
        <v>1538051</v>
      </c>
    </row>
    <row r="22" spans="2:16" ht="15.5">
      <c r="B22" s="174" t="s">
        <v>43</v>
      </c>
      <c r="C22" s="131">
        <v>8923823</v>
      </c>
      <c r="D22" s="131">
        <v>4439157</v>
      </c>
      <c r="E22" s="131">
        <v>1070279</v>
      </c>
      <c r="F22" s="131">
        <v>945423</v>
      </c>
      <c r="G22" s="131">
        <v>1393954</v>
      </c>
      <c r="H22" s="131">
        <v>1402593</v>
      </c>
      <c r="I22" s="131">
        <v>1227268</v>
      </c>
      <c r="J22" s="131">
        <v>1424997</v>
      </c>
      <c r="K22" s="131">
        <v>1245466</v>
      </c>
      <c r="L22" s="131">
        <v>1387875</v>
      </c>
      <c r="M22" s="131">
        <v>1319428</v>
      </c>
      <c r="N22" s="131">
        <v>1852485</v>
      </c>
      <c r="O22" s="131">
        <v>1480187</v>
      </c>
      <c r="P22" s="131">
        <f>+P11+P21</f>
        <v>1921359</v>
      </c>
    </row>
    <row r="23" spans="2:16" ht="15.5">
      <c r="B23" s="171"/>
      <c r="C23" s="105"/>
      <c r="D23" s="105"/>
      <c r="E23" s="105"/>
      <c r="F23" s="105"/>
      <c r="G23" s="105"/>
      <c r="H23" s="105"/>
      <c r="I23" s="105"/>
      <c r="J23" s="105"/>
      <c r="K23" s="105"/>
      <c r="L23" s="105"/>
      <c r="M23" s="105"/>
      <c r="N23" s="105"/>
      <c r="O23" s="105"/>
      <c r="P23" s="105"/>
    </row>
    <row r="24" spans="2:16" ht="15.5">
      <c r="B24" s="172" t="s">
        <v>44</v>
      </c>
      <c r="C24" s="10">
        <v>668843</v>
      </c>
      <c r="D24" s="10">
        <v>630639</v>
      </c>
      <c r="E24" s="10">
        <v>181503</v>
      </c>
      <c r="F24" s="10">
        <v>184218</v>
      </c>
      <c r="G24" s="10">
        <v>200071</v>
      </c>
      <c r="H24" s="10">
        <v>215324</v>
      </c>
      <c r="I24" s="10">
        <v>188306</v>
      </c>
      <c r="J24" s="10">
        <v>199288</v>
      </c>
      <c r="K24" s="10">
        <v>215028</v>
      </c>
      <c r="L24" s="10">
        <v>222683</v>
      </c>
      <c r="M24" s="10">
        <v>230613</v>
      </c>
      <c r="N24" s="10">
        <v>247392</v>
      </c>
      <c r="O24" s="10">
        <v>270115</v>
      </c>
      <c r="P24" s="10">
        <f>996830-O24-N24-M24</f>
        <v>248710</v>
      </c>
    </row>
    <row r="25" spans="2:16" ht="15.5">
      <c r="B25" s="172" t="s">
        <v>45</v>
      </c>
      <c r="C25" s="10">
        <v>233690</v>
      </c>
      <c r="D25" s="10">
        <v>139291</v>
      </c>
      <c r="E25" s="10">
        <v>37879</v>
      </c>
      <c r="F25" s="10">
        <v>39191</v>
      </c>
      <c r="G25" s="10">
        <v>112373</v>
      </c>
      <c r="H25" s="10">
        <v>48931</v>
      </c>
      <c r="I25" s="10">
        <v>35000</v>
      </c>
      <c r="J25" s="10">
        <v>60841</v>
      </c>
      <c r="K25" s="10">
        <v>75155</v>
      </c>
      <c r="L25" s="10">
        <v>42732</v>
      </c>
      <c r="M25" s="10">
        <v>64790</v>
      </c>
      <c r="N25" s="10">
        <v>-24921</v>
      </c>
      <c r="O25" s="10">
        <v>79510</v>
      </c>
      <c r="P25" s="10">
        <f>519366-O25-N25-M25</f>
        <v>399987</v>
      </c>
    </row>
    <row r="26" spans="2:16" ht="15.5">
      <c r="B26" s="172" t="s">
        <v>46</v>
      </c>
      <c r="C26" s="10">
        <v>14564</v>
      </c>
      <c r="D26" s="10">
        <v>179116</v>
      </c>
      <c r="E26" s="10">
        <v>10184</v>
      </c>
      <c r="F26" s="10">
        <v>20650</v>
      </c>
      <c r="G26" s="10">
        <v>12733</v>
      </c>
      <c r="H26" s="10">
        <v>-41341</v>
      </c>
      <c r="I26" s="10">
        <v>8045</v>
      </c>
      <c r="J26" s="10">
        <v>3628</v>
      </c>
      <c r="K26" s="10">
        <v>5987</v>
      </c>
      <c r="L26" s="10">
        <v>52152</v>
      </c>
      <c r="M26" s="10">
        <v>9555</v>
      </c>
      <c r="N26" s="10">
        <v>97334</v>
      </c>
      <c r="O26" s="10">
        <v>-1327</v>
      </c>
      <c r="P26" s="10">
        <f>115334-O26-N26-M26</f>
        <v>9772</v>
      </c>
    </row>
    <row r="27" spans="2:16" ht="15.5">
      <c r="B27" s="174" t="s">
        <v>47</v>
      </c>
      <c r="C27" s="132">
        <v>8503234</v>
      </c>
      <c r="D27" s="132">
        <v>4126925</v>
      </c>
      <c r="E27" s="132">
        <v>936839</v>
      </c>
      <c r="F27" s="132">
        <v>821046</v>
      </c>
      <c r="G27" s="132">
        <v>1318989</v>
      </c>
      <c r="H27" s="132">
        <v>1194859</v>
      </c>
      <c r="I27" s="132">
        <v>1082007</v>
      </c>
      <c r="J27" s="132">
        <v>1290178</v>
      </c>
      <c r="K27" s="132">
        <v>1111580</v>
      </c>
      <c r="L27" s="132">
        <v>1260076</v>
      </c>
      <c r="M27" s="132">
        <v>1163160</v>
      </c>
      <c r="N27" s="132">
        <v>1677506</v>
      </c>
      <c r="O27" s="132">
        <v>1288255</v>
      </c>
      <c r="P27" s="132">
        <f>+P22-P24+P25+P26</f>
        <v>2082408</v>
      </c>
    </row>
    <row r="28" spans="2:16" ht="15.5">
      <c r="B28" s="172"/>
      <c r="C28" s="10"/>
      <c r="D28" s="10"/>
      <c r="E28" s="10"/>
      <c r="F28" s="10"/>
      <c r="G28" s="10"/>
      <c r="H28" s="10"/>
      <c r="I28" s="10"/>
      <c r="J28" s="10"/>
      <c r="K28" s="10"/>
      <c r="L28" s="10"/>
      <c r="M28" s="10"/>
      <c r="N28" s="10"/>
      <c r="O28" s="10"/>
      <c r="P28" s="10"/>
    </row>
    <row r="29" spans="2:16" ht="15.5">
      <c r="B29" s="172" t="s">
        <v>48</v>
      </c>
      <c r="C29" s="10">
        <v>-1033341</v>
      </c>
      <c r="D29" s="10">
        <v>-866819</v>
      </c>
      <c r="E29" s="10">
        <v>-282504</v>
      </c>
      <c r="F29" s="10">
        <v>-257605</v>
      </c>
      <c r="G29" s="10">
        <v>-287933</v>
      </c>
      <c r="H29" s="10">
        <v>-259570</v>
      </c>
      <c r="I29" s="10">
        <v>-267279</v>
      </c>
      <c r="J29" s="10">
        <v>-335663</v>
      </c>
      <c r="K29" s="10">
        <v>-308126</v>
      </c>
      <c r="L29" s="10">
        <v>-301596</v>
      </c>
      <c r="M29" s="10">
        <v>-336026</v>
      </c>
      <c r="N29" s="10">
        <v>-299787</v>
      </c>
      <c r="O29" s="10">
        <v>-294009</v>
      </c>
      <c r="P29" s="10">
        <f>-1372872-O29-N29-M29</f>
        <v>-443050</v>
      </c>
    </row>
    <row r="30" spans="2:16" ht="15.5">
      <c r="B30" s="174" t="s">
        <v>49</v>
      </c>
      <c r="C30" s="132">
        <v>7469893</v>
      </c>
      <c r="D30" s="132">
        <v>3260106</v>
      </c>
      <c r="E30" s="132">
        <v>654335</v>
      </c>
      <c r="F30" s="132">
        <v>563441</v>
      </c>
      <c r="G30" s="132">
        <v>1031056</v>
      </c>
      <c r="H30" s="132">
        <v>935289</v>
      </c>
      <c r="I30" s="132">
        <v>814728</v>
      </c>
      <c r="J30" s="132">
        <v>954515</v>
      </c>
      <c r="K30" s="132">
        <v>803454</v>
      </c>
      <c r="L30" s="132">
        <v>958480</v>
      </c>
      <c r="M30" s="132">
        <v>827134</v>
      </c>
      <c r="N30" s="132">
        <v>1377719</v>
      </c>
      <c r="O30" s="132">
        <v>994246</v>
      </c>
      <c r="P30" s="132">
        <f>+P27+P29</f>
        <v>1639358</v>
      </c>
    </row>
    <row r="31" spans="2:16" ht="15.5">
      <c r="B31" s="171"/>
      <c r="C31" s="105"/>
      <c r="D31" s="105"/>
      <c r="E31" s="105"/>
      <c r="F31" s="105"/>
      <c r="G31" s="105"/>
      <c r="H31" s="105"/>
      <c r="I31" s="105"/>
      <c r="J31" s="105"/>
      <c r="K31" s="105"/>
      <c r="L31" s="105"/>
      <c r="M31" s="105"/>
      <c r="N31" s="105"/>
      <c r="O31" s="105"/>
      <c r="P31" s="105"/>
    </row>
    <row r="32" spans="2:16" ht="15.5">
      <c r="B32" s="172" t="s">
        <v>50</v>
      </c>
      <c r="C32" s="10">
        <v>2452158</v>
      </c>
      <c r="D32" s="10">
        <v>916298</v>
      </c>
      <c r="E32" s="10">
        <v>193757</v>
      </c>
      <c r="F32" s="10">
        <v>182166</v>
      </c>
      <c r="G32" s="10">
        <v>248363</v>
      </c>
      <c r="H32" s="10">
        <v>-40559</v>
      </c>
      <c r="I32" s="10">
        <v>233948</v>
      </c>
      <c r="J32" s="10">
        <v>240825</v>
      </c>
      <c r="K32" s="10">
        <v>158852</v>
      </c>
      <c r="L32" s="10">
        <v>139191</v>
      </c>
      <c r="M32" s="10">
        <v>198865</v>
      </c>
      <c r="N32" s="10">
        <v>377798</v>
      </c>
      <c r="O32" s="10">
        <v>250380</v>
      </c>
      <c r="P32" s="10">
        <f>1074232-O32-N32-M32</f>
        <v>247189</v>
      </c>
    </row>
    <row r="33" spans="2:16" ht="15.5">
      <c r="B33" s="174" t="s">
        <v>51</v>
      </c>
      <c r="C33" s="132">
        <v>5017735</v>
      </c>
      <c r="D33" s="132">
        <v>2343808</v>
      </c>
      <c r="E33" s="132">
        <v>460578</v>
      </c>
      <c r="F33" s="132">
        <v>381275</v>
      </c>
      <c r="G33" s="132">
        <v>782693</v>
      </c>
      <c r="H33" s="132">
        <v>975848</v>
      </c>
      <c r="I33" s="132">
        <v>580780</v>
      </c>
      <c r="J33" s="132">
        <v>713690</v>
      </c>
      <c r="K33" s="132">
        <v>644602</v>
      </c>
      <c r="L33" s="132">
        <v>819289</v>
      </c>
      <c r="M33" s="132">
        <v>628269</v>
      </c>
      <c r="N33" s="132">
        <v>999921</v>
      </c>
      <c r="O33" s="132">
        <v>743866</v>
      </c>
      <c r="P33" s="132">
        <f>+P30-P32</f>
        <v>1392169</v>
      </c>
    </row>
    <row r="34" spans="2:16" ht="15.5">
      <c r="B34" s="232"/>
      <c r="C34" s="11"/>
      <c r="D34" s="11"/>
      <c r="E34" s="11"/>
      <c r="F34" s="11"/>
      <c r="G34" s="11"/>
      <c r="H34" s="11"/>
      <c r="I34" s="11"/>
      <c r="J34" s="11"/>
      <c r="K34" s="11"/>
      <c r="L34" s="11"/>
      <c r="M34" s="11"/>
      <c r="N34" s="11"/>
      <c r="O34" s="11"/>
      <c r="P34" s="11"/>
    </row>
    <row r="35" spans="2:16" ht="15.5">
      <c r="B35" s="172" t="s">
        <v>52</v>
      </c>
      <c r="C35" s="10">
        <v>2881106</v>
      </c>
      <c r="D35" s="10">
        <v>905872</v>
      </c>
      <c r="E35" s="10">
        <v>163004</v>
      </c>
      <c r="F35" s="10">
        <v>149018</v>
      </c>
      <c r="G35" s="10">
        <v>369666</v>
      </c>
      <c r="H35" s="10">
        <v>394324</v>
      </c>
      <c r="I35" s="10">
        <v>227655</v>
      </c>
      <c r="J35" s="10">
        <v>274600</v>
      </c>
      <c r="K35" s="10">
        <v>238751</v>
      </c>
      <c r="L35" s="10">
        <v>378623</v>
      </c>
      <c r="M35" s="10">
        <v>249762</v>
      </c>
      <c r="N35" s="10">
        <v>449505</v>
      </c>
      <c r="O35" s="10">
        <v>260099</v>
      </c>
      <c r="P35" s="10">
        <f>1705034-O35-N35-M35</f>
        <v>745668</v>
      </c>
    </row>
    <row r="36" spans="2:16" ht="15.5">
      <c r="B36" s="174" t="s">
        <v>53</v>
      </c>
      <c r="C36" s="132">
        <v>2136629</v>
      </c>
      <c r="D36" s="132">
        <v>1437936</v>
      </c>
      <c r="E36" s="132">
        <v>297574</v>
      </c>
      <c r="F36" s="132">
        <v>232257</v>
      </c>
      <c r="G36" s="132">
        <v>413027</v>
      </c>
      <c r="H36" s="132">
        <v>581524</v>
      </c>
      <c r="I36" s="132">
        <v>353125</v>
      </c>
      <c r="J36" s="132">
        <v>439090</v>
      </c>
      <c r="K36" s="132">
        <v>405851</v>
      </c>
      <c r="L36" s="132">
        <v>440666</v>
      </c>
      <c r="M36" s="132">
        <v>378507</v>
      </c>
      <c r="N36" s="132">
        <v>550416</v>
      </c>
      <c r="O36" s="132">
        <v>483767</v>
      </c>
      <c r="P36" s="132">
        <f>+P33-P35</f>
        <v>646501</v>
      </c>
    </row>
    <row r="37" spans="2:16" ht="15.5">
      <c r="B37" s="233"/>
    </row>
    <row r="38" spans="2:16" ht="15.5">
      <c r="B38" s="233"/>
    </row>
    <row r="39" spans="2:16" ht="15.5">
      <c r="B39" s="233"/>
    </row>
    <row r="40" spans="2:16" ht="15">
      <c r="B40" s="12" t="s">
        <v>54</v>
      </c>
      <c r="C40" s="8"/>
      <c r="D40" s="8"/>
      <c r="E40" s="8"/>
      <c r="F40" s="8"/>
      <c r="G40" s="8"/>
      <c r="H40" s="13"/>
      <c r="I40" s="13"/>
      <c r="J40" s="13"/>
      <c r="K40" s="13"/>
      <c r="L40" s="13"/>
    </row>
    <row r="41" spans="2:16" ht="15">
      <c r="B41" s="14" t="s">
        <v>55</v>
      </c>
      <c r="C41" s="8"/>
      <c r="D41" s="8"/>
      <c r="E41" s="8"/>
      <c r="F41" s="8"/>
      <c r="G41" s="8"/>
      <c r="H41" s="15"/>
      <c r="I41" s="15"/>
      <c r="J41" s="15"/>
      <c r="K41" s="15"/>
      <c r="L41" s="15"/>
    </row>
    <row r="42" spans="2:16" ht="15.5">
      <c r="B42" s="179"/>
      <c r="C42" s="8"/>
      <c r="D42" s="8"/>
      <c r="E42" s="8"/>
      <c r="F42" s="8"/>
      <c r="G42" s="8"/>
      <c r="H42" s="16"/>
      <c r="I42" s="16"/>
      <c r="J42" s="16"/>
      <c r="K42" s="16"/>
      <c r="L42" s="16"/>
    </row>
    <row r="43" spans="2:16" ht="16" thickBot="1">
      <c r="B43" s="180"/>
      <c r="C43" s="17"/>
      <c r="D43" s="17"/>
      <c r="E43" s="17"/>
      <c r="F43" s="17"/>
      <c r="G43" s="17"/>
      <c r="H43" s="17"/>
      <c r="I43" s="17"/>
      <c r="J43" s="17"/>
      <c r="K43" s="17"/>
      <c r="L43" s="17"/>
      <c r="M43" s="17"/>
      <c r="N43" s="17"/>
      <c r="O43" s="17"/>
      <c r="P43" s="17"/>
    </row>
    <row r="44" spans="2:16" ht="15.5" thickBot="1">
      <c r="B44" s="182" t="s">
        <v>56</v>
      </c>
      <c r="C44" s="19"/>
      <c r="D44" s="19"/>
      <c r="E44" s="19"/>
      <c r="F44" s="19"/>
      <c r="G44" s="19"/>
      <c r="H44" s="19"/>
      <c r="I44" s="19"/>
      <c r="J44" s="19"/>
      <c r="K44" s="19"/>
      <c r="L44" s="19"/>
      <c r="M44" s="19"/>
      <c r="N44" s="18"/>
      <c r="O44" s="18"/>
      <c r="P44" s="18"/>
    </row>
    <row r="45" spans="2:16" ht="15.5" thickBot="1">
      <c r="B45" s="184" t="s">
        <v>57</v>
      </c>
      <c r="C45" s="20"/>
      <c r="D45" s="20"/>
      <c r="E45" s="20"/>
      <c r="F45" s="20"/>
      <c r="G45" s="20"/>
      <c r="H45" s="20"/>
      <c r="I45" s="20"/>
      <c r="J45" s="20"/>
      <c r="K45" s="20"/>
      <c r="L45" s="20"/>
      <c r="M45" s="20"/>
      <c r="N45" s="20"/>
      <c r="O45" s="20"/>
      <c r="P45" s="20"/>
    </row>
    <row r="46" spans="2:16" ht="15.5" thickBot="1">
      <c r="B46" s="186" t="s">
        <v>58</v>
      </c>
      <c r="C46" s="21">
        <v>1146761</v>
      </c>
      <c r="D46" s="21">
        <v>1541551</v>
      </c>
      <c r="E46" s="21">
        <v>1628454</v>
      </c>
      <c r="F46" s="21">
        <v>1622252</v>
      </c>
      <c r="G46" s="21">
        <v>1801289</v>
      </c>
      <c r="H46" s="21">
        <v>1522060</v>
      </c>
      <c r="I46" s="21">
        <v>1831109</v>
      </c>
      <c r="J46" s="21">
        <v>1757502</v>
      </c>
      <c r="K46" s="21">
        <v>1542056</v>
      </c>
      <c r="L46" s="21">
        <v>2487201</v>
      </c>
      <c r="M46" s="21">
        <v>2797801</v>
      </c>
      <c r="N46" s="21">
        <v>3541940</v>
      </c>
      <c r="O46" s="21">
        <v>3570166.3160000001</v>
      </c>
      <c r="P46" s="616">
        <v>3781713</v>
      </c>
    </row>
    <row r="47" spans="2:16" ht="15.5" thickBot="1">
      <c r="B47" s="186" t="s">
        <v>59</v>
      </c>
      <c r="C47" s="21">
        <v>3828360</v>
      </c>
      <c r="D47" s="21">
        <v>4390555</v>
      </c>
      <c r="E47" s="21">
        <v>4337409</v>
      </c>
      <c r="F47" s="21">
        <v>4049690</v>
      </c>
      <c r="G47" s="21">
        <v>4615663</v>
      </c>
      <c r="H47" s="21">
        <v>4845365</v>
      </c>
      <c r="I47" s="21">
        <v>4730855</v>
      </c>
      <c r="J47" s="21">
        <v>5926728</v>
      </c>
      <c r="K47" s="21">
        <v>6221853</v>
      </c>
      <c r="L47" s="21">
        <v>6337727</v>
      </c>
      <c r="M47" s="21">
        <v>4930958</v>
      </c>
      <c r="N47" s="21">
        <v>4855048</v>
      </c>
      <c r="O47" s="21">
        <v>4858695.693</v>
      </c>
      <c r="P47" s="616">
        <v>5171007</v>
      </c>
    </row>
    <row r="48" spans="2:16" ht="15.5" thickBot="1">
      <c r="B48" s="186" t="s">
        <v>60</v>
      </c>
      <c r="C48" s="21">
        <v>463818</v>
      </c>
      <c r="D48" s="21">
        <v>309451</v>
      </c>
      <c r="E48" s="21">
        <v>458949</v>
      </c>
      <c r="F48" s="21">
        <v>607518</v>
      </c>
      <c r="G48" s="21">
        <v>678584</v>
      </c>
      <c r="H48" s="21">
        <v>316730</v>
      </c>
      <c r="I48" s="21">
        <v>303134</v>
      </c>
      <c r="J48" s="21">
        <v>406480</v>
      </c>
      <c r="K48" s="21">
        <v>479061</v>
      </c>
      <c r="L48" s="21">
        <v>247981</v>
      </c>
      <c r="M48" s="21">
        <v>305749</v>
      </c>
      <c r="N48" s="21">
        <v>398388</v>
      </c>
      <c r="O48" s="21">
        <v>474583.12900000002</v>
      </c>
      <c r="P48" s="616">
        <v>260466</v>
      </c>
    </row>
    <row r="49" spans="2:16" ht="15.5" thickBot="1">
      <c r="B49" s="186" t="s">
        <v>61</v>
      </c>
      <c r="C49" s="21">
        <v>101743</v>
      </c>
      <c r="D49" s="21">
        <v>83481</v>
      </c>
      <c r="E49" s="21">
        <v>77289</v>
      </c>
      <c r="F49" s="21">
        <v>80026</v>
      </c>
      <c r="G49" s="21">
        <v>79889</v>
      </c>
      <c r="H49" s="21">
        <v>98271</v>
      </c>
      <c r="I49" s="21">
        <v>90607</v>
      </c>
      <c r="J49" s="21">
        <v>90452</v>
      </c>
      <c r="K49" s="21">
        <v>93743</v>
      </c>
      <c r="L49" s="21">
        <v>151527</v>
      </c>
      <c r="M49" s="21">
        <v>120948</v>
      </c>
      <c r="N49" s="21">
        <v>98789</v>
      </c>
      <c r="O49" s="21">
        <v>108311.74099999999</v>
      </c>
      <c r="P49" s="616">
        <v>100645</v>
      </c>
    </row>
    <row r="50" spans="2:16" ht="15.5" thickBot="1">
      <c r="B50" s="186" t="s">
        <v>62</v>
      </c>
      <c r="C50" s="21">
        <v>132491</v>
      </c>
      <c r="D50" s="21">
        <v>95357</v>
      </c>
      <c r="E50" s="21">
        <v>144122</v>
      </c>
      <c r="F50" s="21">
        <v>153863</v>
      </c>
      <c r="G50" s="21">
        <v>213114</v>
      </c>
      <c r="H50" s="21">
        <v>241757</v>
      </c>
      <c r="I50" s="21">
        <v>255342</v>
      </c>
      <c r="J50" s="21">
        <v>247279</v>
      </c>
      <c r="K50" s="21">
        <v>264265</v>
      </c>
      <c r="L50" s="21">
        <v>225219</v>
      </c>
      <c r="M50" s="21">
        <v>341073</v>
      </c>
      <c r="N50" s="21">
        <v>276307</v>
      </c>
      <c r="O50" s="21">
        <v>396207.973</v>
      </c>
      <c r="P50" s="616">
        <v>394877</v>
      </c>
    </row>
    <row r="51" spans="2:16" ht="15.5" thickBot="1">
      <c r="B51" s="186" t="s">
        <v>63</v>
      </c>
      <c r="C51" s="21">
        <v>0</v>
      </c>
      <c r="D51" s="21">
        <v>335</v>
      </c>
      <c r="E51" s="21">
        <v>5000</v>
      </c>
      <c r="F51" s="21">
        <v>2160</v>
      </c>
      <c r="G51" s="21">
        <v>603</v>
      </c>
      <c r="H51" s="21">
        <v>31</v>
      </c>
      <c r="I51" s="21">
        <v>575</v>
      </c>
      <c r="J51" s="21">
        <v>4625</v>
      </c>
      <c r="K51" s="21">
        <v>7426</v>
      </c>
      <c r="L51" s="21">
        <v>126</v>
      </c>
      <c r="M51" s="21">
        <v>98</v>
      </c>
      <c r="N51" s="21">
        <v>164</v>
      </c>
      <c r="O51" s="21">
        <v>189.69200000000001</v>
      </c>
      <c r="P51" s="616">
        <v>77</v>
      </c>
    </row>
    <row r="52" spans="2:16" ht="15.5" thickBot="1">
      <c r="B52" s="188" t="s">
        <v>64</v>
      </c>
      <c r="C52" s="22">
        <v>5673173</v>
      </c>
      <c r="D52" s="22">
        <v>6420730</v>
      </c>
      <c r="E52" s="22">
        <v>6651223</v>
      </c>
      <c r="F52" s="22">
        <v>6515509</v>
      </c>
      <c r="G52" s="22">
        <v>7389142</v>
      </c>
      <c r="H52" s="22">
        <v>7024214</v>
      </c>
      <c r="I52" s="22">
        <v>7211622</v>
      </c>
      <c r="J52" s="22">
        <v>8433066</v>
      </c>
      <c r="K52" s="22">
        <v>8608404</v>
      </c>
      <c r="L52" s="22">
        <v>9449781</v>
      </c>
      <c r="M52" s="22">
        <v>8496627</v>
      </c>
      <c r="N52" s="22">
        <v>9170636</v>
      </c>
      <c r="O52" s="22">
        <v>9408154.5439999998</v>
      </c>
      <c r="P52" s="617">
        <f t="shared" ref="P52" si="0">SUM(P46:P51)</f>
        <v>9708785</v>
      </c>
    </row>
    <row r="53" spans="2:16" ht="15.5" thickBot="1">
      <c r="B53" s="184" t="s">
        <v>65</v>
      </c>
      <c r="C53" s="20"/>
      <c r="D53" s="20"/>
      <c r="E53" s="20"/>
      <c r="F53" s="20"/>
      <c r="G53" s="20"/>
      <c r="H53" s="20"/>
      <c r="I53" s="20"/>
      <c r="J53" s="20"/>
      <c r="K53" s="20"/>
      <c r="L53" s="20"/>
      <c r="M53" s="20"/>
      <c r="N53" s="20"/>
      <c r="O53" s="20"/>
      <c r="P53" s="618"/>
    </row>
    <row r="54" spans="2:16" ht="15.5" thickBot="1">
      <c r="B54" s="186" t="s">
        <v>66</v>
      </c>
      <c r="C54" s="21">
        <v>60495</v>
      </c>
      <c r="D54" s="21">
        <v>78204</v>
      </c>
      <c r="E54" s="21">
        <v>88224</v>
      </c>
      <c r="F54" s="21">
        <v>124375</v>
      </c>
      <c r="G54" s="21">
        <v>88533</v>
      </c>
      <c r="H54" s="21">
        <v>339007</v>
      </c>
      <c r="I54" s="21">
        <v>266055</v>
      </c>
      <c r="J54" s="21">
        <v>195559</v>
      </c>
      <c r="K54" s="21">
        <v>114913</v>
      </c>
      <c r="L54" s="21">
        <v>97347</v>
      </c>
      <c r="M54" s="21">
        <v>78828</v>
      </c>
      <c r="N54" s="21">
        <v>363474</v>
      </c>
      <c r="O54" s="21">
        <v>238183.84899999999</v>
      </c>
      <c r="P54" s="616">
        <v>217646</v>
      </c>
    </row>
    <row r="55" spans="2:16" ht="15.5" thickBot="1">
      <c r="B55" s="186" t="s">
        <v>67</v>
      </c>
      <c r="C55" s="21">
        <v>0</v>
      </c>
      <c r="D55" s="21">
        <v>46870</v>
      </c>
      <c r="E55" s="21">
        <v>43303</v>
      </c>
      <c r="F55" s="21">
        <v>44649</v>
      </c>
      <c r="G55" s="21">
        <v>46680</v>
      </c>
      <c r="H55" s="21">
        <v>27241</v>
      </c>
      <c r="I55" s="21">
        <v>27736</v>
      </c>
      <c r="J55" s="21">
        <v>26279</v>
      </c>
      <c r="K55" s="21">
        <v>30994</v>
      </c>
      <c r="L55" s="21">
        <v>6174</v>
      </c>
      <c r="M55" s="21">
        <v>13453</v>
      </c>
      <c r="N55" s="21">
        <v>20611</v>
      </c>
      <c r="O55" s="21">
        <v>25327.063999999998</v>
      </c>
      <c r="P55" s="616">
        <v>5156</v>
      </c>
    </row>
    <row r="56" spans="2:16" ht="15.5" thickBot="1">
      <c r="B56" s="186" t="s">
        <v>68</v>
      </c>
      <c r="C56" s="21">
        <v>1690711</v>
      </c>
      <c r="D56" s="21">
        <v>3093842</v>
      </c>
      <c r="E56" s="21">
        <v>2921736</v>
      </c>
      <c r="F56" s="21">
        <v>2717913</v>
      </c>
      <c r="G56" s="21">
        <v>2669320</v>
      </c>
      <c r="H56" s="21">
        <v>2871781</v>
      </c>
      <c r="I56" s="21">
        <v>2886392</v>
      </c>
      <c r="J56" s="21">
        <v>3001307</v>
      </c>
      <c r="K56" s="21">
        <v>3079648</v>
      </c>
      <c r="L56" s="21">
        <v>3119350</v>
      </c>
      <c r="M56" s="21">
        <v>3231320</v>
      </c>
      <c r="N56" s="21">
        <v>2861797</v>
      </c>
      <c r="O56" s="21">
        <v>2942426.4249999998</v>
      </c>
      <c r="P56" s="616">
        <v>3124526</v>
      </c>
    </row>
    <row r="57" spans="2:16" ht="15.5" thickBot="1">
      <c r="B57" s="186" t="s">
        <v>69</v>
      </c>
      <c r="C57" s="21">
        <v>16315</v>
      </c>
      <c r="D57" s="21">
        <v>16335</v>
      </c>
      <c r="E57" s="21">
        <v>16335</v>
      </c>
      <c r="F57" s="21">
        <v>16332</v>
      </c>
      <c r="G57" s="21">
        <v>16332</v>
      </c>
      <c r="H57" s="21">
        <v>15478</v>
      </c>
      <c r="I57" s="21">
        <v>15478</v>
      </c>
      <c r="J57" s="21">
        <v>15478</v>
      </c>
      <c r="K57" s="21">
        <v>15478</v>
      </c>
      <c r="L57" s="21">
        <v>15478</v>
      </c>
      <c r="M57" s="21">
        <v>16572</v>
      </c>
      <c r="N57" s="21">
        <v>16723</v>
      </c>
      <c r="O57" s="21">
        <v>17101.956999999999</v>
      </c>
      <c r="P57" s="616">
        <v>17102</v>
      </c>
    </row>
    <row r="58" spans="2:16" ht="15.5" thickBot="1">
      <c r="B58" s="186" t="s">
        <v>59</v>
      </c>
      <c r="C58" s="21">
        <v>16569813</v>
      </c>
      <c r="D58" s="21">
        <v>17609166</v>
      </c>
      <c r="E58" s="21">
        <v>16116400</v>
      </c>
      <c r="F58" s="21">
        <v>14908284</v>
      </c>
      <c r="G58" s="21">
        <v>15015133</v>
      </c>
      <c r="H58" s="21">
        <v>16896526</v>
      </c>
      <c r="I58" s="21">
        <v>16821004</v>
      </c>
      <c r="J58" s="21">
        <v>17488539</v>
      </c>
      <c r="K58" s="21">
        <v>17313005</v>
      </c>
      <c r="L58" s="21">
        <v>16769982</v>
      </c>
      <c r="M58" s="21">
        <v>17490328</v>
      </c>
      <c r="N58" s="21">
        <v>16435742</v>
      </c>
      <c r="O58" s="21">
        <v>17130598.372000001</v>
      </c>
      <c r="P58" s="616">
        <v>18845990</v>
      </c>
    </row>
    <row r="59" spans="2:16" ht="15.5" thickBot="1">
      <c r="B59" s="186" t="s">
        <v>70</v>
      </c>
      <c r="C59" s="21">
        <v>72931</v>
      </c>
      <c r="D59" s="21">
        <v>85778</v>
      </c>
      <c r="E59" s="21">
        <v>72025</v>
      </c>
      <c r="F59" s="21">
        <v>67498</v>
      </c>
      <c r="G59" s="21">
        <v>66431</v>
      </c>
      <c r="H59" s="21">
        <v>63359</v>
      </c>
      <c r="I59" s="21">
        <v>62277</v>
      </c>
      <c r="J59" s="21">
        <v>63439</v>
      </c>
      <c r="K59" s="21">
        <v>66037</v>
      </c>
      <c r="L59" s="21">
        <v>64808</v>
      </c>
      <c r="M59" s="21">
        <v>84407</v>
      </c>
      <c r="N59" s="21">
        <v>65428</v>
      </c>
      <c r="O59" s="21">
        <v>62449.442000000003</v>
      </c>
      <c r="P59" s="616">
        <v>64521</v>
      </c>
    </row>
    <row r="60" spans="2:16" ht="15.5" thickBot="1">
      <c r="B60" s="186" t="s">
        <v>71</v>
      </c>
      <c r="C60" s="21">
        <v>7761835</v>
      </c>
      <c r="D60" s="21">
        <v>9056402</v>
      </c>
      <c r="E60" s="21">
        <v>9134609</v>
      </c>
      <c r="F60" s="21">
        <v>9545706</v>
      </c>
      <c r="G60" s="21">
        <v>9777637</v>
      </c>
      <c r="H60" s="21">
        <v>10195114</v>
      </c>
      <c r="I60" s="21">
        <v>10333190</v>
      </c>
      <c r="J60" s="21">
        <v>10256896</v>
      </c>
      <c r="K60" s="21">
        <v>10687625</v>
      </c>
      <c r="L60" s="21">
        <v>11095458</v>
      </c>
      <c r="M60" s="21">
        <v>12043453</v>
      </c>
      <c r="N60" s="21">
        <v>11747471</v>
      </c>
      <c r="O60" s="21">
        <v>12189428.210999999</v>
      </c>
      <c r="P60" s="616">
        <v>11954611</v>
      </c>
    </row>
    <row r="61" spans="2:16" ht="15.5" thickBot="1">
      <c r="B61" s="186" t="s">
        <v>72</v>
      </c>
      <c r="C61" s="21">
        <v>0</v>
      </c>
      <c r="D61" s="21">
        <v>0</v>
      </c>
      <c r="E61" s="21">
        <v>0</v>
      </c>
      <c r="F61" s="21">
        <v>0</v>
      </c>
      <c r="G61" s="21">
        <v>0</v>
      </c>
      <c r="H61" s="21">
        <v>0</v>
      </c>
      <c r="I61" s="21">
        <v>0</v>
      </c>
      <c r="J61" s="21">
        <v>0</v>
      </c>
      <c r="K61" s="21">
        <v>0</v>
      </c>
      <c r="L61" s="21">
        <v>0</v>
      </c>
      <c r="M61" s="21">
        <v>0</v>
      </c>
      <c r="N61" s="21">
        <v>0</v>
      </c>
      <c r="O61" s="21">
        <v>0</v>
      </c>
      <c r="P61" s="616">
        <v>0</v>
      </c>
    </row>
    <row r="62" spans="2:16" ht="15.5" thickBot="1">
      <c r="B62" s="186" t="s">
        <v>73</v>
      </c>
      <c r="C62" s="21">
        <v>0</v>
      </c>
      <c r="D62" s="21">
        <v>0</v>
      </c>
      <c r="E62" s="21">
        <v>0</v>
      </c>
      <c r="F62" s="21">
        <v>0</v>
      </c>
      <c r="G62" s="21">
        <v>0</v>
      </c>
      <c r="H62" s="21">
        <v>0</v>
      </c>
      <c r="I62" s="21">
        <v>0</v>
      </c>
      <c r="J62" s="21">
        <v>0</v>
      </c>
      <c r="K62" s="21">
        <v>0</v>
      </c>
      <c r="L62" s="21">
        <v>0</v>
      </c>
      <c r="M62" s="21">
        <v>0</v>
      </c>
      <c r="N62" s="21">
        <v>0</v>
      </c>
      <c r="O62" s="21">
        <v>0</v>
      </c>
      <c r="P62" s="616">
        <v>0</v>
      </c>
    </row>
    <row r="63" spans="2:16" ht="15.5" thickBot="1">
      <c r="B63" s="186" t="s">
        <v>74</v>
      </c>
      <c r="C63" s="21">
        <v>6179860</v>
      </c>
      <c r="D63" s="21">
        <v>6424494</v>
      </c>
      <c r="E63" s="21">
        <v>6010730</v>
      </c>
      <c r="F63" s="21">
        <v>6258157</v>
      </c>
      <c r="G63" s="21">
        <v>6297004</v>
      </c>
      <c r="H63" s="21">
        <v>6827331</v>
      </c>
      <c r="I63" s="21">
        <v>6639257</v>
      </c>
      <c r="J63" s="21">
        <v>6898749</v>
      </c>
      <c r="K63" s="21">
        <v>7331560</v>
      </c>
      <c r="L63" s="21">
        <v>7055014</v>
      </c>
      <c r="M63" s="21">
        <v>8583520</v>
      </c>
      <c r="N63" s="21">
        <v>8026572</v>
      </c>
      <c r="O63" s="21">
        <v>8948239.9680000003</v>
      </c>
      <c r="P63" s="616">
        <v>8112598</v>
      </c>
    </row>
    <row r="64" spans="2:16" ht="15.5" thickBot="1">
      <c r="B64" s="186" t="s">
        <v>62</v>
      </c>
      <c r="C64" s="21">
        <v>67802</v>
      </c>
      <c r="D64" s="21">
        <v>65015</v>
      </c>
      <c r="E64" s="21">
        <v>58212</v>
      </c>
      <c r="F64" s="21">
        <v>60609</v>
      </c>
      <c r="G64" s="21">
        <v>60989</v>
      </c>
      <c r="H64" s="21">
        <v>93676</v>
      </c>
      <c r="I64" s="21">
        <v>97570</v>
      </c>
      <c r="J64" s="21">
        <v>97748</v>
      </c>
      <c r="K64" s="21">
        <v>96536</v>
      </c>
      <c r="L64" s="21">
        <v>106428</v>
      </c>
      <c r="M64" s="21">
        <v>96500</v>
      </c>
      <c r="N64" s="21">
        <v>70755</v>
      </c>
      <c r="O64" s="21">
        <v>78723.960999999996</v>
      </c>
      <c r="P64" s="616">
        <v>128094</v>
      </c>
    </row>
    <row r="65" spans="2:16" ht="15.5" thickBot="1">
      <c r="B65" s="186" t="s">
        <v>75</v>
      </c>
      <c r="C65" s="21">
        <v>415450</v>
      </c>
      <c r="D65" s="21">
        <v>504264</v>
      </c>
      <c r="E65" s="21">
        <v>463029</v>
      </c>
      <c r="F65" s="21">
        <v>448246</v>
      </c>
      <c r="G65" s="21">
        <v>464027</v>
      </c>
      <c r="H65" s="21">
        <v>591278</v>
      </c>
      <c r="I65" s="21">
        <v>642483</v>
      </c>
      <c r="J65" s="21">
        <v>724702</v>
      </c>
      <c r="K65" s="21">
        <v>834493</v>
      </c>
      <c r="L65" s="21">
        <v>791388</v>
      </c>
      <c r="M65" s="21">
        <v>965854</v>
      </c>
      <c r="N65" s="21">
        <v>907704</v>
      </c>
      <c r="O65" s="21">
        <v>1018011.673</v>
      </c>
      <c r="P65" s="616">
        <v>1608436</v>
      </c>
    </row>
    <row r="66" spans="2:16" ht="15.5" thickBot="1">
      <c r="B66" s="186" t="s">
        <v>76</v>
      </c>
      <c r="C66" s="21">
        <v>0</v>
      </c>
      <c r="D66" s="21">
        <v>7401</v>
      </c>
      <c r="E66" s="21">
        <v>2980</v>
      </c>
      <c r="F66" s="21">
        <v>7459</v>
      </c>
      <c r="G66" s="21">
        <v>7074</v>
      </c>
      <c r="H66" s="21">
        <v>22514</v>
      </c>
      <c r="I66" s="21">
        <v>23831</v>
      </c>
      <c r="J66" s="21">
        <v>63565</v>
      </c>
      <c r="K66" s="21">
        <v>61386</v>
      </c>
      <c r="L66" s="21">
        <v>220311</v>
      </c>
      <c r="M66" s="21">
        <v>239071</v>
      </c>
      <c r="N66" s="21">
        <v>213124</v>
      </c>
      <c r="O66" s="21">
        <v>220874.481</v>
      </c>
      <c r="P66" s="616">
        <v>224569</v>
      </c>
    </row>
    <row r="67" spans="2:16" ht="15.5" thickBot="1">
      <c r="B67" s="186" t="s">
        <v>77</v>
      </c>
      <c r="C67" s="21">
        <v>0</v>
      </c>
      <c r="D67" s="21">
        <v>0</v>
      </c>
      <c r="E67" s="21">
        <v>0</v>
      </c>
      <c r="F67" s="21">
        <v>0</v>
      </c>
      <c r="G67" s="21">
        <v>0</v>
      </c>
      <c r="H67" s="21">
        <v>0</v>
      </c>
      <c r="I67" s="21">
        <v>0</v>
      </c>
      <c r="J67" s="21">
        <v>0</v>
      </c>
      <c r="K67" s="21">
        <v>0</v>
      </c>
      <c r="L67" s="21">
        <v>1390</v>
      </c>
      <c r="M67" s="21">
        <v>0</v>
      </c>
      <c r="N67" s="21">
        <v>1782</v>
      </c>
      <c r="O67" s="21">
        <v>409.58699999999999</v>
      </c>
      <c r="P67" s="616">
        <v>402</v>
      </c>
    </row>
    <row r="68" spans="2:16" ht="15.5" thickBot="1">
      <c r="B68" s="186" t="s">
        <v>63</v>
      </c>
      <c r="C68" s="21">
        <v>0</v>
      </c>
      <c r="D68" s="21">
        <v>0</v>
      </c>
      <c r="E68" s="21">
        <v>1216</v>
      </c>
      <c r="F68" s="21">
        <v>151</v>
      </c>
      <c r="G68" s="21">
        <v>2</v>
      </c>
      <c r="H68" s="21">
        <v>335</v>
      </c>
      <c r="I68" s="21">
        <v>389</v>
      </c>
      <c r="J68" s="21">
        <v>337</v>
      </c>
      <c r="K68" s="21">
        <v>337</v>
      </c>
      <c r="L68" s="21">
        <v>335</v>
      </c>
      <c r="M68" s="21">
        <v>337</v>
      </c>
      <c r="N68" s="21">
        <v>337</v>
      </c>
      <c r="O68" s="21">
        <v>336.62700000000001</v>
      </c>
      <c r="P68" s="616">
        <v>17287</v>
      </c>
    </row>
    <row r="69" spans="2:16" ht="15.5" thickBot="1">
      <c r="B69" s="184" t="s">
        <v>78</v>
      </c>
      <c r="C69" s="23">
        <v>32835212</v>
      </c>
      <c r="D69" s="23">
        <v>36987771</v>
      </c>
      <c r="E69" s="23">
        <v>34928799</v>
      </c>
      <c r="F69" s="23">
        <v>34199379</v>
      </c>
      <c r="G69" s="23">
        <v>34509162</v>
      </c>
      <c r="H69" s="23">
        <v>37943640</v>
      </c>
      <c r="I69" s="23">
        <v>37815662</v>
      </c>
      <c r="J69" s="23">
        <v>38832598</v>
      </c>
      <c r="K69" s="23">
        <v>39632012</v>
      </c>
      <c r="L69" s="23">
        <v>39343463</v>
      </c>
      <c r="M69" s="23">
        <v>42843643</v>
      </c>
      <c r="N69" s="23">
        <v>40731520</v>
      </c>
      <c r="O69" s="23">
        <v>42872111.616999999</v>
      </c>
      <c r="P69" s="619">
        <f t="shared" ref="P69" si="1">SUM(P54:P68)</f>
        <v>44320938</v>
      </c>
    </row>
    <row r="70" spans="2:16" ht="15.5" thickBot="1">
      <c r="B70" s="192" t="s">
        <v>79</v>
      </c>
      <c r="C70" s="24">
        <v>38508385</v>
      </c>
      <c r="D70" s="24">
        <v>43408501</v>
      </c>
      <c r="E70" s="24">
        <v>41580022</v>
      </c>
      <c r="F70" s="24">
        <v>40714888</v>
      </c>
      <c r="G70" s="24">
        <v>41898304</v>
      </c>
      <c r="H70" s="24">
        <v>44967854</v>
      </c>
      <c r="I70" s="24">
        <v>45027284</v>
      </c>
      <c r="J70" s="24">
        <v>47265664</v>
      </c>
      <c r="K70" s="24">
        <v>48240416</v>
      </c>
      <c r="L70" s="24">
        <v>48793244</v>
      </c>
      <c r="M70" s="24">
        <v>51340270</v>
      </c>
      <c r="N70" s="24">
        <v>49902156</v>
      </c>
      <c r="O70" s="24">
        <v>52280266.160999998</v>
      </c>
      <c r="P70" s="620">
        <f t="shared" ref="P70" si="2">+P52+P69</f>
        <v>54029723</v>
      </c>
    </row>
    <row r="71" spans="2:16" ht="15.5" thickBot="1">
      <c r="B71" s="195"/>
      <c r="C71" s="25"/>
      <c r="D71" s="25"/>
      <c r="E71" s="25"/>
      <c r="F71" s="25"/>
      <c r="G71" s="25"/>
      <c r="H71" s="25"/>
      <c r="I71" s="25"/>
      <c r="J71" s="25"/>
      <c r="K71" s="25"/>
      <c r="L71" s="25"/>
      <c r="M71" s="25"/>
      <c r="N71" s="25"/>
      <c r="O71" s="25"/>
    </row>
    <row r="72" spans="2:16" ht="15.5" thickBot="1">
      <c r="B72" s="182" t="s">
        <v>80</v>
      </c>
      <c r="C72" s="26"/>
      <c r="D72" s="26"/>
      <c r="E72" s="26"/>
      <c r="F72" s="26"/>
      <c r="G72" s="26"/>
      <c r="H72" s="26"/>
      <c r="I72" s="26"/>
      <c r="J72" s="26"/>
      <c r="K72" s="26"/>
      <c r="L72" s="26"/>
      <c r="M72" s="26"/>
      <c r="N72" s="26"/>
      <c r="O72" s="26"/>
      <c r="P72" s="621"/>
    </row>
    <row r="73" spans="2:16" ht="15.5" thickBot="1">
      <c r="B73" s="184" t="s">
        <v>81</v>
      </c>
      <c r="C73" s="27"/>
      <c r="D73" s="27"/>
      <c r="E73" s="27"/>
      <c r="F73" s="27"/>
      <c r="G73" s="27"/>
      <c r="H73" s="27"/>
      <c r="I73" s="27"/>
      <c r="J73" s="27"/>
      <c r="K73" s="27"/>
      <c r="L73" s="27"/>
      <c r="M73" s="27"/>
      <c r="N73" s="27"/>
      <c r="O73" s="27"/>
      <c r="P73" s="622"/>
    </row>
    <row r="74" spans="2:16" ht="15.5" thickBot="1">
      <c r="B74" s="186" t="s">
        <v>82</v>
      </c>
      <c r="C74" s="21">
        <v>1674203</v>
      </c>
      <c r="D74" s="21">
        <v>1603839</v>
      </c>
      <c r="E74" s="21">
        <v>1412122</v>
      </c>
      <c r="F74" s="21">
        <v>1563656</v>
      </c>
      <c r="G74" s="21">
        <v>1614296</v>
      </c>
      <c r="H74" s="21">
        <v>1751632</v>
      </c>
      <c r="I74" s="21">
        <v>1592926</v>
      </c>
      <c r="J74" s="21">
        <v>1406427</v>
      </c>
      <c r="K74" s="21">
        <v>1787726</v>
      </c>
      <c r="L74" s="21">
        <v>1698041</v>
      </c>
      <c r="M74" s="21">
        <v>2222137</v>
      </c>
      <c r="N74" s="21">
        <v>2360855</v>
      </c>
      <c r="O74" s="21">
        <v>1590591.1680000001</v>
      </c>
      <c r="P74" s="616">
        <v>1266015</v>
      </c>
    </row>
    <row r="75" spans="2:16" ht="15.5" thickBot="1">
      <c r="B75" s="186" t="s">
        <v>83</v>
      </c>
      <c r="C75" s="21">
        <v>905227</v>
      </c>
      <c r="D75" s="21">
        <v>779013</v>
      </c>
      <c r="E75" s="21">
        <v>1206346</v>
      </c>
      <c r="F75" s="21">
        <v>1133748</v>
      </c>
      <c r="G75" s="21">
        <v>762854</v>
      </c>
      <c r="H75" s="21">
        <v>635442</v>
      </c>
      <c r="I75" s="21">
        <v>1271533</v>
      </c>
      <c r="J75" s="21">
        <v>1202679</v>
      </c>
      <c r="K75" s="21">
        <v>887582</v>
      </c>
      <c r="L75" s="21">
        <v>973517</v>
      </c>
      <c r="M75" s="21">
        <v>1703190</v>
      </c>
      <c r="N75" s="21">
        <v>1444107</v>
      </c>
      <c r="O75" s="21">
        <v>1194236.534</v>
      </c>
      <c r="P75" s="616">
        <v>1186631</v>
      </c>
    </row>
    <row r="76" spans="2:16" ht="15.5" thickBot="1">
      <c r="B76" s="186" t="s">
        <v>84</v>
      </c>
      <c r="C76" s="21">
        <v>0</v>
      </c>
      <c r="D76" s="21">
        <v>53</v>
      </c>
      <c r="E76" s="21">
        <v>68400</v>
      </c>
      <c r="F76" s="21">
        <v>2075</v>
      </c>
      <c r="G76" s="21">
        <v>99</v>
      </c>
      <c r="H76" s="21">
        <v>0</v>
      </c>
      <c r="I76" s="21">
        <v>0</v>
      </c>
      <c r="J76" s="21">
        <v>0</v>
      </c>
      <c r="K76" s="21">
        <v>62</v>
      </c>
      <c r="L76" s="21">
        <v>59</v>
      </c>
      <c r="M76" s="21">
        <v>75</v>
      </c>
      <c r="N76" s="21">
        <v>73</v>
      </c>
      <c r="O76" s="21">
        <v>0</v>
      </c>
      <c r="P76" s="616">
        <v>62</v>
      </c>
    </row>
    <row r="77" spans="2:16" ht="15.5" thickBot="1">
      <c r="B77" s="186" t="s">
        <v>85</v>
      </c>
      <c r="C77" s="21">
        <v>73253</v>
      </c>
      <c r="D77" s="21">
        <v>83690</v>
      </c>
      <c r="E77" s="21">
        <v>61445</v>
      </c>
      <c r="F77" s="21">
        <v>70305</v>
      </c>
      <c r="G77" s="21">
        <v>84674</v>
      </c>
      <c r="H77" s="21">
        <v>99330</v>
      </c>
      <c r="I77" s="21">
        <v>89182</v>
      </c>
      <c r="J77" s="21">
        <v>91977</v>
      </c>
      <c r="K77" s="21">
        <v>117996</v>
      </c>
      <c r="L77" s="21">
        <v>101658</v>
      </c>
      <c r="M77" s="21">
        <v>95984</v>
      </c>
      <c r="N77" s="21">
        <v>102107</v>
      </c>
      <c r="O77" s="21">
        <v>128523.75199999999</v>
      </c>
      <c r="P77" s="616">
        <v>120979</v>
      </c>
    </row>
    <row r="78" spans="2:16" ht="15.5" thickBot="1">
      <c r="B78" s="186" t="s">
        <v>60</v>
      </c>
      <c r="C78" s="21">
        <v>245065</v>
      </c>
      <c r="D78" s="21">
        <v>407912</v>
      </c>
      <c r="E78" s="21">
        <v>494984</v>
      </c>
      <c r="F78" s="21">
        <v>635223</v>
      </c>
      <c r="G78" s="21">
        <v>799047</v>
      </c>
      <c r="H78" s="21">
        <v>251656</v>
      </c>
      <c r="I78" s="21">
        <v>380708</v>
      </c>
      <c r="J78" s="21">
        <v>518227</v>
      </c>
      <c r="K78" s="21">
        <v>589799</v>
      </c>
      <c r="L78" s="21">
        <v>268197</v>
      </c>
      <c r="M78" s="21">
        <v>357015</v>
      </c>
      <c r="N78" s="21">
        <v>470736</v>
      </c>
      <c r="O78" s="21">
        <v>618913.03799999994</v>
      </c>
      <c r="P78" s="616">
        <v>376021</v>
      </c>
    </row>
    <row r="79" spans="2:16" ht="15.5" thickBot="1">
      <c r="B79" s="186" t="s">
        <v>86</v>
      </c>
      <c r="C79" s="21">
        <v>537283</v>
      </c>
      <c r="D79" s="21">
        <v>121006</v>
      </c>
      <c r="E79" s="21">
        <v>116647</v>
      </c>
      <c r="F79" s="21">
        <v>128507</v>
      </c>
      <c r="G79" s="21">
        <v>125220</v>
      </c>
      <c r="H79" s="21">
        <v>95924</v>
      </c>
      <c r="I79" s="21">
        <v>141933</v>
      </c>
      <c r="J79" s="21">
        <v>140934</v>
      </c>
      <c r="K79" s="21">
        <v>146155</v>
      </c>
      <c r="L79" s="21">
        <v>551058</v>
      </c>
      <c r="M79" s="21">
        <v>334793</v>
      </c>
      <c r="N79" s="21">
        <v>275555</v>
      </c>
      <c r="O79" s="21">
        <v>277686.89199999999</v>
      </c>
      <c r="P79" s="616">
        <v>368985</v>
      </c>
    </row>
    <row r="80" spans="2:16" ht="15.5" thickBot="1">
      <c r="B80" s="186" t="s">
        <v>87</v>
      </c>
      <c r="C80" s="21">
        <v>229713</v>
      </c>
      <c r="D80" s="21">
        <v>114763</v>
      </c>
      <c r="E80" s="21">
        <v>121031</v>
      </c>
      <c r="F80" s="21">
        <v>122952</v>
      </c>
      <c r="G80" s="21">
        <v>110771</v>
      </c>
      <c r="H80" s="21">
        <v>89795</v>
      </c>
      <c r="I80" s="21">
        <v>109794</v>
      </c>
      <c r="J80" s="21">
        <v>112964</v>
      </c>
      <c r="K80" s="21">
        <v>117632</v>
      </c>
      <c r="L80" s="21">
        <v>82557</v>
      </c>
      <c r="M80" s="21">
        <v>84482</v>
      </c>
      <c r="N80" s="21">
        <v>84413</v>
      </c>
      <c r="O80" s="21">
        <v>85246.808000000005</v>
      </c>
      <c r="P80" s="616">
        <v>84348</v>
      </c>
    </row>
    <row r="81" spans="2:16" ht="15.5" thickBot="1">
      <c r="B81" s="186" t="s">
        <v>88</v>
      </c>
      <c r="C81" s="21">
        <v>0</v>
      </c>
      <c r="D81" s="21">
        <v>0</v>
      </c>
      <c r="E81" s="21">
        <v>219</v>
      </c>
      <c r="F81" s="21">
        <v>0</v>
      </c>
      <c r="G81" s="21">
        <v>0</v>
      </c>
      <c r="H81" s="21">
        <v>0</v>
      </c>
      <c r="I81" s="21">
        <v>0</v>
      </c>
      <c r="J81" s="21">
        <v>0</v>
      </c>
      <c r="K81" s="21">
        <v>0</v>
      </c>
      <c r="L81" s="21">
        <v>0</v>
      </c>
      <c r="M81" s="21">
        <v>0</v>
      </c>
      <c r="N81" s="21">
        <v>0</v>
      </c>
      <c r="O81" s="21">
        <v>0</v>
      </c>
      <c r="P81" s="616">
        <v>0</v>
      </c>
    </row>
    <row r="82" spans="2:16" ht="15.5" thickBot="1">
      <c r="B82" s="184" t="s">
        <v>89</v>
      </c>
      <c r="C82" s="23">
        <v>3664744</v>
      </c>
      <c r="D82" s="23">
        <v>3110276</v>
      </c>
      <c r="E82" s="23">
        <v>3481194</v>
      </c>
      <c r="F82" s="23">
        <v>3656466</v>
      </c>
      <c r="G82" s="23">
        <v>3496961</v>
      </c>
      <c r="H82" s="23">
        <v>2923779</v>
      </c>
      <c r="I82" s="23">
        <v>3586076</v>
      </c>
      <c r="J82" s="23">
        <v>3473208</v>
      </c>
      <c r="K82" s="23">
        <v>3646952</v>
      </c>
      <c r="L82" s="23">
        <v>3675087</v>
      </c>
      <c r="M82" s="23">
        <v>4797676</v>
      </c>
      <c r="N82" s="23">
        <v>4737846</v>
      </c>
      <c r="O82" s="23">
        <v>3895198.1919999998</v>
      </c>
      <c r="P82" s="619">
        <f t="shared" ref="P82" si="3">SUM(P74:P81)</f>
        <v>3403041</v>
      </c>
    </row>
    <row r="83" spans="2:16" ht="15.5" thickBot="1">
      <c r="B83" s="200" t="s">
        <v>90</v>
      </c>
      <c r="C83" s="28"/>
      <c r="D83" s="28"/>
      <c r="E83" s="28"/>
      <c r="F83" s="28"/>
      <c r="G83" s="28"/>
      <c r="H83" s="28"/>
      <c r="I83" s="28"/>
      <c r="J83" s="28"/>
      <c r="K83" s="28"/>
      <c r="L83" s="28"/>
      <c r="M83" s="28"/>
      <c r="N83" s="28"/>
      <c r="O83" s="28"/>
      <c r="P83" s="623"/>
    </row>
    <row r="84" spans="2:16" ht="15.5" thickBot="1">
      <c r="B84" s="186" t="s">
        <v>82</v>
      </c>
      <c r="C84" s="21">
        <v>10797222</v>
      </c>
      <c r="D84" s="21">
        <v>14085189</v>
      </c>
      <c r="E84" s="21">
        <v>13786538</v>
      </c>
      <c r="F84" s="21">
        <v>13870661</v>
      </c>
      <c r="G84" s="21">
        <v>14522384</v>
      </c>
      <c r="H84" s="21">
        <v>15438954</v>
      </c>
      <c r="I84" s="21">
        <v>15477291</v>
      </c>
      <c r="J84" s="21">
        <v>16611023</v>
      </c>
      <c r="K84" s="21">
        <v>16604521</v>
      </c>
      <c r="L84" s="21">
        <v>16059516</v>
      </c>
      <c r="M84" s="21">
        <v>17827828</v>
      </c>
      <c r="N84" s="21">
        <v>17883592</v>
      </c>
      <c r="O84" s="21">
        <v>19779190.577</v>
      </c>
      <c r="P84" s="616">
        <v>21202820</v>
      </c>
    </row>
    <row r="85" spans="2:16" ht="15.5" thickBot="1">
      <c r="B85" s="186" t="s">
        <v>83</v>
      </c>
      <c r="C85" s="21">
        <v>979227</v>
      </c>
      <c r="D85" s="21">
        <v>994998</v>
      </c>
      <c r="E85" s="21">
        <v>873259</v>
      </c>
      <c r="F85" s="21">
        <v>856131</v>
      </c>
      <c r="G85" s="21">
        <v>844531</v>
      </c>
      <c r="H85" s="21">
        <v>908158</v>
      </c>
      <c r="I85" s="21">
        <v>876310</v>
      </c>
      <c r="J85" s="21">
        <v>942608</v>
      </c>
      <c r="K85" s="21">
        <v>921570</v>
      </c>
      <c r="L85" s="21">
        <v>974314</v>
      </c>
      <c r="M85" s="21">
        <v>1018639</v>
      </c>
      <c r="N85" s="21">
        <v>1030325</v>
      </c>
      <c r="O85" s="21">
        <v>1078282.1229999999</v>
      </c>
      <c r="P85" s="616">
        <v>1100365</v>
      </c>
    </row>
    <row r="86" spans="2:16" ht="15.5" thickBot="1">
      <c r="B86" s="186" t="s">
        <v>91</v>
      </c>
      <c r="C86" s="21">
        <v>482</v>
      </c>
      <c r="D86" s="21">
        <v>294</v>
      </c>
      <c r="E86" s="21">
        <v>3143</v>
      </c>
      <c r="F86" s="21">
        <v>2471</v>
      </c>
      <c r="G86" s="21">
        <v>49</v>
      </c>
      <c r="H86" s="21">
        <v>0</v>
      </c>
      <c r="I86" s="21">
        <v>0</v>
      </c>
      <c r="J86" s="21">
        <v>0</v>
      </c>
      <c r="K86" s="21">
        <v>0</v>
      </c>
      <c r="L86" s="21">
        <v>0</v>
      </c>
      <c r="M86" s="21">
        <v>0</v>
      </c>
      <c r="N86" s="21">
        <v>0</v>
      </c>
      <c r="O86" s="21">
        <v>0</v>
      </c>
      <c r="P86" s="616">
        <v>0</v>
      </c>
    </row>
    <row r="87" spans="2:16" ht="15.5" thickBot="1">
      <c r="B87" s="186" t="s">
        <v>67</v>
      </c>
      <c r="C87" s="21">
        <v>1041742</v>
      </c>
      <c r="D87" s="21">
        <v>1054405</v>
      </c>
      <c r="E87" s="21">
        <v>958397</v>
      </c>
      <c r="F87" s="21">
        <v>855667</v>
      </c>
      <c r="G87" s="21">
        <v>851055</v>
      </c>
      <c r="H87" s="21">
        <v>986905</v>
      </c>
      <c r="I87" s="21">
        <v>975881</v>
      </c>
      <c r="J87" s="21">
        <v>1018136</v>
      </c>
      <c r="K87" s="21">
        <v>991260</v>
      </c>
      <c r="L87" s="21">
        <v>963722</v>
      </c>
      <c r="M87" s="21">
        <v>922503</v>
      </c>
      <c r="N87" s="21">
        <v>867949</v>
      </c>
      <c r="O87" s="21">
        <v>864277.34900000005</v>
      </c>
      <c r="P87" s="616">
        <v>869716</v>
      </c>
    </row>
    <row r="88" spans="2:16" ht="15.5" thickBot="1">
      <c r="B88" s="186" t="s">
        <v>85</v>
      </c>
      <c r="C88" s="21">
        <v>457326</v>
      </c>
      <c r="D88" s="21">
        <v>490130</v>
      </c>
      <c r="E88" s="21">
        <v>498227</v>
      </c>
      <c r="F88" s="21">
        <v>503086</v>
      </c>
      <c r="G88" s="21">
        <v>498345</v>
      </c>
      <c r="H88" s="21">
        <v>390147</v>
      </c>
      <c r="I88" s="21">
        <v>401258</v>
      </c>
      <c r="J88" s="21">
        <v>407101</v>
      </c>
      <c r="K88" s="21">
        <v>416175</v>
      </c>
      <c r="L88" s="21">
        <v>465417</v>
      </c>
      <c r="M88" s="21">
        <v>474587</v>
      </c>
      <c r="N88" s="21">
        <v>484745</v>
      </c>
      <c r="O88" s="21">
        <v>491689.04800000001</v>
      </c>
      <c r="P88" s="616">
        <v>781100</v>
      </c>
    </row>
    <row r="89" spans="2:16" ht="15.5" thickBot="1">
      <c r="B89" s="186" t="s">
        <v>86</v>
      </c>
      <c r="C89" s="21">
        <v>267893</v>
      </c>
      <c r="D89" s="21">
        <v>253275</v>
      </c>
      <c r="E89" s="21">
        <v>263566</v>
      </c>
      <c r="F89" s="21">
        <v>256831</v>
      </c>
      <c r="G89" s="21">
        <v>262263</v>
      </c>
      <c r="H89" s="21">
        <v>247497</v>
      </c>
      <c r="I89" s="21">
        <v>242271</v>
      </c>
      <c r="J89" s="21">
        <v>253075</v>
      </c>
      <c r="K89" s="21">
        <v>269538</v>
      </c>
      <c r="L89" s="21">
        <v>211188</v>
      </c>
      <c r="M89" s="21">
        <v>264140</v>
      </c>
      <c r="N89" s="21">
        <v>252228</v>
      </c>
      <c r="O89" s="21">
        <v>280326.23800000001</v>
      </c>
      <c r="P89" s="616">
        <v>247877</v>
      </c>
    </row>
    <row r="90" spans="2:16" ht="15.5" thickBot="1">
      <c r="B90" s="186" t="s">
        <v>87</v>
      </c>
      <c r="C90" s="21">
        <v>401776</v>
      </c>
      <c r="D90" s="21">
        <v>490647</v>
      </c>
      <c r="E90" s="21">
        <v>466119</v>
      </c>
      <c r="F90" s="21">
        <v>481188</v>
      </c>
      <c r="G90" s="21">
        <v>502174</v>
      </c>
      <c r="H90" s="21">
        <v>499634</v>
      </c>
      <c r="I90" s="21">
        <v>488702</v>
      </c>
      <c r="J90" s="21">
        <v>477728</v>
      </c>
      <c r="K90" s="21">
        <v>483473</v>
      </c>
      <c r="L90" s="21">
        <v>499037</v>
      </c>
      <c r="M90" s="21">
        <v>513217</v>
      </c>
      <c r="N90" s="21">
        <v>486731</v>
      </c>
      <c r="O90" s="21">
        <v>476018.12599999999</v>
      </c>
      <c r="P90" s="616">
        <v>663257</v>
      </c>
    </row>
    <row r="91" spans="2:16" ht="15.5" thickBot="1">
      <c r="B91" s="186" t="s">
        <v>75</v>
      </c>
      <c r="C91" s="21">
        <v>3986495</v>
      </c>
      <c r="D91" s="21">
        <v>4505765</v>
      </c>
      <c r="E91" s="21">
        <v>4230824</v>
      </c>
      <c r="F91" s="21">
        <v>4023540</v>
      </c>
      <c r="G91" s="21">
        <v>4080568</v>
      </c>
      <c r="H91" s="21">
        <v>4630953</v>
      </c>
      <c r="I91" s="21">
        <v>4595558</v>
      </c>
      <c r="J91" s="21">
        <v>4757707</v>
      </c>
      <c r="K91" s="21">
        <v>4945150</v>
      </c>
      <c r="L91" s="21">
        <v>4841749</v>
      </c>
      <c r="M91" s="21">
        <v>5093887</v>
      </c>
      <c r="N91" s="21">
        <v>4926919</v>
      </c>
      <c r="O91" s="21">
        <v>5089269.8449999997</v>
      </c>
      <c r="P91" s="616">
        <v>5615354</v>
      </c>
    </row>
    <row r="92" spans="2:16" ht="15.5" thickBot="1">
      <c r="B92" s="184" t="s">
        <v>92</v>
      </c>
      <c r="C92" s="23">
        <v>17932163</v>
      </c>
      <c r="D92" s="23">
        <v>21874703</v>
      </c>
      <c r="E92" s="23">
        <v>21080073</v>
      </c>
      <c r="F92" s="23">
        <v>20849575</v>
      </c>
      <c r="G92" s="23">
        <v>21561369</v>
      </c>
      <c r="H92" s="23">
        <v>23102248</v>
      </c>
      <c r="I92" s="23">
        <v>23057271</v>
      </c>
      <c r="J92" s="23">
        <v>24467378</v>
      </c>
      <c r="K92" s="23">
        <v>24631687</v>
      </c>
      <c r="L92" s="23">
        <v>24014943</v>
      </c>
      <c r="M92" s="23">
        <v>26114801</v>
      </c>
      <c r="N92" s="23">
        <v>25932489</v>
      </c>
      <c r="O92" s="23">
        <v>28059053.305999998</v>
      </c>
      <c r="P92" s="619">
        <f t="shared" ref="P92" si="4">SUM(P84:P91)</f>
        <v>30480489</v>
      </c>
    </row>
    <row r="93" spans="2:16" ht="15.5" thickBot="1">
      <c r="B93" s="192" t="s">
        <v>93</v>
      </c>
      <c r="C93" s="24">
        <v>21596907</v>
      </c>
      <c r="D93" s="24">
        <v>24984979</v>
      </c>
      <c r="E93" s="24">
        <v>24561267</v>
      </c>
      <c r="F93" s="24">
        <v>24506041</v>
      </c>
      <c r="G93" s="24">
        <v>25058330</v>
      </c>
      <c r="H93" s="24">
        <v>26026027</v>
      </c>
      <c r="I93" s="24">
        <v>26643347</v>
      </c>
      <c r="J93" s="24">
        <v>27940586</v>
      </c>
      <c r="K93" s="24">
        <v>28278639</v>
      </c>
      <c r="L93" s="24">
        <v>27690030</v>
      </c>
      <c r="M93" s="24">
        <v>30912477</v>
      </c>
      <c r="N93" s="24">
        <v>30670335</v>
      </c>
      <c r="O93" s="24">
        <v>31954251.497999996</v>
      </c>
      <c r="P93" s="620">
        <f t="shared" ref="P93" si="5">+P82+P92</f>
        <v>33883530</v>
      </c>
    </row>
    <row r="94" spans="2:16" ht="15.5" thickBot="1">
      <c r="B94" s="195"/>
      <c r="C94" s="25"/>
      <c r="D94" s="25"/>
      <c r="E94" s="25"/>
      <c r="F94" s="25"/>
      <c r="G94" s="25"/>
      <c r="H94" s="25"/>
      <c r="I94" s="25"/>
      <c r="J94" s="25"/>
      <c r="K94" s="25"/>
      <c r="L94" s="25"/>
      <c r="M94" s="25"/>
      <c r="N94" s="25"/>
      <c r="O94" s="25"/>
      <c r="P94" s="624"/>
    </row>
    <row r="95" spans="2:16" ht="15.5" thickBot="1">
      <c r="B95" s="202" t="s">
        <v>94</v>
      </c>
      <c r="C95" s="28"/>
      <c r="D95" s="28"/>
      <c r="E95" s="28"/>
      <c r="F95" s="28"/>
      <c r="G95" s="28"/>
      <c r="H95" s="28"/>
      <c r="I95" s="28"/>
      <c r="J95" s="28"/>
      <c r="K95" s="28"/>
      <c r="L95" s="28"/>
      <c r="M95" s="28"/>
      <c r="N95" s="28"/>
      <c r="O95" s="28"/>
      <c r="P95" s="623"/>
    </row>
    <row r="96" spans="2:16" ht="15.5" thickBot="1">
      <c r="B96" s="186" t="s">
        <v>95</v>
      </c>
      <c r="C96" s="21">
        <v>36916</v>
      </c>
      <c r="D96" s="21">
        <v>36916</v>
      </c>
      <c r="E96" s="21">
        <v>36916</v>
      </c>
      <c r="F96" s="21">
        <v>36916</v>
      </c>
      <c r="G96" s="21">
        <v>36916</v>
      </c>
      <c r="H96" s="21">
        <v>36916</v>
      </c>
      <c r="I96" s="21">
        <v>36916</v>
      </c>
      <c r="J96" s="21">
        <v>36916</v>
      </c>
      <c r="K96" s="21">
        <v>36916</v>
      </c>
      <c r="L96" s="21">
        <v>36916</v>
      </c>
      <c r="M96" s="21">
        <v>36916</v>
      </c>
      <c r="N96" s="21">
        <v>36916</v>
      </c>
      <c r="O96" s="21">
        <v>36916.334999999999</v>
      </c>
      <c r="P96" s="616">
        <v>36916</v>
      </c>
    </row>
    <row r="97" spans="2:16" ht="15.5" thickBot="1">
      <c r="B97" s="186" t="s">
        <v>96</v>
      </c>
      <c r="C97" s="21">
        <v>1428128</v>
      </c>
      <c r="D97" s="21">
        <v>1428128</v>
      </c>
      <c r="E97" s="21">
        <v>1428128</v>
      </c>
      <c r="F97" s="21">
        <v>1428128</v>
      </c>
      <c r="G97" s="21">
        <v>1428128</v>
      </c>
      <c r="H97" s="21">
        <v>1428128</v>
      </c>
      <c r="I97" s="21">
        <v>1428128</v>
      </c>
      <c r="J97" s="21">
        <v>1428128</v>
      </c>
      <c r="K97" s="21">
        <v>1428128</v>
      </c>
      <c r="L97" s="21">
        <v>1428128</v>
      </c>
      <c r="M97" s="21">
        <v>1428128</v>
      </c>
      <c r="N97" s="21">
        <v>1428128</v>
      </c>
      <c r="O97" s="21">
        <v>1428127.8910000001</v>
      </c>
      <c r="P97" s="616">
        <v>1428128</v>
      </c>
    </row>
    <row r="98" spans="2:16" ht="15.5" thickBot="1">
      <c r="B98" s="186" t="s">
        <v>97</v>
      </c>
      <c r="C98" s="21">
        <v>1878709</v>
      </c>
      <c r="D98" s="21">
        <v>3585959</v>
      </c>
      <c r="E98" s="21">
        <v>4428306</v>
      </c>
      <c r="F98" s="21">
        <v>4428306</v>
      </c>
      <c r="G98" s="21">
        <v>4428306</v>
      </c>
      <c r="H98" s="21">
        <v>4428306</v>
      </c>
      <c r="I98" s="21">
        <v>5346023</v>
      </c>
      <c r="J98" s="21">
        <v>5346023</v>
      </c>
      <c r="K98" s="21">
        <v>5346023</v>
      </c>
      <c r="L98" s="21">
        <v>5346023</v>
      </c>
      <c r="M98" s="21">
        <v>6241845</v>
      </c>
      <c r="N98" s="21">
        <v>6241845</v>
      </c>
      <c r="O98" s="21">
        <v>6241845.2189999996</v>
      </c>
      <c r="P98" s="616">
        <v>6241845</v>
      </c>
    </row>
    <row r="99" spans="2:16" ht="15.5" thickBot="1">
      <c r="B99" s="186" t="s">
        <v>98</v>
      </c>
      <c r="C99" s="21">
        <v>3232907</v>
      </c>
      <c r="D99" s="21">
        <v>3228134</v>
      </c>
      <c r="E99" s="21">
        <v>3223361</v>
      </c>
      <c r="F99" s="21">
        <v>3223361</v>
      </c>
      <c r="G99" s="21">
        <v>3223361</v>
      </c>
      <c r="H99" s="21">
        <v>3217227</v>
      </c>
      <c r="I99" s="21">
        <v>3212454</v>
      </c>
      <c r="J99" s="21">
        <v>3212454</v>
      </c>
      <c r="K99" s="21">
        <v>3212454</v>
      </c>
      <c r="L99" s="21">
        <v>3212454</v>
      </c>
      <c r="M99" s="21">
        <v>3207681</v>
      </c>
      <c r="N99" s="21">
        <v>3207681</v>
      </c>
      <c r="O99" s="21">
        <v>3207681.1860000002</v>
      </c>
      <c r="P99" s="616">
        <v>3207681</v>
      </c>
    </row>
    <row r="100" spans="2:16" ht="15.5" thickBot="1">
      <c r="B100" s="186" t="s">
        <v>99</v>
      </c>
      <c r="C100" s="21">
        <v>2136629</v>
      </c>
      <c r="D100" s="21">
        <v>1437936</v>
      </c>
      <c r="E100" s="21">
        <v>297574</v>
      </c>
      <c r="F100" s="21">
        <v>529831</v>
      </c>
      <c r="G100" s="21">
        <v>942858</v>
      </c>
      <c r="H100" s="21">
        <v>1524382</v>
      </c>
      <c r="I100" s="21">
        <v>353125</v>
      </c>
      <c r="J100" s="21">
        <v>792215</v>
      </c>
      <c r="K100" s="21">
        <v>1198066</v>
      </c>
      <c r="L100" s="21">
        <v>1638732</v>
      </c>
      <c r="M100" s="21">
        <v>378507</v>
      </c>
      <c r="N100" s="21">
        <v>928923</v>
      </c>
      <c r="O100" s="21">
        <v>1412690.426</v>
      </c>
      <c r="P100" s="616">
        <v>2059191</v>
      </c>
    </row>
    <row r="101" spans="2:16" ht="15.5" thickBot="1">
      <c r="B101" s="186" t="s">
        <v>100</v>
      </c>
      <c r="C101" s="21">
        <v>1150568</v>
      </c>
      <c r="D101" s="21">
        <v>1239964</v>
      </c>
      <c r="E101" s="21">
        <v>654756</v>
      </c>
      <c r="F101" s="21">
        <v>411702</v>
      </c>
      <c r="G101" s="21">
        <v>377232</v>
      </c>
      <c r="H101" s="21">
        <v>1234415</v>
      </c>
      <c r="I101" s="21">
        <v>1023603</v>
      </c>
      <c r="J101" s="21">
        <v>1090675</v>
      </c>
      <c r="K101" s="21">
        <v>1275496</v>
      </c>
      <c r="L101" s="21">
        <v>779923</v>
      </c>
      <c r="M101" s="21">
        <v>1451479</v>
      </c>
      <c r="N101" s="21">
        <v>527193</v>
      </c>
      <c r="O101" s="21">
        <v>910035.81700000004</v>
      </c>
      <c r="P101" s="616">
        <v>194014</v>
      </c>
    </row>
    <row r="102" spans="2:16" ht="15.5" thickBot="1">
      <c r="B102" s="234" t="s">
        <v>101</v>
      </c>
      <c r="C102" s="29">
        <v>9863857</v>
      </c>
      <c r="D102" s="29">
        <v>10957037</v>
      </c>
      <c r="E102" s="29">
        <v>10069041</v>
      </c>
      <c r="F102" s="29">
        <v>10058244</v>
      </c>
      <c r="G102" s="29">
        <v>10436801</v>
      </c>
      <c r="H102" s="29">
        <v>11869374</v>
      </c>
      <c r="I102" s="29">
        <v>11400249</v>
      </c>
      <c r="J102" s="29">
        <v>11906411</v>
      </c>
      <c r="K102" s="29">
        <v>12497083</v>
      </c>
      <c r="L102" s="29">
        <v>12442176</v>
      </c>
      <c r="M102" s="29">
        <v>12744556</v>
      </c>
      <c r="N102" s="29">
        <v>12370686</v>
      </c>
      <c r="O102" s="29">
        <v>13237296.874</v>
      </c>
      <c r="P102" s="625">
        <f t="shared" ref="P102" si="6">SUM(P96:P101)</f>
        <v>13167775</v>
      </c>
    </row>
    <row r="103" spans="2:16" ht="15.5" thickBot="1">
      <c r="B103" s="235" t="s">
        <v>102</v>
      </c>
      <c r="C103" s="21">
        <v>7047621</v>
      </c>
      <c r="D103" s="21">
        <v>7466485</v>
      </c>
      <c r="E103" s="21">
        <v>6949714</v>
      </c>
      <c r="F103" s="21">
        <v>6150603</v>
      </c>
      <c r="G103" s="21">
        <v>6403173</v>
      </c>
      <c r="H103" s="21">
        <v>7072453</v>
      </c>
      <c r="I103" s="21">
        <v>6983688</v>
      </c>
      <c r="J103" s="21">
        <v>7418667</v>
      </c>
      <c r="K103" s="21">
        <v>7464694</v>
      </c>
      <c r="L103" s="21">
        <v>8661038</v>
      </c>
      <c r="M103" s="21">
        <v>7683237</v>
      </c>
      <c r="N103" s="21">
        <v>6861135</v>
      </c>
      <c r="O103" s="21">
        <v>7088717.7889999999</v>
      </c>
      <c r="P103" s="616">
        <v>6978418</v>
      </c>
    </row>
    <row r="104" spans="2:16" ht="15.5" thickBot="1">
      <c r="B104" s="184" t="s">
        <v>103</v>
      </c>
      <c r="C104" s="23">
        <v>16911478</v>
      </c>
      <c r="D104" s="23">
        <v>18423522</v>
      </c>
      <c r="E104" s="23">
        <v>17018755</v>
      </c>
      <c r="F104" s="23">
        <v>16208847</v>
      </c>
      <c r="G104" s="23">
        <v>16839974</v>
      </c>
      <c r="H104" s="23">
        <v>18941827</v>
      </c>
      <c r="I104" s="23">
        <v>18383937</v>
      </c>
      <c r="J104" s="23">
        <v>19325078</v>
      </c>
      <c r="K104" s="23">
        <v>19961777</v>
      </c>
      <c r="L104" s="23">
        <v>21103214</v>
      </c>
      <c r="M104" s="23">
        <v>20427793</v>
      </c>
      <c r="N104" s="23">
        <v>19231821</v>
      </c>
      <c r="O104" s="23">
        <v>20326014.662999999</v>
      </c>
      <c r="P104" s="619">
        <f t="shared" ref="P104" si="7">+P102+P103</f>
        <v>20146193</v>
      </c>
    </row>
    <row r="105" spans="2:16" ht="15.5" thickBot="1">
      <c r="B105" s="203" t="s">
        <v>104</v>
      </c>
      <c r="C105" s="24">
        <v>38508385</v>
      </c>
      <c r="D105" s="24">
        <v>43408501</v>
      </c>
      <c r="E105" s="24">
        <v>41580022</v>
      </c>
      <c r="F105" s="24">
        <v>40714888</v>
      </c>
      <c r="G105" s="24">
        <v>41898304</v>
      </c>
      <c r="H105" s="24">
        <v>44967854</v>
      </c>
      <c r="I105" s="24">
        <v>45027284</v>
      </c>
      <c r="J105" s="24">
        <v>47265664</v>
      </c>
      <c r="K105" s="24">
        <v>48240416</v>
      </c>
      <c r="L105" s="24">
        <v>48793244</v>
      </c>
      <c r="M105" s="24">
        <v>51340270</v>
      </c>
      <c r="N105" s="24">
        <v>49902156</v>
      </c>
      <c r="O105" s="24">
        <v>52280266.160999998</v>
      </c>
      <c r="P105" s="620">
        <f t="shared" ref="P105" si="8">+P93+P104</f>
        <v>54029723</v>
      </c>
    </row>
    <row r="106" spans="2:16">
      <c r="B106" s="8"/>
      <c r="C106" s="30">
        <f>+C70-C93-C104</f>
        <v>0</v>
      </c>
      <c r="D106" s="30">
        <f t="shared" ref="D106:N106" si="9">+D70-D93-D104</f>
        <v>0</v>
      </c>
      <c r="E106" s="30">
        <f t="shared" si="9"/>
        <v>0</v>
      </c>
      <c r="F106" s="30">
        <f t="shared" si="9"/>
        <v>0</v>
      </c>
      <c r="G106" s="30">
        <f t="shared" si="9"/>
        <v>0</v>
      </c>
      <c r="H106" s="30">
        <f t="shared" si="9"/>
        <v>0</v>
      </c>
      <c r="I106" s="30">
        <f t="shared" si="9"/>
        <v>0</v>
      </c>
      <c r="J106" s="30">
        <f t="shared" si="9"/>
        <v>0</v>
      </c>
      <c r="K106" s="30">
        <f t="shared" si="9"/>
        <v>0</v>
      </c>
      <c r="L106" s="30">
        <f t="shared" si="9"/>
        <v>0</v>
      </c>
      <c r="M106" s="30">
        <f t="shared" si="9"/>
        <v>0</v>
      </c>
      <c r="N106" s="30">
        <f t="shared" si="9"/>
        <v>0</v>
      </c>
      <c r="P106" s="626">
        <f t="shared" ref="P106" si="10">+P105-P70</f>
        <v>0</v>
      </c>
    </row>
    <row r="107" spans="2:16">
      <c r="C107" s="97">
        <f>+C36-C100</f>
        <v>0</v>
      </c>
      <c r="D107" s="97">
        <f>+D36-D100</f>
        <v>0</v>
      </c>
      <c r="E107" s="97">
        <f>+E36-E100</f>
        <v>0</v>
      </c>
      <c r="F107" s="97">
        <f>+F36+E36-F100</f>
        <v>0</v>
      </c>
      <c r="G107" s="97">
        <f>+G36+F36+E36-G100</f>
        <v>0</v>
      </c>
      <c r="H107" s="97">
        <f>+H36+G36+F36+E36-H100</f>
        <v>0</v>
      </c>
      <c r="I107" s="97">
        <f>+I36-I100</f>
        <v>0</v>
      </c>
      <c r="J107" s="97">
        <f>+J36+I36-J100</f>
        <v>0</v>
      </c>
      <c r="K107" s="97">
        <f>+K36+J36+I36-K100</f>
        <v>0</v>
      </c>
      <c r="L107" s="97">
        <f>+L36+K36+J36+I36-L100</f>
        <v>0</v>
      </c>
      <c r="M107" s="97">
        <f>+M36-M100</f>
        <v>0</v>
      </c>
      <c r="N107" s="97">
        <f>+N36+M36-N100</f>
        <v>0</v>
      </c>
      <c r="O107" s="97"/>
      <c r="P107" s="97"/>
    </row>
    <row r="108" spans="2:16">
      <c r="C108" s="97"/>
      <c r="D108" s="97"/>
      <c r="E108" s="97"/>
      <c r="F108" s="97"/>
      <c r="G108" s="97"/>
      <c r="H108" s="97"/>
      <c r="I108" s="97"/>
      <c r="J108" s="97"/>
      <c r="K108" s="97"/>
      <c r="L108" s="97"/>
      <c r="M108" s="97"/>
      <c r="N108" s="97"/>
      <c r="P108" s="106"/>
    </row>
    <row r="109" spans="2:16">
      <c r="F109" s="97"/>
      <c r="G109" s="97"/>
      <c r="H109" s="97"/>
      <c r="I109" s="97"/>
      <c r="J109" s="97"/>
      <c r="K109" s="97"/>
      <c r="L109" s="97"/>
      <c r="M109" s="97"/>
      <c r="N109" s="97"/>
      <c r="P109" s="106"/>
    </row>
  </sheetData>
  <hyperlinks>
    <hyperlink ref="A1" location="Contenido!A1" display="Volver al Contenido" xr:uid="{E0FB557F-B0C2-4ACF-9D2D-62B8A28A9139}"/>
  </hyperlinks>
  <pageMargins left="0.7" right="0.7" top="0.75" bottom="0.75" header="0.3" footer="0.3"/>
  <customProperties>
    <customPr name="_pios_id" r:id="rId1"/>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dimension ref="A1:P270"/>
  <sheetViews>
    <sheetView showGridLines="0" zoomScale="90" zoomScaleNormal="90" workbookViewId="0">
      <pane xSplit="2" ySplit="7" topLeftCell="J262" activePane="bottomRight" state="frozen"/>
      <selection pane="topRight" activeCell="C1" sqref="C1"/>
      <selection pane="bottomLeft" activeCell="A7" sqref="A7"/>
      <selection pane="bottomRight" activeCell="N279" sqref="N279"/>
    </sheetView>
  </sheetViews>
  <sheetFormatPr baseColWidth="10" defaultColWidth="11.453125" defaultRowHeight="14.5"/>
  <cols>
    <col min="1" max="1" width="4.1796875" style="106" customWidth="1"/>
    <col min="2" max="2" width="67.26953125" style="106" customWidth="1"/>
    <col min="3" max="8" width="15.54296875" style="106" bestFit="1" customWidth="1"/>
    <col min="9" max="9" width="16" style="106" customWidth="1"/>
    <col min="10" max="10" width="15.54296875" style="106" bestFit="1" customWidth="1"/>
    <col min="11" max="11" width="15.1796875" style="106" customWidth="1"/>
    <col min="12" max="13" width="16" style="106" customWidth="1"/>
    <col min="14" max="14" width="15.54296875" style="106" bestFit="1" customWidth="1"/>
    <col min="15" max="15" width="18.1796875" style="106" customWidth="1"/>
    <col min="16" max="16" width="15.453125" style="106" customWidth="1"/>
    <col min="17" max="16384" width="11.453125" style="106"/>
  </cols>
  <sheetData>
    <row r="1" spans="1:16">
      <c r="A1" s="2" t="s">
        <v>17</v>
      </c>
    </row>
    <row r="3" spans="1:16" ht="15.5">
      <c r="A3" s="119" t="s">
        <v>105</v>
      </c>
      <c r="B3" s="12" t="s">
        <v>106</v>
      </c>
      <c r="C3" s="6"/>
      <c r="D3" s="6"/>
      <c r="E3" s="7"/>
      <c r="F3" s="6"/>
      <c r="G3" s="6"/>
      <c r="H3" s="6"/>
      <c r="I3" s="7"/>
      <c r="J3" s="6"/>
      <c r="K3" s="6"/>
      <c r="L3" s="6"/>
      <c r="M3" s="7"/>
      <c r="N3" s="6"/>
      <c r="O3" s="167"/>
    </row>
    <row r="4" spans="1:16" ht="15.5">
      <c r="B4" s="14" t="s">
        <v>19</v>
      </c>
      <c r="C4" s="168"/>
      <c r="D4" s="168"/>
      <c r="E4" s="168"/>
      <c r="F4" s="168"/>
      <c r="G4" s="168"/>
      <c r="H4" s="168"/>
      <c r="I4" s="168"/>
      <c r="J4" s="168"/>
      <c r="K4" s="168"/>
      <c r="L4" s="168"/>
      <c r="M4" s="168"/>
      <c r="N4" s="168"/>
      <c r="O4" s="167"/>
    </row>
    <row r="5" spans="1:16" ht="15.5">
      <c r="B5" s="14"/>
      <c r="C5" s="168"/>
      <c r="D5" s="168"/>
      <c r="E5" s="168"/>
      <c r="F5" s="168"/>
      <c r="G5" s="168"/>
      <c r="H5" s="168"/>
      <c r="I5" s="168"/>
      <c r="J5" s="168"/>
      <c r="K5" s="168"/>
      <c r="L5" s="168"/>
      <c r="M5" s="168"/>
      <c r="N5" s="168"/>
      <c r="O5" s="167"/>
    </row>
    <row r="6" spans="1:16" ht="15.5">
      <c r="B6" s="9"/>
      <c r="C6" s="9"/>
      <c r="D6" s="9"/>
      <c r="E6" s="9"/>
      <c r="F6" s="9"/>
      <c r="G6" s="9"/>
      <c r="H6" s="9"/>
      <c r="I6" s="9"/>
      <c r="J6" s="9"/>
      <c r="K6" s="9"/>
      <c r="L6" s="9"/>
      <c r="M6" s="9"/>
      <c r="N6" s="9"/>
      <c r="O6" s="167"/>
    </row>
    <row r="7" spans="1:16" s="32" customFormat="1" ht="15.5">
      <c r="B7" s="169"/>
      <c r="C7" s="170">
        <v>2016</v>
      </c>
      <c r="D7" s="170">
        <v>2017</v>
      </c>
      <c r="E7" s="170" t="s">
        <v>20</v>
      </c>
      <c r="F7" s="170" t="s">
        <v>21</v>
      </c>
      <c r="G7" s="170" t="s">
        <v>22</v>
      </c>
      <c r="H7" s="170" t="s">
        <v>23</v>
      </c>
      <c r="I7" s="170" t="s">
        <v>24</v>
      </c>
      <c r="J7" s="170" t="s">
        <v>25</v>
      </c>
      <c r="K7" s="170" t="s">
        <v>26</v>
      </c>
      <c r="L7" s="170" t="s">
        <v>27</v>
      </c>
      <c r="M7" s="170" t="s">
        <v>28</v>
      </c>
      <c r="N7" s="170" t="s">
        <v>29</v>
      </c>
      <c r="O7" s="170" t="s">
        <v>30</v>
      </c>
      <c r="P7" s="170" t="s">
        <v>954</v>
      </c>
    </row>
    <row r="8" spans="1:16" ht="15.5">
      <c r="B8" s="171"/>
      <c r="C8" s="9"/>
      <c r="D8" s="9"/>
      <c r="E8" s="9"/>
      <c r="F8" s="9"/>
      <c r="G8" s="9"/>
      <c r="H8" s="9"/>
      <c r="I8" s="9"/>
      <c r="J8" s="9"/>
      <c r="K8" s="9"/>
      <c r="L8" s="9"/>
      <c r="M8" s="9"/>
      <c r="N8" s="9"/>
      <c r="O8" s="9"/>
    </row>
    <row r="9" spans="1:16" ht="15.5">
      <c r="B9" s="172" t="s">
        <v>107</v>
      </c>
      <c r="C9" s="173">
        <v>837439</v>
      </c>
      <c r="D9" s="173">
        <v>805898</v>
      </c>
      <c r="E9" s="173">
        <v>202706</v>
      </c>
      <c r="F9" s="173">
        <v>203436</v>
      </c>
      <c r="G9" s="173">
        <v>209060</v>
      </c>
      <c r="H9" s="173">
        <v>211029</v>
      </c>
      <c r="I9" s="173">
        <v>216677</v>
      </c>
      <c r="J9" s="173">
        <v>217960</v>
      </c>
      <c r="K9" s="173">
        <v>230260</v>
      </c>
      <c r="L9" s="173">
        <v>229258</v>
      </c>
      <c r="M9" s="173">
        <v>247540</v>
      </c>
      <c r="N9" s="173">
        <v>248543</v>
      </c>
      <c r="O9" s="173">
        <v>244340</v>
      </c>
      <c r="P9" s="632">
        <f>975322-O9-N9-M9</f>
        <v>234899</v>
      </c>
    </row>
    <row r="10" spans="1:16" ht="15.5">
      <c r="B10" s="172" t="s">
        <v>108</v>
      </c>
      <c r="C10" s="173">
        <v>20887</v>
      </c>
      <c r="D10" s="173">
        <v>64590</v>
      </c>
      <c r="E10" s="173">
        <v>15695</v>
      </c>
      <c r="F10" s="173">
        <v>11937</v>
      </c>
      <c r="G10" s="173">
        <v>26749</v>
      </c>
      <c r="H10" s="173">
        <v>63631</v>
      </c>
      <c r="I10" s="173">
        <v>62304</v>
      </c>
      <c r="J10" s="173">
        <v>58386</v>
      </c>
      <c r="K10" s="173">
        <v>65690</v>
      </c>
      <c r="L10" s="173">
        <v>61101</v>
      </c>
      <c r="M10" s="173">
        <v>57851</v>
      </c>
      <c r="N10" s="173">
        <v>61311</v>
      </c>
      <c r="O10" s="173">
        <v>61687</v>
      </c>
      <c r="P10" s="632">
        <f>246402-O10-N10-M10</f>
        <v>65553</v>
      </c>
    </row>
    <row r="11" spans="1:16" ht="15.5">
      <c r="B11" s="172" t="s">
        <v>109</v>
      </c>
      <c r="C11" s="173">
        <v>2166</v>
      </c>
      <c r="D11" s="173">
        <v>2176</v>
      </c>
      <c r="E11" s="173">
        <v>551</v>
      </c>
      <c r="F11" s="173">
        <v>553</v>
      </c>
      <c r="G11" s="173">
        <v>556</v>
      </c>
      <c r="H11" s="173">
        <v>568</v>
      </c>
      <c r="I11" s="173">
        <v>559</v>
      </c>
      <c r="J11" s="173">
        <v>579</v>
      </c>
      <c r="K11" s="173">
        <v>584</v>
      </c>
      <c r="L11" s="173">
        <v>591</v>
      </c>
      <c r="M11" s="173">
        <v>589</v>
      </c>
      <c r="N11" s="173">
        <v>592</v>
      </c>
      <c r="O11" s="173">
        <v>593</v>
      </c>
      <c r="P11" s="632">
        <f>2372-O11-N11-M11</f>
        <v>598</v>
      </c>
    </row>
    <row r="12" spans="1:16" ht="15.5">
      <c r="B12" s="172" t="s">
        <v>110</v>
      </c>
      <c r="C12" s="173">
        <v>10847</v>
      </c>
      <c r="D12" s="173">
        <v>6472</v>
      </c>
      <c r="E12" s="173">
        <v>288</v>
      </c>
      <c r="F12" s="173">
        <v>2495</v>
      </c>
      <c r="G12" s="173">
        <v>543</v>
      </c>
      <c r="H12" s="173">
        <v>3662</v>
      </c>
      <c r="I12" s="173">
        <v>986</v>
      </c>
      <c r="J12" s="173">
        <v>3555</v>
      </c>
      <c r="K12" s="173">
        <v>722</v>
      </c>
      <c r="L12" s="173">
        <v>1454</v>
      </c>
      <c r="M12" s="173">
        <v>556</v>
      </c>
      <c r="N12" s="173">
        <v>2386</v>
      </c>
      <c r="O12" s="173">
        <v>2065</v>
      </c>
      <c r="P12" s="632">
        <f>6533-O12-N12-M12</f>
        <v>1526</v>
      </c>
    </row>
    <row r="13" spans="1:16" ht="15.5">
      <c r="B13" s="172" t="s">
        <v>111</v>
      </c>
      <c r="C13" s="173">
        <v>979</v>
      </c>
      <c r="D13" s="173">
        <v>3784</v>
      </c>
      <c r="E13" s="173">
        <v>197</v>
      </c>
      <c r="F13" s="173">
        <v>228</v>
      </c>
      <c r="G13" s="173">
        <v>202</v>
      </c>
      <c r="H13" s="173">
        <v>3836</v>
      </c>
      <c r="I13" s="173">
        <v>405</v>
      </c>
      <c r="J13" s="173">
        <v>405</v>
      </c>
      <c r="K13" s="173">
        <v>405</v>
      </c>
      <c r="L13" s="173">
        <v>405</v>
      </c>
      <c r="M13" s="173">
        <v>195</v>
      </c>
      <c r="N13" s="173">
        <v>80</v>
      </c>
      <c r="O13" s="173">
        <v>80</v>
      </c>
      <c r="P13" s="632">
        <f>418-O13-N13-M13</f>
        <v>63</v>
      </c>
    </row>
    <row r="14" spans="1:16" ht="15.5">
      <c r="B14" s="172" t="s">
        <v>40</v>
      </c>
      <c r="C14" s="173">
        <v>8923</v>
      </c>
      <c r="D14" s="173">
        <v>6319</v>
      </c>
      <c r="E14" s="173">
        <v>63172</v>
      </c>
      <c r="F14" s="173">
        <v>2324</v>
      </c>
      <c r="G14" s="173">
        <v>3437</v>
      </c>
      <c r="H14" s="173">
        <v>-1634</v>
      </c>
      <c r="I14" s="173">
        <v>1275</v>
      </c>
      <c r="J14" s="173">
        <v>2305</v>
      </c>
      <c r="K14" s="173">
        <v>1938</v>
      </c>
      <c r="L14" s="173">
        <v>1964</v>
      </c>
      <c r="M14" s="173">
        <v>2013</v>
      </c>
      <c r="N14" s="173">
        <v>2182</v>
      </c>
      <c r="O14" s="173">
        <v>2150</v>
      </c>
      <c r="P14" s="632">
        <f>8438-O14-N14-M14</f>
        <v>2093</v>
      </c>
    </row>
    <row r="15" spans="1:16" ht="15.5">
      <c r="B15" s="172" t="s">
        <v>41</v>
      </c>
      <c r="C15" s="173">
        <v>138135</v>
      </c>
      <c r="D15" s="173">
        <v>137075</v>
      </c>
      <c r="E15" s="173">
        <v>38850</v>
      </c>
      <c r="F15" s="173">
        <v>27810</v>
      </c>
      <c r="G15" s="173">
        <v>30029</v>
      </c>
      <c r="H15" s="173">
        <v>33058</v>
      </c>
      <c r="I15" s="173">
        <v>43956</v>
      </c>
      <c r="J15" s="173">
        <v>34908</v>
      </c>
      <c r="K15" s="173">
        <v>32330</v>
      </c>
      <c r="L15" s="173">
        <v>45151</v>
      </c>
      <c r="M15" s="173">
        <v>46417</v>
      </c>
      <c r="N15" s="173">
        <v>34301</v>
      </c>
      <c r="O15" s="173">
        <v>33304</v>
      </c>
      <c r="P15" s="632">
        <f>164657-O15-N15-M15</f>
        <v>50635</v>
      </c>
    </row>
    <row r="16" spans="1:16" ht="15.5">
      <c r="B16" s="174" t="s">
        <v>112</v>
      </c>
      <c r="C16" s="175">
        <v>743106</v>
      </c>
      <c r="D16" s="175">
        <v>752164</v>
      </c>
      <c r="E16" s="175">
        <v>243759</v>
      </c>
      <c r="F16" s="175">
        <v>193163</v>
      </c>
      <c r="G16" s="175">
        <v>210518</v>
      </c>
      <c r="H16" s="175">
        <v>248034</v>
      </c>
      <c r="I16" s="175">
        <v>238250</v>
      </c>
      <c r="J16" s="175">
        <v>248282</v>
      </c>
      <c r="K16" s="175">
        <v>267269</v>
      </c>
      <c r="L16" s="175">
        <v>249622</v>
      </c>
      <c r="M16" s="175">
        <v>262327</v>
      </c>
      <c r="N16" s="175">
        <v>280793</v>
      </c>
      <c r="O16" s="175">
        <v>277611</v>
      </c>
      <c r="P16" s="633">
        <f>+SUM(P9:P14)-P15</f>
        <v>254097</v>
      </c>
    </row>
    <row r="17" spans="1:16" ht="15.5">
      <c r="B17" s="171"/>
      <c r="C17" s="9"/>
      <c r="D17" s="9"/>
      <c r="E17" s="9"/>
      <c r="F17" s="9"/>
      <c r="G17" s="9"/>
      <c r="H17" s="9"/>
      <c r="I17" s="9"/>
      <c r="J17" s="9"/>
      <c r="K17" s="9"/>
      <c r="L17" s="9"/>
      <c r="M17" s="9"/>
      <c r="N17" s="9"/>
      <c r="O17" s="9"/>
      <c r="P17" s="105"/>
    </row>
    <row r="18" spans="1:16" ht="15.5">
      <c r="B18" s="172" t="s">
        <v>44</v>
      </c>
      <c r="C18" s="173">
        <v>189361</v>
      </c>
      <c r="D18" s="173">
        <v>166345</v>
      </c>
      <c r="E18" s="173">
        <v>44671</v>
      </c>
      <c r="F18" s="173">
        <v>43742</v>
      </c>
      <c r="G18" s="173">
        <v>43552</v>
      </c>
      <c r="H18" s="173">
        <v>34912</v>
      </c>
      <c r="I18" s="173">
        <v>44008</v>
      </c>
      <c r="J18" s="173">
        <v>42137</v>
      </c>
      <c r="K18" s="173">
        <v>48383</v>
      </c>
      <c r="L18" s="173">
        <v>37586</v>
      </c>
      <c r="M18" s="173">
        <v>43933</v>
      </c>
      <c r="N18" s="173">
        <v>44289</v>
      </c>
      <c r="O18" s="173">
        <v>44095</v>
      </c>
      <c r="P18" s="632">
        <f>176786-O18-N18-M18</f>
        <v>44469</v>
      </c>
    </row>
    <row r="19" spans="1:16" ht="15.5">
      <c r="B19" s="172" t="s">
        <v>45</v>
      </c>
      <c r="C19" s="173">
        <v>1906783</v>
      </c>
      <c r="D19" s="173">
        <v>1128274</v>
      </c>
      <c r="E19" s="173">
        <v>203004</v>
      </c>
      <c r="F19" s="173">
        <v>175187</v>
      </c>
      <c r="G19" s="173">
        <v>344397</v>
      </c>
      <c r="H19" s="173">
        <v>350199</v>
      </c>
      <c r="I19" s="173">
        <v>277267</v>
      </c>
      <c r="J19" s="173">
        <v>359351</v>
      </c>
      <c r="K19" s="173">
        <v>332630</v>
      </c>
      <c r="L19" s="173">
        <v>318187</v>
      </c>
      <c r="M19" s="173">
        <v>272185</v>
      </c>
      <c r="N19" s="173">
        <v>428492</v>
      </c>
      <c r="O19" s="173">
        <v>361720</v>
      </c>
      <c r="P19" s="632">
        <f>1621538-O19-N19-M19</f>
        <v>559141</v>
      </c>
    </row>
    <row r="20" spans="1:16" ht="15.5">
      <c r="B20" s="172" t="s">
        <v>46</v>
      </c>
      <c r="C20" s="173">
        <v>3226</v>
      </c>
      <c r="D20" s="173">
        <v>3930</v>
      </c>
      <c r="E20" s="173">
        <v>155</v>
      </c>
      <c r="F20" s="173">
        <v>-66</v>
      </c>
      <c r="G20" s="173">
        <v>1641</v>
      </c>
      <c r="H20" s="173">
        <v>-2449</v>
      </c>
      <c r="I20" s="173">
        <v>-902</v>
      </c>
      <c r="J20" s="173">
        <v>128</v>
      </c>
      <c r="K20" s="173">
        <v>-182</v>
      </c>
      <c r="L20" s="173">
        <v>17123</v>
      </c>
      <c r="M20" s="173">
        <v>2652</v>
      </c>
      <c r="N20" s="173">
        <v>-3454</v>
      </c>
      <c r="O20" s="173">
        <v>-3694</v>
      </c>
      <c r="P20" s="632">
        <f>-5866-O20-N20-M20</f>
        <v>-1370</v>
      </c>
    </row>
    <row r="21" spans="1:16" ht="15.5">
      <c r="B21" s="174" t="s">
        <v>47</v>
      </c>
      <c r="C21" s="176">
        <v>2463754</v>
      </c>
      <c r="D21" s="176">
        <v>1718023</v>
      </c>
      <c r="E21" s="176">
        <v>402247</v>
      </c>
      <c r="F21" s="176">
        <v>324542</v>
      </c>
      <c r="G21" s="176">
        <v>513004</v>
      </c>
      <c r="H21" s="176">
        <v>560872</v>
      </c>
      <c r="I21" s="176">
        <v>470607</v>
      </c>
      <c r="J21" s="176">
        <v>565624</v>
      </c>
      <c r="K21" s="176">
        <v>551334</v>
      </c>
      <c r="L21" s="176">
        <v>547346</v>
      </c>
      <c r="M21" s="176">
        <v>493231</v>
      </c>
      <c r="N21" s="176">
        <v>661542</v>
      </c>
      <c r="O21" s="176">
        <v>591542</v>
      </c>
      <c r="P21" s="634">
        <f>+P16-P18+P19+P20</f>
        <v>767399</v>
      </c>
    </row>
    <row r="22" spans="1:16" ht="15.5">
      <c r="B22" s="172"/>
      <c r="C22" s="173"/>
      <c r="D22" s="173"/>
      <c r="E22" s="173"/>
      <c r="F22" s="173"/>
      <c r="G22" s="173"/>
      <c r="H22" s="173"/>
      <c r="I22" s="173"/>
      <c r="J22" s="173"/>
      <c r="K22" s="173"/>
      <c r="L22" s="173"/>
      <c r="M22" s="173"/>
      <c r="N22" s="173"/>
      <c r="O22" s="173"/>
      <c r="P22" s="632"/>
    </row>
    <row r="23" spans="1:16" ht="15.5">
      <c r="B23" s="172" t="s">
        <v>48</v>
      </c>
      <c r="C23" s="173">
        <v>-229899</v>
      </c>
      <c r="D23" s="173">
        <v>-201518</v>
      </c>
      <c r="E23" s="173">
        <v>-74633</v>
      </c>
      <c r="F23" s="173">
        <v>-47454</v>
      </c>
      <c r="G23" s="173">
        <v>-70599</v>
      </c>
      <c r="H23" s="173">
        <v>-62062</v>
      </c>
      <c r="I23" s="173">
        <v>-75783</v>
      </c>
      <c r="J23" s="173">
        <v>-84448</v>
      </c>
      <c r="K23" s="173">
        <v>-91659</v>
      </c>
      <c r="L23" s="173">
        <v>-74286</v>
      </c>
      <c r="M23" s="173">
        <v>-95269</v>
      </c>
      <c r="N23" s="173">
        <v>-70381</v>
      </c>
      <c r="O23" s="173">
        <v>-66586</v>
      </c>
      <c r="P23" s="632">
        <f>-296835-O23-N23-M23</f>
        <v>-64599</v>
      </c>
    </row>
    <row r="24" spans="1:16" ht="15.5">
      <c r="B24" s="174" t="s">
        <v>49</v>
      </c>
      <c r="C24" s="176">
        <v>2233855</v>
      </c>
      <c r="D24" s="176">
        <v>1516505</v>
      </c>
      <c r="E24" s="176">
        <v>327614</v>
      </c>
      <c r="F24" s="176">
        <v>277088</v>
      </c>
      <c r="G24" s="176">
        <v>442405</v>
      </c>
      <c r="H24" s="176">
        <v>498810</v>
      </c>
      <c r="I24" s="176">
        <v>394824</v>
      </c>
      <c r="J24" s="176">
        <v>481176</v>
      </c>
      <c r="K24" s="176">
        <v>459675</v>
      </c>
      <c r="L24" s="176">
        <v>473060</v>
      </c>
      <c r="M24" s="176">
        <v>397962</v>
      </c>
      <c r="N24" s="176">
        <v>591161</v>
      </c>
      <c r="O24" s="176">
        <v>524956</v>
      </c>
      <c r="P24" s="634">
        <f>+P21+P23</f>
        <v>702800</v>
      </c>
    </row>
    <row r="25" spans="1:16" ht="15.5">
      <c r="B25" s="171"/>
      <c r="C25" s="9"/>
      <c r="D25" s="9"/>
      <c r="E25" s="9"/>
      <c r="F25" s="9"/>
      <c r="G25" s="9"/>
      <c r="H25" s="9"/>
      <c r="I25" s="9"/>
      <c r="J25" s="9"/>
      <c r="K25" s="9"/>
      <c r="L25" s="9"/>
      <c r="M25" s="9"/>
      <c r="N25" s="9"/>
      <c r="O25" s="9"/>
      <c r="P25" s="105"/>
    </row>
    <row r="26" spans="1:16" ht="15.5">
      <c r="B26" s="172" t="s">
        <v>50</v>
      </c>
      <c r="C26" s="173">
        <v>92395</v>
      </c>
      <c r="D26" s="173">
        <v>73797</v>
      </c>
      <c r="E26" s="173">
        <v>28846</v>
      </c>
      <c r="F26" s="173">
        <v>43637</v>
      </c>
      <c r="G26" s="173">
        <v>28184</v>
      </c>
      <c r="H26" s="173">
        <v>-83905</v>
      </c>
      <c r="I26" s="173">
        <v>40505</v>
      </c>
      <c r="J26" s="173">
        <v>40894</v>
      </c>
      <c r="K26" s="173">
        <v>52631</v>
      </c>
      <c r="L26" s="173">
        <v>31200</v>
      </c>
      <c r="M26" s="173">
        <v>18262</v>
      </c>
      <c r="N26" s="173">
        <v>39554</v>
      </c>
      <c r="O26" s="173">
        <v>39993</v>
      </c>
      <c r="P26" s="632">
        <f>153929-O26-N26-M26</f>
        <v>56120</v>
      </c>
    </row>
    <row r="27" spans="1:16" ht="15.5">
      <c r="B27" s="174" t="s">
        <v>53</v>
      </c>
      <c r="C27" s="176">
        <v>2141460</v>
      </c>
      <c r="D27" s="176">
        <v>1442708</v>
      </c>
      <c r="E27" s="176">
        <v>298768</v>
      </c>
      <c r="F27" s="176">
        <v>233451</v>
      </c>
      <c r="G27" s="176">
        <v>414221</v>
      </c>
      <c r="H27" s="176">
        <v>582715</v>
      </c>
      <c r="I27" s="176">
        <v>354319</v>
      </c>
      <c r="J27" s="176">
        <v>440282</v>
      </c>
      <c r="K27" s="176">
        <v>407044</v>
      </c>
      <c r="L27" s="176">
        <v>441860</v>
      </c>
      <c r="M27" s="176">
        <v>379700</v>
      </c>
      <c r="N27" s="176">
        <v>551607</v>
      </c>
      <c r="O27" s="176">
        <v>484963</v>
      </c>
      <c r="P27" s="634">
        <f>+P24-P26</f>
        <v>646680</v>
      </c>
    </row>
    <row r="28" spans="1:16" ht="15.5">
      <c r="B28" s="167"/>
      <c r="C28" s="167"/>
      <c r="D28" s="167"/>
      <c r="E28" s="167"/>
      <c r="F28" s="167"/>
      <c r="G28" s="167"/>
      <c r="H28" s="167"/>
      <c r="I28" s="167"/>
      <c r="J28" s="167"/>
      <c r="K28" s="167"/>
      <c r="L28" s="167"/>
      <c r="M28" s="167"/>
      <c r="N28" s="167"/>
      <c r="O28" s="167"/>
    </row>
    <row r="29" spans="1:16" ht="15.5">
      <c r="B29" s="167"/>
      <c r="C29" s="167"/>
      <c r="D29" s="167"/>
      <c r="E29" s="167"/>
      <c r="F29" s="167"/>
      <c r="G29" s="167"/>
      <c r="H29" s="167"/>
      <c r="I29" s="167"/>
      <c r="J29" s="167"/>
      <c r="K29" s="167"/>
      <c r="L29" s="167"/>
      <c r="M29" s="167"/>
      <c r="N29" s="167"/>
      <c r="O29" s="167"/>
    </row>
    <row r="30" spans="1:16" ht="15.5">
      <c r="B30" s="167"/>
      <c r="C30" s="167"/>
      <c r="D30" s="167"/>
      <c r="E30" s="167"/>
      <c r="F30" s="167"/>
      <c r="G30" s="167"/>
      <c r="H30" s="167"/>
      <c r="I30" s="167"/>
      <c r="J30" s="167"/>
      <c r="K30" s="167"/>
      <c r="L30" s="167"/>
      <c r="M30" s="167"/>
      <c r="N30" s="167"/>
      <c r="O30" s="167"/>
    </row>
    <row r="31" spans="1:16" ht="15.5">
      <c r="A31" s="119" t="s">
        <v>105</v>
      </c>
      <c r="B31" s="12" t="s">
        <v>113</v>
      </c>
      <c r="C31" s="168"/>
      <c r="D31" s="168"/>
      <c r="E31" s="168"/>
      <c r="F31" s="168"/>
      <c r="G31" s="168"/>
      <c r="H31" s="177"/>
      <c r="I31" s="177"/>
      <c r="J31" s="177"/>
      <c r="K31" s="177"/>
      <c r="L31" s="177"/>
      <c r="M31" s="177"/>
      <c r="N31" s="177"/>
      <c r="O31" s="177"/>
    </row>
    <row r="32" spans="1:16" ht="15.5">
      <c r="B32" s="14" t="s">
        <v>55</v>
      </c>
      <c r="C32" s="168"/>
      <c r="D32" s="168"/>
      <c r="E32" s="168"/>
      <c r="F32" s="168"/>
      <c r="G32" s="168"/>
      <c r="H32" s="178"/>
      <c r="I32" s="178"/>
      <c r="J32" s="178"/>
      <c r="K32" s="178"/>
      <c r="L32" s="178"/>
      <c r="M32" s="178"/>
      <c r="N32" s="178"/>
      <c r="O32" s="178"/>
    </row>
    <row r="33" spans="2:16" ht="15.5">
      <c r="B33" s="179"/>
      <c r="C33" s="168"/>
      <c r="D33" s="168"/>
      <c r="E33" s="168"/>
      <c r="F33" s="168"/>
      <c r="G33" s="168"/>
      <c r="H33" s="179"/>
      <c r="I33" s="179"/>
      <c r="J33" s="179"/>
      <c r="K33" s="179"/>
      <c r="L33" s="179"/>
      <c r="M33" s="179"/>
      <c r="N33" s="179"/>
      <c r="O33" s="179"/>
    </row>
    <row r="34" spans="2:16" ht="16" thickBot="1">
      <c r="B34" s="180"/>
      <c r="C34" s="181"/>
      <c r="D34" s="181"/>
      <c r="E34" s="181"/>
      <c r="F34" s="181"/>
      <c r="G34" s="181"/>
      <c r="H34" s="181"/>
      <c r="I34" s="181"/>
      <c r="J34" s="181"/>
      <c r="K34" s="181"/>
      <c r="L34" s="181"/>
      <c r="M34" s="181"/>
      <c r="N34" s="181"/>
      <c r="O34" s="181"/>
      <c r="P34" s="181"/>
    </row>
    <row r="35" spans="2:16" ht="15.5" thickBot="1">
      <c r="B35" s="182" t="s">
        <v>56</v>
      </c>
      <c r="C35" s="183"/>
      <c r="D35" s="183"/>
      <c r="E35" s="183"/>
      <c r="F35" s="183"/>
      <c r="G35" s="183"/>
      <c r="H35" s="183"/>
      <c r="I35" s="183"/>
      <c r="J35" s="183"/>
      <c r="K35" s="183"/>
      <c r="L35" s="183"/>
      <c r="M35" s="183"/>
      <c r="N35" s="182"/>
      <c r="O35" s="182"/>
      <c r="P35" s="182"/>
    </row>
    <row r="36" spans="2:16" ht="15.5" thickBot="1">
      <c r="B36" s="184" t="s">
        <v>57</v>
      </c>
      <c r="C36" s="185"/>
      <c r="D36" s="185"/>
      <c r="E36" s="185"/>
      <c r="F36" s="185"/>
      <c r="G36" s="185"/>
      <c r="H36" s="185"/>
      <c r="I36" s="185"/>
      <c r="J36" s="185"/>
      <c r="K36" s="185"/>
      <c r="L36" s="185"/>
      <c r="M36" s="185"/>
      <c r="N36" s="185"/>
      <c r="O36" s="185"/>
      <c r="P36" s="185"/>
    </row>
    <row r="37" spans="2:16" ht="16" thickBot="1">
      <c r="B37" s="186" t="s">
        <v>58</v>
      </c>
      <c r="C37" s="187">
        <v>254496</v>
      </c>
      <c r="D37" s="187">
        <v>361188</v>
      </c>
      <c r="E37" s="187">
        <v>315607</v>
      </c>
      <c r="F37" s="187">
        <v>403075</v>
      </c>
      <c r="G37" s="187">
        <v>590299</v>
      </c>
      <c r="H37" s="187">
        <v>433807</v>
      </c>
      <c r="I37" s="187">
        <v>524315</v>
      </c>
      <c r="J37" s="187">
        <v>721146</v>
      </c>
      <c r="K37" s="187">
        <v>460247</v>
      </c>
      <c r="L37" s="187">
        <v>541371</v>
      </c>
      <c r="M37" s="187">
        <v>409376</v>
      </c>
      <c r="N37" s="187">
        <v>1060187</v>
      </c>
      <c r="O37" s="187">
        <v>1068640</v>
      </c>
      <c r="P37" s="616">
        <v>542198</v>
      </c>
    </row>
    <row r="38" spans="2:16" ht="16" thickBot="1">
      <c r="B38" s="186" t="s">
        <v>59</v>
      </c>
      <c r="C38" s="187">
        <v>24008</v>
      </c>
      <c r="D38" s="187">
        <v>41776</v>
      </c>
      <c r="E38" s="187">
        <v>246287</v>
      </c>
      <c r="F38" s="187">
        <v>35401</v>
      </c>
      <c r="G38" s="187">
        <v>51428</v>
      </c>
      <c r="H38" s="187">
        <v>50199</v>
      </c>
      <c r="I38" s="187">
        <v>454588</v>
      </c>
      <c r="J38" s="187">
        <v>77976</v>
      </c>
      <c r="K38" s="187">
        <v>69730</v>
      </c>
      <c r="L38" s="187">
        <v>121792</v>
      </c>
      <c r="M38" s="187">
        <v>244445</v>
      </c>
      <c r="N38" s="187">
        <v>113023</v>
      </c>
      <c r="O38" s="187">
        <v>60469</v>
      </c>
      <c r="P38" s="616">
        <v>158541</v>
      </c>
    </row>
    <row r="39" spans="2:16" ht="16" thickBot="1">
      <c r="B39" s="186" t="s">
        <v>60</v>
      </c>
      <c r="C39" s="187">
        <v>23231</v>
      </c>
      <c r="D39" s="187">
        <v>20897</v>
      </c>
      <c r="E39" s="187">
        <v>55187</v>
      </c>
      <c r="F39" s="187">
        <v>89400</v>
      </c>
      <c r="G39" s="187">
        <v>88092</v>
      </c>
      <c r="H39" s="187">
        <v>37166</v>
      </c>
      <c r="I39" s="187">
        <v>57401</v>
      </c>
      <c r="J39" s="187">
        <v>44712</v>
      </c>
      <c r="K39" s="187">
        <v>66939</v>
      </c>
      <c r="L39" s="187">
        <v>41135</v>
      </c>
      <c r="M39" s="187">
        <v>68907</v>
      </c>
      <c r="N39" s="187">
        <v>99916</v>
      </c>
      <c r="O39" s="187">
        <v>126282</v>
      </c>
      <c r="P39" s="616">
        <v>68105</v>
      </c>
    </row>
    <row r="40" spans="2:16" ht="16" thickBot="1">
      <c r="B40" s="186" t="s">
        <v>62</v>
      </c>
      <c r="C40" s="187">
        <v>18150</v>
      </c>
      <c r="D40" s="187">
        <v>7786</v>
      </c>
      <c r="E40" s="187">
        <v>9401</v>
      </c>
      <c r="F40" s="187">
        <v>19984</v>
      </c>
      <c r="G40" s="187">
        <v>17092</v>
      </c>
      <c r="H40" s="187">
        <v>15188</v>
      </c>
      <c r="I40" s="187">
        <v>13600</v>
      </c>
      <c r="J40" s="187">
        <v>10298</v>
      </c>
      <c r="K40" s="187">
        <v>13428</v>
      </c>
      <c r="L40" s="187">
        <v>7798</v>
      </c>
      <c r="M40" s="187">
        <v>21194</v>
      </c>
      <c r="N40" s="187">
        <v>14017</v>
      </c>
      <c r="O40" s="187">
        <v>20591</v>
      </c>
      <c r="P40" s="616">
        <v>12676</v>
      </c>
    </row>
    <row r="41" spans="2:16" ht="16" thickBot="1">
      <c r="B41" s="186" t="s">
        <v>63</v>
      </c>
      <c r="C41" s="187">
        <v>38839</v>
      </c>
      <c r="D41" s="187">
        <v>210</v>
      </c>
      <c r="E41" s="187">
        <v>41275</v>
      </c>
      <c r="F41" s="187">
        <v>52291</v>
      </c>
      <c r="G41" s="187">
        <v>410</v>
      </c>
      <c r="H41" s="187">
        <v>407</v>
      </c>
      <c r="I41" s="187">
        <v>572</v>
      </c>
      <c r="J41" s="187">
        <v>1987</v>
      </c>
      <c r="K41" s="187">
        <v>913</v>
      </c>
      <c r="L41" s="187">
        <v>181</v>
      </c>
      <c r="M41" s="187">
        <v>2896</v>
      </c>
      <c r="N41" s="187">
        <v>6128</v>
      </c>
      <c r="O41" s="187">
        <v>9985</v>
      </c>
      <c r="P41" s="616">
        <v>6346</v>
      </c>
    </row>
    <row r="42" spans="2:16" ht="15.5" thickBot="1">
      <c r="B42" s="188" t="s">
        <v>64</v>
      </c>
      <c r="C42" s="189">
        <v>358724</v>
      </c>
      <c r="D42" s="189">
        <v>431857</v>
      </c>
      <c r="E42" s="189">
        <v>667757</v>
      </c>
      <c r="F42" s="189">
        <v>600151</v>
      </c>
      <c r="G42" s="189">
        <v>747321</v>
      </c>
      <c r="H42" s="189">
        <v>536767</v>
      </c>
      <c r="I42" s="189">
        <v>1050476</v>
      </c>
      <c r="J42" s="189">
        <v>856119</v>
      </c>
      <c r="K42" s="189">
        <v>611257</v>
      </c>
      <c r="L42" s="189">
        <v>712277</v>
      </c>
      <c r="M42" s="189">
        <v>746818</v>
      </c>
      <c r="N42" s="189">
        <v>1293271</v>
      </c>
      <c r="O42" s="189">
        <v>1285967</v>
      </c>
      <c r="P42" s="617">
        <f t="shared" ref="P42" si="0">SUM(P37:P41)</f>
        <v>787866</v>
      </c>
    </row>
    <row r="43" spans="2:16" ht="15.5" thickBot="1">
      <c r="B43" s="184" t="s">
        <v>65</v>
      </c>
      <c r="C43" s="185"/>
      <c r="D43" s="185"/>
      <c r="E43" s="185"/>
      <c r="F43" s="185"/>
      <c r="G43" s="185"/>
      <c r="H43" s="185"/>
      <c r="I43" s="185"/>
      <c r="J43" s="185"/>
      <c r="K43" s="185"/>
      <c r="L43" s="185"/>
      <c r="M43" s="185"/>
      <c r="N43" s="185"/>
      <c r="O43" s="185"/>
      <c r="P43" s="618"/>
    </row>
    <row r="44" spans="2:16" ht="16" thickBot="1">
      <c r="B44" s="186" t="s">
        <v>66</v>
      </c>
      <c r="C44" s="187">
        <v>20298</v>
      </c>
      <c r="D44" s="187">
        <v>16901</v>
      </c>
      <c r="E44" s="187">
        <v>13702</v>
      </c>
      <c r="F44" s="187">
        <v>12561</v>
      </c>
      <c r="G44" s="187">
        <v>10373</v>
      </c>
      <c r="H44" s="187">
        <v>10461</v>
      </c>
      <c r="I44" s="187">
        <v>12641</v>
      </c>
      <c r="J44" s="187">
        <v>13644</v>
      </c>
      <c r="K44" s="187">
        <v>12190</v>
      </c>
      <c r="L44" s="187">
        <v>11029</v>
      </c>
      <c r="M44" s="187">
        <v>11664</v>
      </c>
      <c r="N44" s="187">
        <v>10374</v>
      </c>
      <c r="O44" s="187">
        <v>9013</v>
      </c>
      <c r="P44" s="616">
        <v>8529</v>
      </c>
    </row>
    <row r="45" spans="2:16" ht="16" thickBot="1">
      <c r="B45" s="186" t="s">
        <v>67</v>
      </c>
      <c r="C45" s="187">
        <v>0</v>
      </c>
      <c r="D45" s="187">
        <v>44649</v>
      </c>
      <c r="E45" s="187">
        <v>44649</v>
      </c>
      <c r="F45" s="187">
        <v>44649</v>
      </c>
      <c r="G45" s="187">
        <v>44649</v>
      </c>
      <c r="H45" s="187">
        <v>24955</v>
      </c>
      <c r="I45" s="187">
        <v>25449</v>
      </c>
      <c r="J45" s="187">
        <v>23993</v>
      </c>
      <c r="K45" s="187">
        <v>28677</v>
      </c>
      <c r="L45" s="187">
        <v>1405</v>
      </c>
      <c r="M45" s="187">
        <v>8927</v>
      </c>
      <c r="N45" s="187">
        <v>16307</v>
      </c>
      <c r="O45" s="187">
        <v>21020</v>
      </c>
      <c r="P45" s="616">
        <v>1023</v>
      </c>
    </row>
    <row r="46" spans="2:16" ht="16" thickBot="1">
      <c r="B46" s="186" t="s">
        <v>114</v>
      </c>
      <c r="C46" s="187">
        <v>8056601</v>
      </c>
      <c r="D46" s="187">
        <v>10216170</v>
      </c>
      <c r="E46" s="187">
        <v>9530390</v>
      </c>
      <c r="F46" s="187">
        <v>9461072</v>
      </c>
      <c r="G46" s="187">
        <v>9802592</v>
      </c>
      <c r="H46" s="187">
        <v>11013197</v>
      </c>
      <c r="I46" s="187">
        <v>10732696</v>
      </c>
      <c r="J46" s="187">
        <v>11183637</v>
      </c>
      <c r="K46" s="187">
        <v>11593893</v>
      </c>
      <c r="L46" s="187">
        <v>11224367</v>
      </c>
      <c r="M46" s="187">
        <v>11933040</v>
      </c>
      <c r="N46" s="187">
        <v>11150959</v>
      </c>
      <c r="O46" s="187">
        <v>11852674</v>
      </c>
      <c r="P46" s="616">
        <v>11435299</v>
      </c>
    </row>
    <row r="47" spans="2:16" ht="16" thickBot="1">
      <c r="B47" s="186" t="s">
        <v>115</v>
      </c>
      <c r="C47" s="187">
        <v>12528</v>
      </c>
      <c r="D47" s="187">
        <v>12528</v>
      </c>
      <c r="E47" s="187">
        <v>12528</v>
      </c>
      <c r="F47" s="187">
        <v>12524</v>
      </c>
      <c r="G47" s="187">
        <v>12524</v>
      </c>
      <c r="H47" s="187">
        <v>12524</v>
      </c>
      <c r="I47" s="187">
        <v>12524</v>
      </c>
      <c r="J47" s="187">
        <v>12524</v>
      </c>
      <c r="K47" s="187">
        <v>12524</v>
      </c>
      <c r="L47" s="187">
        <v>12524</v>
      </c>
      <c r="M47" s="187">
        <v>12524</v>
      </c>
      <c r="N47" s="187">
        <v>12524</v>
      </c>
      <c r="O47" s="187">
        <v>12524</v>
      </c>
      <c r="P47" s="616">
        <v>12524</v>
      </c>
    </row>
    <row r="48" spans="2:16" ht="16" thickBot="1">
      <c r="B48" s="186" t="s">
        <v>59</v>
      </c>
      <c r="C48" s="187">
        <v>6350</v>
      </c>
      <c r="D48" s="187">
        <v>13629</v>
      </c>
      <c r="E48" s="187">
        <v>14315</v>
      </c>
      <c r="F48" s="187">
        <v>15069</v>
      </c>
      <c r="G48" s="187">
        <v>16013</v>
      </c>
      <c r="H48" s="187">
        <v>15621</v>
      </c>
      <c r="I48" s="187">
        <v>16688</v>
      </c>
      <c r="J48" s="187">
        <v>16934</v>
      </c>
      <c r="K48" s="187">
        <v>17416</v>
      </c>
      <c r="L48" s="187">
        <v>17475</v>
      </c>
      <c r="M48" s="187">
        <v>17502</v>
      </c>
      <c r="N48" s="187">
        <v>17446</v>
      </c>
      <c r="O48" s="187">
        <v>18052</v>
      </c>
      <c r="P48" s="616">
        <v>18346</v>
      </c>
    </row>
    <row r="49" spans="2:16" ht="16" thickBot="1">
      <c r="B49" s="186" t="s">
        <v>70</v>
      </c>
      <c r="C49" s="187">
        <v>0</v>
      </c>
      <c r="D49" s="187">
        <v>0</v>
      </c>
      <c r="E49" s="187">
        <v>0</v>
      </c>
      <c r="F49" s="187">
        <v>0</v>
      </c>
      <c r="G49" s="187">
        <v>0</v>
      </c>
      <c r="H49" s="187">
        <v>0</v>
      </c>
      <c r="I49" s="187">
        <v>0</v>
      </c>
      <c r="J49" s="187">
        <v>0</v>
      </c>
      <c r="K49" s="187">
        <v>0</v>
      </c>
      <c r="L49" s="187">
        <v>0</v>
      </c>
      <c r="M49" s="187">
        <v>0</v>
      </c>
      <c r="N49" s="187">
        <v>0</v>
      </c>
      <c r="O49" s="187">
        <v>0</v>
      </c>
      <c r="P49" s="616">
        <v>0</v>
      </c>
    </row>
    <row r="50" spans="2:16" ht="16" thickBot="1">
      <c r="B50" s="186" t="s">
        <v>71</v>
      </c>
      <c r="C50" s="187">
        <v>5066863</v>
      </c>
      <c r="D50" s="187">
        <v>5683964</v>
      </c>
      <c r="E50" s="187">
        <v>5835660</v>
      </c>
      <c r="F50" s="187">
        <v>5930332</v>
      </c>
      <c r="G50" s="187">
        <v>6084789</v>
      </c>
      <c r="H50" s="187">
        <v>6211045</v>
      </c>
      <c r="I50" s="187">
        <v>6287331</v>
      </c>
      <c r="J50" s="187">
        <v>6374734</v>
      </c>
      <c r="K50" s="187">
        <v>6480169</v>
      </c>
      <c r="L50" s="187">
        <v>6667921</v>
      </c>
      <c r="M50" s="187">
        <v>6797606</v>
      </c>
      <c r="N50" s="187">
        <v>6876688</v>
      </c>
      <c r="O50" s="187">
        <v>6981007</v>
      </c>
      <c r="P50" s="616">
        <v>7171938</v>
      </c>
    </row>
    <row r="51" spans="2:16" ht="16" thickBot="1">
      <c r="B51" s="186" t="s">
        <v>72</v>
      </c>
      <c r="C51" s="187">
        <v>7803</v>
      </c>
      <c r="D51" s="187">
        <v>7720</v>
      </c>
      <c r="E51" s="187">
        <v>7699</v>
      </c>
      <c r="F51" s="187">
        <v>7678</v>
      </c>
      <c r="G51" s="187">
        <v>7658</v>
      </c>
      <c r="H51" s="187">
        <v>7936</v>
      </c>
      <c r="I51" s="187">
        <v>7914</v>
      </c>
      <c r="J51" s="187">
        <v>7892</v>
      </c>
      <c r="K51" s="187">
        <v>7870</v>
      </c>
      <c r="L51" s="187">
        <v>7848</v>
      </c>
      <c r="M51" s="187">
        <v>7826</v>
      </c>
      <c r="N51" s="187">
        <v>7804</v>
      </c>
      <c r="O51" s="187">
        <v>7783</v>
      </c>
      <c r="P51" s="616">
        <v>7761</v>
      </c>
    </row>
    <row r="52" spans="2:16" ht="16" thickBot="1">
      <c r="B52" s="186" t="s">
        <v>74</v>
      </c>
      <c r="C52" s="187">
        <v>100716</v>
      </c>
      <c r="D52" s="187">
        <v>102263</v>
      </c>
      <c r="E52" s="187">
        <v>103689</v>
      </c>
      <c r="F52" s="187">
        <v>131067</v>
      </c>
      <c r="G52" s="187">
        <v>132314</v>
      </c>
      <c r="H52" s="187">
        <v>122692</v>
      </c>
      <c r="I52" s="187">
        <v>122010</v>
      </c>
      <c r="J52" s="187">
        <v>139118</v>
      </c>
      <c r="K52" s="187">
        <v>141132</v>
      </c>
      <c r="L52" s="187">
        <v>157983</v>
      </c>
      <c r="M52" s="187">
        <v>157003</v>
      </c>
      <c r="N52" s="187">
        <v>157771</v>
      </c>
      <c r="O52" s="187">
        <v>124695</v>
      </c>
      <c r="P52" s="616">
        <v>156725</v>
      </c>
    </row>
    <row r="53" spans="2:16" ht="16" thickBot="1">
      <c r="B53" s="186" t="s">
        <v>62</v>
      </c>
      <c r="C53" s="187">
        <v>1300</v>
      </c>
      <c r="D53" s="187">
        <v>1200</v>
      </c>
      <c r="E53" s="187">
        <v>1175</v>
      </c>
      <c r="F53" s="187">
        <v>1150</v>
      </c>
      <c r="G53" s="187">
        <v>1125</v>
      </c>
      <c r="H53" s="187">
        <v>1100</v>
      </c>
      <c r="I53" s="187">
        <v>1075</v>
      </c>
      <c r="J53" s="187">
        <v>1050</v>
      </c>
      <c r="K53" s="187">
        <v>1025</v>
      </c>
      <c r="L53" s="187">
        <v>1000</v>
      </c>
      <c r="M53" s="187">
        <v>975</v>
      </c>
      <c r="N53" s="187">
        <v>950</v>
      </c>
      <c r="O53" s="187">
        <v>925</v>
      </c>
      <c r="P53" s="616">
        <v>900</v>
      </c>
    </row>
    <row r="54" spans="2:16" ht="16" thickBot="1">
      <c r="B54" s="186" t="s">
        <v>75</v>
      </c>
      <c r="C54" s="187">
        <v>0</v>
      </c>
      <c r="D54" s="187">
        <v>0</v>
      </c>
      <c r="E54" s="187">
        <v>0</v>
      </c>
      <c r="F54" s="187">
        <v>0</v>
      </c>
      <c r="G54" s="187">
        <v>0</v>
      </c>
      <c r="H54" s="187">
        <v>0</v>
      </c>
      <c r="I54" s="187">
        <v>0</v>
      </c>
      <c r="J54" s="187">
        <v>0</v>
      </c>
      <c r="K54" s="187">
        <v>0</v>
      </c>
      <c r="L54" s="187">
        <v>0</v>
      </c>
      <c r="M54" s="187">
        <v>0</v>
      </c>
      <c r="N54" s="187">
        <v>0</v>
      </c>
      <c r="O54" s="187">
        <v>0</v>
      </c>
      <c r="P54" s="616">
        <v>0</v>
      </c>
    </row>
    <row r="55" spans="2:16" ht="16" thickBot="1">
      <c r="B55" s="186" t="s">
        <v>76</v>
      </c>
      <c r="C55" s="187">
        <v>0</v>
      </c>
      <c r="D55" s="187">
        <v>0</v>
      </c>
      <c r="E55" s="187">
        <v>0</v>
      </c>
      <c r="F55" s="187">
        <v>0</v>
      </c>
      <c r="G55" s="187">
        <v>0</v>
      </c>
      <c r="H55" s="187">
        <v>0</v>
      </c>
      <c r="I55" s="187">
        <v>6549</v>
      </c>
      <c r="J55" s="187">
        <v>7219</v>
      </c>
      <c r="K55" s="187">
        <v>6909</v>
      </c>
      <c r="L55" s="187">
        <v>0</v>
      </c>
      <c r="M55" s="187">
        <v>0</v>
      </c>
      <c r="N55" s="187">
        <v>0</v>
      </c>
      <c r="O55" s="187">
        <v>21615</v>
      </c>
      <c r="P55" s="616">
        <v>14945</v>
      </c>
    </row>
    <row r="56" spans="2:16" ht="16" thickBot="1">
      <c r="B56" s="186" t="s">
        <v>63</v>
      </c>
      <c r="C56" s="187">
        <v>209449</v>
      </c>
      <c r="D56" s="187">
        <v>195628</v>
      </c>
      <c r="E56" s="187">
        <v>182285</v>
      </c>
      <c r="F56" s="187">
        <v>190722</v>
      </c>
      <c r="G56" s="187">
        <v>135199</v>
      </c>
      <c r="H56" s="187">
        <v>147825</v>
      </c>
      <c r="I56" s="187">
        <v>103365</v>
      </c>
      <c r="J56" s="187">
        <v>104370</v>
      </c>
      <c r="K56" s="187">
        <v>101523</v>
      </c>
      <c r="L56" s="187">
        <v>96102</v>
      </c>
      <c r="M56" s="187">
        <v>313227</v>
      </c>
      <c r="N56" s="187">
        <v>289657</v>
      </c>
      <c r="O56" s="187">
        <v>298904</v>
      </c>
      <c r="P56" s="616">
        <v>187208</v>
      </c>
    </row>
    <row r="57" spans="2:16" ht="16" thickBot="1">
      <c r="B57" s="184" t="s">
        <v>78</v>
      </c>
      <c r="C57" s="190">
        <v>13481908</v>
      </c>
      <c r="D57" s="190">
        <v>16294652</v>
      </c>
      <c r="E57" s="190">
        <v>15746092</v>
      </c>
      <c r="F57" s="190">
        <v>15806824</v>
      </c>
      <c r="G57" s="190">
        <v>16247236</v>
      </c>
      <c r="H57" s="190">
        <v>17567356</v>
      </c>
      <c r="I57" s="191">
        <f>SUM(I44:I56)</f>
        <v>17328242</v>
      </c>
      <c r="J57" s="191">
        <f>SUM(J44:J56)</f>
        <v>17885115</v>
      </c>
      <c r="K57" s="191">
        <f>SUM(K44:K56)</f>
        <v>18403328</v>
      </c>
      <c r="L57" s="190">
        <v>18197654</v>
      </c>
      <c r="M57" s="190">
        <v>19260294</v>
      </c>
      <c r="N57" s="190">
        <v>18540480</v>
      </c>
      <c r="O57" s="190">
        <v>19348212</v>
      </c>
      <c r="P57" s="619">
        <f t="shared" ref="P57" si="1">SUM(P44:P56)</f>
        <v>19015198</v>
      </c>
    </row>
    <row r="58" spans="2:16" ht="16" thickBot="1">
      <c r="B58" s="192" t="s">
        <v>79</v>
      </c>
      <c r="C58" s="193">
        <v>13840632</v>
      </c>
      <c r="D58" s="193">
        <v>16726509</v>
      </c>
      <c r="E58" s="193">
        <v>16413849</v>
      </c>
      <c r="F58" s="193">
        <v>16406975</v>
      </c>
      <c r="G58" s="193">
        <v>16994557</v>
      </c>
      <c r="H58" s="193">
        <v>18104123</v>
      </c>
      <c r="I58" s="194">
        <f>+I57+I42</f>
        <v>18378718</v>
      </c>
      <c r="J58" s="194">
        <f>+J57+J42</f>
        <v>18741234</v>
      </c>
      <c r="K58" s="194">
        <f>+K57+K42</f>
        <v>19014585</v>
      </c>
      <c r="L58" s="193">
        <v>18909931</v>
      </c>
      <c r="M58" s="193">
        <v>20007112</v>
      </c>
      <c r="N58" s="193">
        <v>19833751</v>
      </c>
      <c r="O58" s="193">
        <v>20634179</v>
      </c>
      <c r="P58" s="620">
        <f t="shared" ref="P58" si="2">+P42+P57</f>
        <v>19803064</v>
      </c>
    </row>
    <row r="59" spans="2:16" ht="15.5" thickBot="1">
      <c r="B59" s="195"/>
      <c r="C59" s="196"/>
      <c r="D59" s="196"/>
      <c r="E59" s="196"/>
      <c r="F59" s="196"/>
      <c r="G59" s="196"/>
      <c r="H59" s="196"/>
      <c r="I59" s="196"/>
      <c r="J59" s="196"/>
      <c r="K59" s="196"/>
      <c r="L59" s="196"/>
      <c r="M59" s="196"/>
      <c r="N59" s="196"/>
      <c r="O59" s="196"/>
      <c r="P59" s="624"/>
    </row>
    <row r="60" spans="2:16" ht="15.5" thickBot="1">
      <c r="B60" s="182" t="s">
        <v>80</v>
      </c>
      <c r="C60" s="197"/>
      <c r="D60" s="197"/>
      <c r="E60" s="197"/>
      <c r="F60" s="197"/>
      <c r="G60" s="197"/>
      <c r="H60" s="197"/>
      <c r="I60" s="197"/>
      <c r="J60" s="197"/>
      <c r="K60" s="197"/>
      <c r="L60" s="197"/>
      <c r="M60" s="197"/>
      <c r="N60" s="197"/>
      <c r="O60" s="197"/>
      <c r="P60" s="621"/>
    </row>
    <row r="61" spans="2:16" ht="15.5" thickBot="1">
      <c r="B61" s="184" t="s">
        <v>81</v>
      </c>
      <c r="C61" s="198"/>
      <c r="D61" s="198"/>
      <c r="E61" s="198"/>
      <c r="F61" s="198"/>
      <c r="G61" s="198"/>
      <c r="H61" s="198"/>
      <c r="I61" s="198"/>
      <c r="J61" s="198"/>
      <c r="K61" s="198"/>
      <c r="L61" s="198"/>
      <c r="M61" s="198"/>
      <c r="N61" s="198"/>
      <c r="O61" s="198"/>
      <c r="P61" s="622"/>
    </row>
    <row r="62" spans="2:16" ht="16" thickBot="1">
      <c r="B62" s="186" t="s">
        <v>82</v>
      </c>
      <c r="C62" s="187">
        <v>146843</v>
      </c>
      <c r="D62" s="187">
        <v>113155</v>
      </c>
      <c r="E62" s="187">
        <v>151747</v>
      </c>
      <c r="F62" s="187">
        <v>130979</v>
      </c>
      <c r="G62" s="187">
        <v>151971</v>
      </c>
      <c r="H62" s="187">
        <v>137339</v>
      </c>
      <c r="I62" s="187">
        <v>152898</v>
      </c>
      <c r="J62" s="187">
        <v>169407</v>
      </c>
      <c r="K62" s="187">
        <v>189054</v>
      </c>
      <c r="L62" s="187">
        <v>214786</v>
      </c>
      <c r="M62" s="187">
        <v>232772</v>
      </c>
      <c r="N62" s="187">
        <v>207416</v>
      </c>
      <c r="O62" s="187">
        <v>219519</v>
      </c>
      <c r="P62" s="616">
        <v>151393</v>
      </c>
    </row>
    <row r="63" spans="2:16" ht="16" thickBot="1">
      <c r="B63" s="186" t="s">
        <v>83</v>
      </c>
      <c r="C63" s="187">
        <v>70525</v>
      </c>
      <c r="D63" s="187">
        <v>120476</v>
      </c>
      <c r="E63" s="187">
        <v>702081</v>
      </c>
      <c r="F63" s="187">
        <v>669247</v>
      </c>
      <c r="G63" s="187">
        <v>365951</v>
      </c>
      <c r="H63" s="187">
        <v>90486</v>
      </c>
      <c r="I63" s="187">
        <v>672446</v>
      </c>
      <c r="J63" s="187">
        <v>722891</v>
      </c>
      <c r="K63" s="187">
        <v>363131</v>
      </c>
      <c r="L63" s="187">
        <v>110314</v>
      </c>
      <c r="M63" s="187">
        <v>836712</v>
      </c>
      <c r="N63" s="187">
        <v>796245</v>
      </c>
      <c r="O63" s="187">
        <v>441251</v>
      </c>
      <c r="P63" s="616">
        <v>111643</v>
      </c>
    </row>
    <row r="64" spans="2:16" ht="16" thickBot="1">
      <c r="B64" s="186" t="s">
        <v>85</v>
      </c>
      <c r="C64" s="187">
        <v>7387</v>
      </c>
      <c r="D64" s="187">
        <v>10159</v>
      </c>
      <c r="E64" s="187">
        <v>6589</v>
      </c>
      <c r="F64" s="187">
        <v>6947</v>
      </c>
      <c r="G64" s="187">
        <v>9175</v>
      </c>
      <c r="H64" s="187">
        <v>8405</v>
      </c>
      <c r="I64" s="187">
        <v>8346</v>
      </c>
      <c r="J64" s="187">
        <v>7357</v>
      </c>
      <c r="K64" s="187">
        <v>10434</v>
      </c>
      <c r="L64" s="187">
        <v>11689</v>
      </c>
      <c r="M64" s="187">
        <v>10529</v>
      </c>
      <c r="N64" s="187">
        <v>9821</v>
      </c>
      <c r="O64" s="187">
        <v>13886</v>
      </c>
      <c r="P64" s="616">
        <v>14041</v>
      </c>
    </row>
    <row r="65" spans="2:16" ht="16" thickBot="1">
      <c r="B65" s="186" t="s">
        <v>60</v>
      </c>
      <c r="C65" s="187">
        <v>6977</v>
      </c>
      <c r="D65" s="187">
        <v>10271</v>
      </c>
      <c r="E65" s="187">
        <v>35229</v>
      </c>
      <c r="F65" s="187">
        <v>76011</v>
      </c>
      <c r="G65" s="187">
        <v>106833</v>
      </c>
      <c r="H65" s="187">
        <v>12548</v>
      </c>
      <c r="I65" s="187">
        <v>47609</v>
      </c>
      <c r="J65" s="187">
        <v>86618</v>
      </c>
      <c r="K65" s="187">
        <v>124779</v>
      </c>
      <c r="L65" s="187">
        <v>38109</v>
      </c>
      <c r="M65" s="187">
        <v>55911</v>
      </c>
      <c r="N65" s="187">
        <v>88659</v>
      </c>
      <c r="O65" s="187">
        <v>126399</v>
      </c>
      <c r="P65" s="616">
        <v>62985</v>
      </c>
    </row>
    <row r="66" spans="2:16" ht="16" thickBot="1">
      <c r="B66" s="186" t="s">
        <v>86</v>
      </c>
      <c r="C66" s="187">
        <v>25927</v>
      </c>
      <c r="D66" s="187">
        <v>38287</v>
      </c>
      <c r="E66" s="187">
        <v>15913</v>
      </c>
      <c r="F66" s="187">
        <v>18847</v>
      </c>
      <c r="G66" s="187">
        <v>20242</v>
      </c>
      <c r="H66" s="187">
        <v>437</v>
      </c>
      <c r="I66" s="187">
        <v>6565</v>
      </c>
      <c r="J66" s="187">
        <v>5549</v>
      </c>
      <c r="K66" s="187">
        <v>8772</v>
      </c>
      <c r="L66" s="187">
        <v>1715</v>
      </c>
      <c r="M66" s="187">
        <v>0</v>
      </c>
      <c r="N66" s="187">
        <v>0</v>
      </c>
      <c r="O66" s="187">
        <v>0</v>
      </c>
      <c r="P66" s="616">
        <v>0</v>
      </c>
    </row>
    <row r="67" spans="2:16" ht="16" thickBot="1">
      <c r="B67" s="186" t="s">
        <v>87</v>
      </c>
      <c r="C67" s="187">
        <v>4115</v>
      </c>
      <c r="D67" s="187">
        <v>4040</v>
      </c>
      <c r="E67" s="187">
        <v>3680</v>
      </c>
      <c r="F67" s="187">
        <v>3626</v>
      </c>
      <c r="G67" s="187">
        <v>4581</v>
      </c>
      <c r="H67" s="187">
        <v>4025</v>
      </c>
      <c r="I67" s="187">
        <v>3877</v>
      </c>
      <c r="J67" s="187">
        <v>4607</v>
      </c>
      <c r="K67" s="187">
        <v>3716</v>
      </c>
      <c r="L67" s="187">
        <v>3798</v>
      </c>
      <c r="M67" s="187">
        <v>3979</v>
      </c>
      <c r="N67" s="187">
        <v>3511</v>
      </c>
      <c r="O67" s="187">
        <v>4355</v>
      </c>
      <c r="P67" s="616">
        <v>3570</v>
      </c>
    </row>
    <row r="68" spans="2:16" ht="16" thickBot="1">
      <c r="B68" s="186" t="s">
        <v>116</v>
      </c>
      <c r="C68" s="199">
        <v>0</v>
      </c>
      <c r="D68" s="199">
        <v>0</v>
      </c>
      <c r="E68" s="199">
        <v>219</v>
      </c>
      <c r="F68" s="199">
        <v>0</v>
      </c>
      <c r="G68" s="199">
        <v>0</v>
      </c>
      <c r="H68" s="199">
        <v>0</v>
      </c>
      <c r="I68" s="199">
        <v>0</v>
      </c>
      <c r="J68" s="199">
        <v>0</v>
      </c>
      <c r="K68" s="199">
        <v>0</v>
      </c>
      <c r="L68" s="199">
        <v>0</v>
      </c>
      <c r="M68" s="199">
        <v>0</v>
      </c>
      <c r="N68" s="199">
        <v>0</v>
      </c>
      <c r="O68" s="187"/>
      <c r="P68" s="627">
        <v>0</v>
      </c>
    </row>
    <row r="69" spans="2:16" ht="15.5" thickBot="1">
      <c r="B69" s="184" t="s">
        <v>89</v>
      </c>
      <c r="C69" s="190">
        <v>261774</v>
      </c>
      <c r="D69" s="190">
        <v>296388</v>
      </c>
      <c r="E69" s="190">
        <v>915458</v>
      </c>
      <c r="F69" s="190">
        <v>905657</v>
      </c>
      <c r="G69" s="190">
        <v>658753</v>
      </c>
      <c r="H69" s="190">
        <v>253240</v>
      </c>
      <c r="I69" s="190">
        <v>891741</v>
      </c>
      <c r="J69" s="190">
        <v>996429</v>
      </c>
      <c r="K69" s="190">
        <v>699886</v>
      </c>
      <c r="L69" s="190">
        <v>380411</v>
      </c>
      <c r="M69" s="190">
        <v>1139903</v>
      </c>
      <c r="N69" s="190">
        <v>1105652</v>
      </c>
      <c r="O69" s="190">
        <v>805410</v>
      </c>
      <c r="P69" s="619">
        <f t="shared" ref="P69" si="3">SUM(P62:P68)</f>
        <v>343632</v>
      </c>
    </row>
    <row r="70" spans="2:16" ht="15.5" thickBot="1">
      <c r="B70" s="200" t="s">
        <v>90</v>
      </c>
      <c r="C70" s="201"/>
      <c r="D70" s="201"/>
      <c r="E70" s="201"/>
      <c r="F70" s="201"/>
      <c r="G70" s="201"/>
      <c r="H70" s="201"/>
      <c r="I70" s="201"/>
      <c r="J70" s="201"/>
      <c r="K70" s="201"/>
      <c r="L70" s="201"/>
      <c r="M70" s="201"/>
      <c r="N70" s="201"/>
      <c r="O70" s="201"/>
      <c r="P70" s="623"/>
    </row>
    <row r="71" spans="2:16" ht="16" thickBot="1">
      <c r="B71" s="186" t="s">
        <v>82</v>
      </c>
      <c r="C71" s="187">
        <v>2084431</v>
      </c>
      <c r="D71" s="187">
        <v>3814421</v>
      </c>
      <c r="E71" s="187">
        <v>3767433</v>
      </c>
      <c r="F71" s="187">
        <v>3767688</v>
      </c>
      <c r="G71" s="187">
        <v>4220042</v>
      </c>
      <c r="H71" s="187">
        <v>4382795</v>
      </c>
      <c r="I71" s="187">
        <v>4490811</v>
      </c>
      <c r="J71" s="187">
        <v>4239362</v>
      </c>
      <c r="K71" s="187">
        <v>4217812</v>
      </c>
      <c r="L71" s="187">
        <v>4461883</v>
      </c>
      <c r="M71" s="187">
        <v>4495967</v>
      </c>
      <c r="N71" s="187">
        <v>4727877</v>
      </c>
      <c r="O71" s="187">
        <v>4992611</v>
      </c>
      <c r="P71" s="616">
        <v>4670715</v>
      </c>
    </row>
    <row r="72" spans="2:16" ht="16" thickBot="1">
      <c r="B72" s="186" t="s">
        <v>83</v>
      </c>
      <c r="C72" s="187">
        <v>4568</v>
      </c>
      <c r="D72" s="187">
        <v>8099</v>
      </c>
      <c r="E72" s="187">
        <v>3006</v>
      </c>
      <c r="F72" s="187">
        <v>3011</v>
      </c>
      <c r="G72" s="187">
        <v>5901</v>
      </c>
      <c r="H72" s="187">
        <v>5465</v>
      </c>
      <c r="I72" s="187">
        <v>5398</v>
      </c>
      <c r="J72" s="187">
        <v>5995</v>
      </c>
      <c r="K72" s="187">
        <v>5744</v>
      </c>
      <c r="L72" s="187">
        <v>12490</v>
      </c>
      <c r="M72" s="187">
        <v>12244</v>
      </c>
      <c r="N72" s="187">
        <v>11939</v>
      </c>
      <c r="O72" s="187">
        <v>15120</v>
      </c>
      <c r="P72" s="616">
        <v>13377</v>
      </c>
    </row>
    <row r="73" spans="2:16" ht="16" thickBot="1">
      <c r="B73" s="186" t="s">
        <v>91</v>
      </c>
      <c r="C73" s="187">
        <v>288768</v>
      </c>
      <c r="D73" s="187">
        <v>300346</v>
      </c>
      <c r="E73" s="187">
        <v>303034</v>
      </c>
      <c r="F73" s="187">
        <v>305600</v>
      </c>
      <c r="G73" s="187">
        <v>308142</v>
      </c>
      <c r="H73" s="187">
        <v>310675</v>
      </c>
      <c r="I73" s="187">
        <v>313280</v>
      </c>
      <c r="J73" s="187">
        <v>315901</v>
      </c>
      <c r="K73" s="187">
        <v>318585</v>
      </c>
      <c r="L73" s="187">
        <v>321299</v>
      </c>
      <c r="M73" s="187">
        <v>324046</v>
      </c>
      <c r="N73" s="187">
        <v>326525</v>
      </c>
      <c r="O73" s="187">
        <v>328253</v>
      </c>
      <c r="P73" s="616">
        <v>329546</v>
      </c>
    </row>
    <row r="74" spans="2:16" ht="16" thickBot="1">
      <c r="B74" s="186" t="s">
        <v>85</v>
      </c>
      <c r="C74" s="187">
        <v>211351</v>
      </c>
      <c r="D74" s="187">
        <v>223294</v>
      </c>
      <c r="E74" s="187">
        <v>229287</v>
      </c>
      <c r="F74" s="187">
        <v>231466</v>
      </c>
      <c r="G74" s="187">
        <v>235552</v>
      </c>
      <c r="H74" s="187">
        <v>226206</v>
      </c>
      <c r="I74" s="187">
        <v>230478</v>
      </c>
      <c r="J74" s="187">
        <v>234750</v>
      </c>
      <c r="K74" s="187">
        <v>239009</v>
      </c>
      <c r="L74" s="187">
        <v>234046</v>
      </c>
      <c r="M74" s="187">
        <v>237351</v>
      </c>
      <c r="N74" s="187">
        <v>239143</v>
      </c>
      <c r="O74" s="187">
        <v>241163</v>
      </c>
      <c r="P74" s="616">
        <v>241713</v>
      </c>
    </row>
    <row r="75" spans="2:16" ht="16" thickBot="1">
      <c r="B75" s="186" t="s">
        <v>86</v>
      </c>
      <c r="C75" s="187">
        <v>1549</v>
      </c>
      <c r="D75" s="187">
        <v>7026</v>
      </c>
      <c r="E75" s="187">
        <v>7019</v>
      </c>
      <c r="F75" s="187">
        <v>6925</v>
      </c>
      <c r="G75" s="187">
        <v>6850</v>
      </c>
      <c r="H75" s="187">
        <v>11054</v>
      </c>
      <c r="I75" s="187">
        <v>6548</v>
      </c>
      <c r="J75" s="187">
        <v>6548</v>
      </c>
      <c r="K75" s="187">
        <v>6547</v>
      </c>
      <c r="L75" s="187">
        <v>10131</v>
      </c>
      <c r="M75" s="187">
        <v>9956</v>
      </c>
      <c r="N75" s="187">
        <v>10118</v>
      </c>
      <c r="O75" s="187">
        <v>9947</v>
      </c>
      <c r="P75" s="616">
        <v>10007</v>
      </c>
    </row>
    <row r="76" spans="2:16" ht="16" thickBot="1">
      <c r="B76" s="186" t="s">
        <v>87</v>
      </c>
      <c r="C76" s="187">
        <v>209605</v>
      </c>
      <c r="D76" s="187">
        <v>191812</v>
      </c>
      <c r="E76" s="187">
        <v>187364</v>
      </c>
      <c r="F76" s="187">
        <v>182916</v>
      </c>
      <c r="G76" s="187">
        <v>178468</v>
      </c>
      <c r="H76" s="187">
        <v>173232</v>
      </c>
      <c r="I76" s="187">
        <v>169114</v>
      </c>
      <c r="J76" s="187">
        <v>164997</v>
      </c>
      <c r="K76" s="187">
        <v>160879</v>
      </c>
      <c r="L76" s="187">
        <v>158331</v>
      </c>
      <c r="M76" s="187">
        <v>154477</v>
      </c>
      <c r="N76" s="187">
        <v>151612</v>
      </c>
      <c r="O76" s="187">
        <v>147221</v>
      </c>
      <c r="P76" s="616">
        <v>143464</v>
      </c>
    </row>
    <row r="77" spans="2:16" ht="16" thickBot="1">
      <c r="B77" s="186" t="s">
        <v>117</v>
      </c>
      <c r="C77" s="187">
        <v>900352</v>
      </c>
      <c r="D77" s="187">
        <v>908995</v>
      </c>
      <c r="E77" s="187">
        <v>911922</v>
      </c>
      <c r="F77" s="187">
        <v>923989</v>
      </c>
      <c r="G77" s="187">
        <v>921376</v>
      </c>
      <c r="H77" s="187">
        <v>848216</v>
      </c>
      <c r="I77" s="187">
        <v>846041</v>
      </c>
      <c r="J77" s="187">
        <v>844589</v>
      </c>
      <c r="K77" s="187">
        <v>841597</v>
      </c>
      <c r="L77" s="187">
        <v>860525</v>
      </c>
      <c r="M77" s="187">
        <v>858780</v>
      </c>
      <c r="N77" s="187">
        <v>859174</v>
      </c>
      <c r="O77" s="187">
        <v>857158</v>
      </c>
      <c r="P77" s="616">
        <v>850437</v>
      </c>
    </row>
    <row r="78" spans="2:16" ht="15.5" thickBot="1">
      <c r="B78" s="184" t="s">
        <v>92</v>
      </c>
      <c r="C78" s="190">
        <v>3700624</v>
      </c>
      <c r="D78" s="190">
        <v>5453993</v>
      </c>
      <c r="E78" s="190">
        <v>5409065</v>
      </c>
      <c r="F78" s="190">
        <v>5421595</v>
      </c>
      <c r="G78" s="190">
        <v>5876331</v>
      </c>
      <c r="H78" s="190">
        <v>5957643</v>
      </c>
      <c r="I78" s="190">
        <v>6061670</v>
      </c>
      <c r="J78" s="190">
        <v>5812142</v>
      </c>
      <c r="K78" s="190">
        <v>5790173</v>
      </c>
      <c r="L78" s="190">
        <v>6058705</v>
      </c>
      <c r="M78" s="190">
        <v>6092821</v>
      </c>
      <c r="N78" s="190">
        <v>6326388</v>
      </c>
      <c r="O78" s="190">
        <v>6591473</v>
      </c>
      <c r="P78" s="619">
        <f t="shared" ref="P78" si="4">SUM(P71:P77)</f>
        <v>6259259</v>
      </c>
    </row>
    <row r="79" spans="2:16" ht="15.5" thickBot="1">
      <c r="B79" s="192" t="s">
        <v>93</v>
      </c>
      <c r="C79" s="193">
        <v>3962398</v>
      </c>
      <c r="D79" s="193">
        <v>5750381</v>
      </c>
      <c r="E79" s="193">
        <v>6324523</v>
      </c>
      <c r="F79" s="193">
        <v>6327252</v>
      </c>
      <c r="G79" s="193">
        <v>6535084</v>
      </c>
      <c r="H79" s="193">
        <v>6210883</v>
      </c>
      <c r="I79" s="193">
        <v>6953411</v>
      </c>
      <c r="J79" s="193">
        <v>6808571</v>
      </c>
      <c r="K79" s="193">
        <v>6490059</v>
      </c>
      <c r="L79" s="193">
        <v>6439116</v>
      </c>
      <c r="M79" s="193">
        <v>7232724</v>
      </c>
      <c r="N79" s="193">
        <v>7432040</v>
      </c>
      <c r="O79" s="193">
        <v>7396883</v>
      </c>
      <c r="P79" s="620">
        <f t="shared" ref="P79" si="5">+P69+P78</f>
        <v>6602891</v>
      </c>
    </row>
    <row r="80" spans="2:16" ht="15.5" thickBot="1">
      <c r="B80" s="195"/>
      <c r="C80" s="196"/>
      <c r="D80" s="196"/>
      <c r="E80" s="196"/>
      <c r="F80" s="196"/>
      <c r="G80" s="196"/>
      <c r="H80" s="196"/>
      <c r="I80" s="196"/>
      <c r="J80" s="196"/>
      <c r="K80" s="196"/>
      <c r="L80" s="196"/>
      <c r="M80" s="196"/>
      <c r="N80" s="196"/>
      <c r="O80" s="196"/>
      <c r="P80" s="624"/>
    </row>
    <row r="81" spans="1:16" ht="15.5" thickBot="1">
      <c r="B81" s="202" t="s">
        <v>94</v>
      </c>
      <c r="C81" s="201"/>
      <c r="D81" s="201"/>
      <c r="E81" s="201"/>
      <c r="F81" s="201"/>
      <c r="G81" s="201"/>
      <c r="H81" s="201"/>
      <c r="I81" s="201"/>
      <c r="J81" s="201"/>
      <c r="K81" s="201"/>
      <c r="L81" s="201"/>
      <c r="M81" s="201"/>
      <c r="N81" s="201"/>
      <c r="O81" s="201"/>
      <c r="P81" s="623"/>
    </row>
    <row r="82" spans="1:16" ht="16" thickBot="1">
      <c r="B82" s="186" t="s">
        <v>95</v>
      </c>
      <c r="C82" s="187">
        <v>36916</v>
      </c>
      <c r="D82" s="187">
        <v>36916</v>
      </c>
      <c r="E82" s="187">
        <v>36916</v>
      </c>
      <c r="F82" s="187">
        <v>36916</v>
      </c>
      <c r="G82" s="187">
        <v>36916</v>
      </c>
      <c r="H82" s="187">
        <v>36916</v>
      </c>
      <c r="I82" s="187">
        <v>36916</v>
      </c>
      <c r="J82" s="187">
        <v>36916</v>
      </c>
      <c r="K82" s="187">
        <v>36916</v>
      </c>
      <c r="L82" s="187">
        <v>36916</v>
      </c>
      <c r="M82" s="187">
        <v>36916</v>
      </c>
      <c r="N82" s="187">
        <v>36916</v>
      </c>
      <c r="O82" s="187">
        <v>36916</v>
      </c>
      <c r="P82" s="616">
        <v>36916</v>
      </c>
    </row>
    <row r="83" spans="1:16" ht="16" thickBot="1">
      <c r="B83" s="186" t="s">
        <v>96</v>
      </c>
      <c r="C83" s="187">
        <v>1428128</v>
      </c>
      <c r="D83" s="187">
        <v>1428128</v>
      </c>
      <c r="E83" s="187">
        <v>1428128</v>
      </c>
      <c r="F83" s="187">
        <v>1428128</v>
      </c>
      <c r="G83" s="187">
        <v>1428128</v>
      </c>
      <c r="H83" s="187">
        <v>1428128</v>
      </c>
      <c r="I83" s="187">
        <v>1428128</v>
      </c>
      <c r="J83" s="187">
        <v>1428128</v>
      </c>
      <c r="K83" s="187">
        <v>1428128</v>
      </c>
      <c r="L83" s="187">
        <v>1428128</v>
      </c>
      <c r="M83" s="187">
        <v>1428128</v>
      </c>
      <c r="N83" s="187">
        <v>1428128</v>
      </c>
      <c r="O83" s="187">
        <v>1428128</v>
      </c>
      <c r="P83" s="616">
        <v>1428128</v>
      </c>
    </row>
    <row r="84" spans="1:16" ht="16" thickBot="1">
      <c r="B84" s="186" t="s">
        <v>97</v>
      </c>
      <c r="C84" s="187">
        <v>1878709</v>
      </c>
      <c r="D84" s="187">
        <v>3585959</v>
      </c>
      <c r="E84" s="187">
        <v>4428306</v>
      </c>
      <c r="F84" s="187">
        <v>4428306</v>
      </c>
      <c r="G84" s="187">
        <v>4428306</v>
      </c>
      <c r="H84" s="187">
        <v>4428306</v>
      </c>
      <c r="I84" s="187">
        <v>5346023</v>
      </c>
      <c r="J84" s="187">
        <v>5346023</v>
      </c>
      <c r="K84" s="187">
        <v>5346023</v>
      </c>
      <c r="L84" s="187">
        <v>5346023</v>
      </c>
      <c r="M84" s="187">
        <v>6241845</v>
      </c>
      <c r="N84" s="187">
        <v>6241845</v>
      </c>
      <c r="O84" s="187">
        <v>6241845</v>
      </c>
      <c r="P84" s="616">
        <v>6241845</v>
      </c>
    </row>
    <row r="85" spans="1:16" ht="16" thickBot="1">
      <c r="B85" s="186" t="s">
        <v>98</v>
      </c>
      <c r="C85" s="187">
        <v>3242453</v>
      </c>
      <c r="D85" s="187">
        <v>3242453</v>
      </c>
      <c r="E85" s="187">
        <v>3242453</v>
      </c>
      <c r="F85" s="187">
        <v>3242453</v>
      </c>
      <c r="G85" s="187">
        <v>3242453</v>
      </c>
      <c r="H85" s="187">
        <v>3236320</v>
      </c>
      <c r="I85" s="187">
        <v>3236320</v>
      </c>
      <c r="J85" s="187">
        <v>3236320</v>
      </c>
      <c r="K85" s="187">
        <v>3236320</v>
      </c>
      <c r="L85" s="187">
        <v>3236320</v>
      </c>
      <c r="M85" s="187">
        <v>3236320</v>
      </c>
      <c r="N85" s="187">
        <v>3236320</v>
      </c>
      <c r="O85" s="187">
        <v>3207681</v>
      </c>
      <c r="P85" s="616">
        <v>3236320</v>
      </c>
    </row>
    <row r="86" spans="1:16" ht="16" thickBot="1">
      <c r="B86" s="186" t="s">
        <v>99</v>
      </c>
      <c r="C86" s="187">
        <v>2141460</v>
      </c>
      <c r="D86" s="187">
        <v>1442708</v>
      </c>
      <c r="E86" s="187">
        <v>298768</v>
      </c>
      <c r="F86" s="187">
        <v>532219</v>
      </c>
      <c r="G86" s="187">
        <v>946440</v>
      </c>
      <c r="H86" s="187">
        <v>1529155</v>
      </c>
      <c r="I86" s="187">
        <v>354319</v>
      </c>
      <c r="J86" s="187">
        <v>794601</v>
      </c>
      <c r="K86" s="187">
        <v>1201645</v>
      </c>
      <c r="L86" s="187">
        <v>1643505</v>
      </c>
      <c r="M86" s="187">
        <v>379700</v>
      </c>
      <c r="N86" s="187">
        <v>931307</v>
      </c>
      <c r="O86" s="187">
        <v>1412690</v>
      </c>
      <c r="P86" s="616">
        <v>2062950</v>
      </c>
    </row>
    <row r="87" spans="1:16" ht="16" thickBot="1">
      <c r="B87" s="186" t="s">
        <v>100</v>
      </c>
      <c r="C87" s="187">
        <v>1150568</v>
      </c>
      <c r="D87" s="187">
        <v>1239964</v>
      </c>
      <c r="E87" s="187">
        <v>654755</v>
      </c>
      <c r="F87" s="187">
        <v>411701</v>
      </c>
      <c r="G87" s="187">
        <v>377230</v>
      </c>
      <c r="H87" s="187">
        <v>1234415</v>
      </c>
      <c r="I87" s="187">
        <v>1023601</v>
      </c>
      <c r="J87" s="187">
        <v>1090675</v>
      </c>
      <c r="K87" s="187">
        <v>1275494</v>
      </c>
      <c r="L87" s="187">
        <v>779923</v>
      </c>
      <c r="M87" s="187">
        <v>1451479</v>
      </c>
      <c r="N87" s="187">
        <v>527195</v>
      </c>
      <c r="O87" s="187">
        <v>910036</v>
      </c>
      <c r="P87" s="616">
        <v>194014</v>
      </c>
    </row>
    <row r="88" spans="1:16" ht="15.5" thickBot="1">
      <c r="B88" s="184" t="s">
        <v>103</v>
      </c>
      <c r="C88" s="190">
        <v>9878234</v>
      </c>
      <c r="D88" s="190">
        <v>10976128</v>
      </c>
      <c r="E88" s="190">
        <v>10089326</v>
      </c>
      <c r="F88" s="190">
        <v>10079723</v>
      </c>
      <c r="G88" s="190">
        <v>10459473</v>
      </c>
      <c r="H88" s="190">
        <v>11893240</v>
      </c>
      <c r="I88" s="190">
        <f>SUM(I82:I87)</f>
        <v>11425307</v>
      </c>
      <c r="J88" s="190">
        <f>SUM(J82:J87)</f>
        <v>11932663</v>
      </c>
      <c r="K88" s="190">
        <f>SUM(K82:K87)</f>
        <v>12524526</v>
      </c>
      <c r="L88" s="190">
        <v>12470815</v>
      </c>
      <c r="M88" s="190">
        <v>12774388</v>
      </c>
      <c r="N88" s="190">
        <v>12401711</v>
      </c>
      <c r="O88" s="190">
        <v>13237296</v>
      </c>
      <c r="P88" s="619">
        <f t="shared" ref="P88" si="6">SUM(P82:P87)</f>
        <v>13200173</v>
      </c>
    </row>
    <row r="89" spans="1:16" ht="15.5" thickBot="1">
      <c r="B89" s="203" t="s">
        <v>104</v>
      </c>
      <c r="C89" s="193">
        <v>13840632</v>
      </c>
      <c r="D89" s="193">
        <v>16726509</v>
      </c>
      <c r="E89" s="193">
        <v>16413849</v>
      </c>
      <c r="F89" s="193">
        <v>16406975</v>
      </c>
      <c r="G89" s="193">
        <v>16994557</v>
      </c>
      <c r="H89" s="193">
        <v>18104123</v>
      </c>
      <c r="I89" s="193">
        <f>+I88+I788</f>
        <v>11425307</v>
      </c>
      <c r="J89" s="193">
        <f>+J88+J788</f>
        <v>11932663</v>
      </c>
      <c r="K89" s="193">
        <f>+K88+K788</f>
        <v>12524526</v>
      </c>
      <c r="L89" s="193">
        <v>18909931</v>
      </c>
      <c r="M89" s="193">
        <v>20007112</v>
      </c>
      <c r="N89" s="193">
        <v>19833751</v>
      </c>
      <c r="O89" s="193">
        <v>20634179</v>
      </c>
      <c r="P89" s="620">
        <f t="shared" ref="P89" si="7">+P79+P88</f>
        <v>19803064</v>
      </c>
    </row>
    <row r="90" spans="1:16" ht="15.5">
      <c r="B90" s="168"/>
      <c r="C90" s="204">
        <f>+C58-C79-C88</f>
        <v>0</v>
      </c>
      <c r="D90" s="204">
        <f t="shared" ref="D90:N90" si="8">+D58-D79-D88</f>
        <v>0</v>
      </c>
      <c r="E90" s="204">
        <f t="shared" si="8"/>
        <v>0</v>
      </c>
      <c r="F90" s="204">
        <f t="shared" si="8"/>
        <v>0</v>
      </c>
      <c r="G90" s="204">
        <f t="shared" si="8"/>
        <v>0</v>
      </c>
      <c r="H90" s="204">
        <f t="shared" si="8"/>
        <v>0</v>
      </c>
      <c r="I90" s="204">
        <f>+I58-I79-I88</f>
        <v>0</v>
      </c>
      <c r="J90" s="204">
        <f t="shared" si="8"/>
        <v>0</v>
      </c>
      <c r="K90" s="204">
        <f t="shared" si="8"/>
        <v>0</v>
      </c>
      <c r="L90" s="204">
        <f t="shared" si="8"/>
        <v>0</v>
      </c>
      <c r="M90" s="204">
        <f t="shared" si="8"/>
        <v>0</v>
      </c>
      <c r="N90" s="204">
        <f t="shared" si="8"/>
        <v>0</v>
      </c>
      <c r="O90" s="204">
        <v>0</v>
      </c>
      <c r="P90" s="626">
        <f t="shared" ref="P90" si="9">+P89-P58</f>
        <v>0</v>
      </c>
    </row>
    <row r="91" spans="1:16" ht="15.5">
      <c r="B91" s="167"/>
      <c r="C91" s="205">
        <f>+C27-C86</f>
        <v>0</v>
      </c>
      <c r="D91" s="205">
        <f>+D27-D86</f>
        <v>0</v>
      </c>
      <c r="E91" s="205">
        <f>+E27-E86</f>
        <v>0</v>
      </c>
      <c r="F91" s="205">
        <f>+F27+E27-F86</f>
        <v>0</v>
      </c>
      <c r="G91" s="205">
        <f>+G27+F27+E27-G86</f>
        <v>0</v>
      </c>
      <c r="H91" s="205">
        <f>+H27+G27+F27+E27-H86</f>
        <v>0</v>
      </c>
      <c r="I91" s="205">
        <f>+I27-I86</f>
        <v>0</v>
      </c>
      <c r="J91" s="205">
        <f>+J27+I27-J86</f>
        <v>0</v>
      </c>
      <c r="K91" s="205">
        <f>+K27+J27+I27-K86</f>
        <v>0</v>
      </c>
      <c r="L91" s="205">
        <f>+L27+K27+J27+I27-L86</f>
        <v>0</v>
      </c>
      <c r="M91" s="205">
        <f>+M27-M86</f>
        <v>0</v>
      </c>
      <c r="N91" s="205">
        <f>+N27+M27-N86</f>
        <v>0</v>
      </c>
      <c r="O91" s="205">
        <v>3580</v>
      </c>
      <c r="P91" s="98"/>
    </row>
    <row r="92" spans="1:16" ht="15.5">
      <c r="B92" s="167"/>
      <c r="C92" s="206"/>
      <c r="D92" s="206"/>
      <c r="E92" s="206"/>
      <c r="F92" s="206"/>
      <c r="G92" s="206"/>
      <c r="H92" s="206"/>
      <c r="I92" s="206"/>
      <c r="J92" s="206"/>
      <c r="K92" s="206"/>
      <c r="L92" s="206"/>
      <c r="M92" s="206"/>
      <c r="N92" s="206"/>
      <c r="O92" s="206"/>
    </row>
    <row r="93" spans="1:16" ht="15.5">
      <c r="A93" s="119" t="s">
        <v>105</v>
      </c>
      <c r="B93" s="12" t="s">
        <v>118</v>
      </c>
      <c r="C93" s="99"/>
      <c r="D93" s="99"/>
      <c r="E93" s="99"/>
      <c r="F93" s="99"/>
      <c r="G93" s="99"/>
      <c r="H93" s="99"/>
      <c r="I93" s="99"/>
      <c r="J93" s="99"/>
      <c r="K93" s="99"/>
      <c r="L93" s="99"/>
      <c r="M93" s="99"/>
      <c r="N93" s="99"/>
      <c r="O93" s="99"/>
    </row>
    <row r="94" spans="1:16" ht="15.5">
      <c r="B94" s="14" t="s">
        <v>19</v>
      </c>
      <c r="C94" s="168"/>
      <c r="D94" s="168"/>
      <c r="E94" s="168"/>
      <c r="F94" s="168"/>
      <c r="G94" s="168"/>
      <c r="H94" s="168"/>
      <c r="I94" s="168"/>
      <c r="J94" s="168"/>
      <c r="K94" s="168"/>
      <c r="L94" s="168"/>
      <c r="M94" s="168"/>
      <c r="N94" s="168"/>
      <c r="O94" s="168"/>
    </row>
    <row r="95" spans="1:16" ht="15.5">
      <c r="B95" s="9"/>
      <c r="C95" s="9"/>
      <c r="D95" s="9"/>
      <c r="E95" s="9"/>
      <c r="F95" s="9"/>
      <c r="G95" s="9"/>
      <c r="H95" s="9"/>
      <c r="I95" s="9"/>
      <c r="J95" s="9"/>
      <c r="K95" s="9"/>
      <c r="L95" s="9"/>
      <c r="M95" s="9"/>
      <c r="N95" s="9"/>
      <c r="O95" s="9"/>
    </row>
    <row r="96" spans="1:16" s="32" customFormat="1" ht="15.5">
      <c r="B96" s="169"/>
      <c r="C96" s="170">
        <v>2016</v>
      </c>
      <c r="D96" s="170">
        <v>2017</v>
      </c>
      <c r="E96" s="170" t="s">
        <v>20</v>
      </c>
      <c r="F96" s="170" t="s">
        <v>21</v>
      </c>
      <c r="G96" s="170" t="s">
        <v>22</v>
      </c>
      <c r="H96" s="170" t="s">
        <v>23</v>
      </c>
      <c r="I96" s="170" t="s">
        <v>24</v>
      </c>
      <c r="J96" s="170" t="s">
        <v>25</v>
      </c>
      <c r="K96" s="170" t="s">
        <v>26</v>
      </c>
      <c r="L96" s="170" t="s">
        <v>27</v>
      </c>
      <c r="M96" s="170" t="s">
        <v>28</v>
      </c>
      <c r="N96" s="170" t="s">
        <v>29</v>
      </c>
      <c r="O96" s="170" t="s">
        <v>30</v>
      </c>
      <c r="P96" s="170" t="s">
        <v>954</v>
      </c>
    </row>
    <row r="97" spans="2:16" ht="15.5">
      <c r="B97" s="171"/>
      <c r="C97" s="9"/>
      <c r="D97" s="9"/>
      <c r="E97" s="9"/>
      <c r="F97" s="9"/>
      <c r="G97" s="9"/>
      <c r="H97" s="9"/>
      <c r="I97" s="9"/>
      <c r="J97" s="9"/>
      <c r="K97" s="9"/>
      <c r="L97" s="9"/>
      <c r="M97" s="9"/>
      <c r="N97" s="9"/>
      <c r="O97" s="9"/>
    </row>
    <row r="98" spans="2:16" ht="15.5">
      <c r="B98" s="172" t="s">
        <v>108</v>
      </c>
      <c r="C98" s="207">
        <v>1017608</v>
      </c>
      <c r="D98" s="207">
        <v>947816</v>
      </c>
      <c r="E98" s="207">
        <v>236187</v>
      </c>
      <c r="F98" s="207">
        <v>240267</v>
      </c>
      <c r="G98" s="207">
        <v>243982</v>
      </c>
      <c r="H98" s="207">
        <v>249792</v>
      </c>
      <c r="I98" s="207">
        <v>250666</v>
      </c>
      <c r="J98" s="207">
        <v>257791</v>
      </c>
      <c r="K98" s="207">
        <v>265674</v>
      </c>
      <c r="L98" s="207">
        <v>270754</v>
      </c>
      <c r="M98" s="207">
        <v>281949</v>
      </c>
      <c r="N98" s="207">
        <v>286133</v>
      </c>
      <c r="O98" s="207">
        <v>287343</v>
      </c>
      <c r="P98" s="584">
        <v>286.89800000000002</v>
      </c>
    </row>
    <row r="99" spans="2:16" ht="15.5">
      <c r="B99" s="172" t="s">
        <v>109</v>
      </c>
      <c r="C99" s="207">
        <v>103748</v>
      </c>
      <c r="D99" s="207">
        <v>116537</v>
      </c>
      <c r="E99" s="207">
        <v>28712</v>
      </c>
      <c r="F99" s="207">
        <v>29431</v>
      </c>
      <c r="G99" s="207">
        <v>31229</v>
      </c>
      <c r="H99" s="207">
        <v>30633</v>
      </c>
      <c r="I99" s="207">
        <v>29501</v>
      </c>
      <c r="J99" s="207">
        <v>30517</v>
      </c>
      <c r="K99" s="207">
        <v>33076</v>
      </c>
      <c r="L99" s="207">
        <v>31313</v>
      </c>
      <c r="M99" s="207">
        <v>32691</v>
      </c>
      <c r="N99" s="207">
        <v>33338</v>
      </c>
      <c r="O99" s="207">
        <v>35723</v>
      </c>
      <c r="P99" s="584">
        <v>37.807000000000002</v>
      </c>
    </row>
    <row r="100" spans="2:16" ht="15.5">
      <c r="B100" s="172" t="s">
        <v>119</v>
      </c>
      <c r="C100" s="207">
        <v>13564</v>
      </c>
      <c r="D100" s="207">
        <v>14655</v>
      </c>
      <c r="E100" s="207">
        <v>4037</v>
      </c>
      <c r="F100" s="207">
        <v>4771</v>
      </c>
      <c r="G100" s="207">
        <v>5463</v>
      </c>
      <c r="H100" s="207">
        <v>6263</v>
      </c>
      <c r="I100" s="207">
        <v>4507</v>
      </c>
      <c r="J100" s="207">
        <v>5088</v>
      </c>
      <c r="K100" s="207">
        <v>6103</v>
      </c>
      <c r="L100" s="207">
        <v>6957</v>
      </c>
      <c r="M100" s="207">
        <v>4849</v>
      </c>
      <c r="N100" s="207">
        <v>4212</v>
      </c>
      <c r="O100" s="207">
        <v>6011</v>
      </c>
      <c r="P100" s="584">
        <v>6.52</v>
      </c>
    </row>
    <row r="101" spans="2:16" ht="15.5">
      <c r="B101" s="172" t="s">
        <v>120</v>
      </c>
      <c r="C101" s="207">
        <v>5535</v>
      </c>
      <c r="D101" s="207">
        <v>5566</v>
      </c>
      <c r="E101" s="207">
        <v>1417</v>
      </c>
      <c r="F101" s="207">
        <v>1418</v>
      </c>
      <c r="G101" s="207">
        <v>1418</v>
      </c>
      <c r="H101" s="207">
        <v>1688</v>
      </c>
      <c r="I101" s="207">
        <v>1876</v>
      </c>
      <c r="J101" s="207">
        <v>1862</v>
      </c>
      <c r="K101" s="207">
        <v>1840</v>
      </c>
      <c r="L101" s="207">
        <v>1844</v>
      </c>
      <c r="M101" s="207">
        <v>1100</v>
      </c>
      <c r="N101" s="207">
        <v>2010</v>
      </c>
      <c r="O101" s="207">
        <v>1505</v>
      </c>
      <c r="P101" s="584">
        <v>1.5349999999999999</v>
      </c>
    </row>
    <row r="102" spans="2:16" ht="15.5">
      <c r="B102" s="172" t="s">
        <v>40</v>
      </c>
      <c r="C102" s="207">
        <v>17730</v>
      </c>
      <c r="D102" s="207">
        <v>19144</v>
      </c>
      <c r="E102" s="207">
        <v>4127</v>
      </c>
      <c r="F102" s="207">
        <v>5694</v>
      </c>
      <c r="G102" s="207">
        <v>6555</v>
      </c>
      <c r="H102" s="207">
        <v>6652</v>
      </c>
      <c r="I102" s="207">
        <v>5184</v>
      </c>
      <c r="J102" s="207">
        <v>5827</v>
      </c>
      <c r="K102" s="207">
        <v>5445</v>
      </c>
      <c r="L102" s="207">
        <v>7489</v>
      </c>
      <c r="M102" s="207">
        <v>5693</v>
      </c>
      <c r="N102" s="207">
        <v>7000</v>
      </c>
      <c r="O102" s="207">
        <v>6344</v>
      </c>
      <c r="P102" s="584">
        <v>6.6630000000000003</v>
      </c>
    </row>
    <row r="103" spans="2:16" ht="15.5">
      <c r="B103" s="172" t="s">
        <v>41</v>
      </c>
      <c r="C103" s="207">
        <v>1094702</v>
      </c>
      <c r="D103" s="207">
        <v>1054887</v>
      </c>
      <c r="E103" s="207">
        <v>262624</v>
      </c>
      <c r="F103" s="207">
        <v>269268</v>
      </c>
      <c r="G103" s="207">
        <v>275919</v>
      </c>
      <c r="H103" s="207">
        <v>283929</v>
      </c>
      <c r="I103" s="207">
        <v>279650</v>
      </c>
      <c r="J103" s="207">
        <v>287769</v>
      </c>
      <c r="K103" s="207">
        <v>302186</v>
      </c>
      <c r="L103" s="207">
        <v>305298</v>
      </c>
      <c r="M103" s="207">
        <v>312532</v>
      </c>
      <c r="N103" s="207">
        <v>316528</v>
      </c>
      <c r="O103" s="207">
        <v>322980</v>
      </c>
      <c r="P103" s="584">
        <v>330.63200000000001</v>
      </c>
    </row>
    <row r="104" spans="2:16" ht="15.5">
      <c r="B104" s="174" t="s">
        <v>112</v>
      </c>
      <c r="C104" s="208">
        <v>63483</v>
      </c>
      <c r="D104" s="208">
        <v>48831</v>
      </c>
      <c r="E104" s="208">
        <v>11856</v>
      </c>
      <c r="F104" s="208">
        <v>12313</v>
      </c>
      <c r="G104" s="208">
        <v>12728</v>
      </c>
      <c r="H104" s="208">
        <v>11099</v>
      </c>
      <c r="I104" s="208">
        <v>12084</v>
      </c>
      <c r="J104" s="208">
        <v>13316</v>
      </c>
      <c r="K104" s="208">
        <v>9952</v>
      </c>
      <c r="L104" s="208">
        <v>13059</v>
      </c>
      <c r="M104" s="208">
        <v>13750</v>
      </c>
      <c r="N104" s="208">
        <v>16165</v>
      </c>
      <c r="O104" s="208">
        <v>13946</v>
      </c>
      <c r="P104" s="585">
        <v>8.7910000000000004</v>
      </c>
    </row>
    <row r="105" spans="2:16" ht="15.5">
      <c r="B105" s="171"/>
      <c r="C105" s="9"/>
      <c r="D105" s="9"/>
      <c r="E105" s="9"/>
      <c r="F105" s="9"/>
      <c r="G105" s="9"/>
      <c r="H105" s="9"/>
      <c r="I105" s="9"/>
      <c r="J105" s="9"/>
      <c r="K105" s="9"/>
      <c r="L105" s="9"/>
      <c r="M105" s="9"/>
      <c r="N105" s="9"/>
      <c r="O105" s="9"/>
      <c r="P105" s="586"/>
    </row>
    <row r="106" spans="2:16" ht="15.5">
      <c r="B106" s="172" t="s">
        <v>44</v>
      </c>
      <c r="C106" s="207">
        <v>20860</v>
      </c>
      <c r="D106" s="207">
        <v>6255</v>
      </c>
      <c r="E106" s="207">
        <v>786</v>
      </c>
      <c r="F106" s="207">
        <v>776</v>
      </c>
      <c r="G106" s="207">
        <v>1529</v>
      </c>
      <c r="H106" s="207">
        <v>380</v>
      </c>
      <c r="I106" s="207">
        <v>699</v>
      </c>
      <c r="J106" s="207">
        <v>856</v>
      </c>
      <c r="K106" s="207">
        <v>1047</v>
      </c>
      <c r="L106" s="207">
        <v>-21</v>
      </c>
      <c r="M106" s="207">
        <v>1031</v>
      </c>
      <c r="N106" s="207">
        <v>711</v>
      </c>
      <c r="O106" s="207">
        <v>943</v>
      </c>
      <c r="P106" s="584">
        <v>-3.4159999999999999</v>
      </c>
    </row>
    <row r="107" spans="2:16" ht="15.5">
      <c r="B107" s="172" t="s">
        <v>45</v>
      </c>
      <c r="C107" s="207">
        <v>0</v>
      </c>
      <c r="D107" s="207">
        <v>0</v>
      </c>
      <c r="E107" s="207">
        <v>0</v>
      </c>
      <c r="F107" s="207">
        <v>0</v>
      </c>
      <c r="G107" s="207">
        <v>0</v>
      </c>
      <c r="H107" s="207">
        <v>0</v>
      </c>
      <c r="I107" s="207">
        <v>0</v>
      </c>
      <c r="J107" s="207">
        <v>0</v>
      </c>
      <c r="K107" s="207">
        <v>0</v>
      </c>
      <c r="L107" s="207">
        <v>0</v>
      </c>
      <c r="M107" s="207">
        <v>0</v>
      </c>
      <c r="N107" s="207">
        <v>0</v>
      </c>
      <c r="O107" s="207">
        <v>0</v>
      </c>
      <c r="P107" s="584" t="s">
        <v>981</v>
      </c>
    </row>
    <row r="108" spans="2:16" ht="15.5">
      <c r="B108" s="172" t="s">
        <v>46</v>
      </c>
      <c r="C108" s="207">
        <v>778</v>
      </c>
      <c r="D108" s="207">
        <v>1175</v>
      </c>
      <c r="E108" s="207">
        <v>293</v>
      </c>
      <c r="F108" s="207">
        <v>299</v>
      </c>
      <c r="G108" s="207">
        <v>358</v>
      </c>
      <c r="H108" s="207">
        <v>438</v>
      </c>
      <c r="I108" s="207">
        <v>308</v>
      </c>
      <c r="J108" s="207">
        <v>302</v>
      </c>
      <c r="K108" s="207">
        <v>1921</v>
      </c>
      <c r="L108" s="207">
        <v>350</v>
      </c>
      <c r="M108" s="207">
        <v>316</v>
      </c>
      <c r="N108" s="207">
        <v>-1220</v>
      </c>
      <c r="O108" s="207">
        <v>197</v>
      </c>
      <c r="P108" s="584">
        <v>-23</v>
      </c>
    </row>
    <row r="109" spans="2:16" ht="15.5">
      <c r="B109" s="174" t="s">
        <v>47</v>
      </c>
      <c r="C109" s="209">
        <v>43401</v>
      </c>
      <c r="D109" s="209">
        <v>43751</v>
      </c>
      <c r="E109" s="209">
        <v>11363</v>
      </c>
      <c r="F109" s="209">
        <v>11836</v>
      </c>
      <c r="G109" s="209">
        <v>11557</v>
      </c>
      <c r="H109" s="209">
        <v>11157</v>
      </c>
      <c r="I109" s="209">
        <v>11693</v>
      </c>
      <c r="J109" s="209">
        <v>12762</v>
      </c>
      <c r="K109" s="209">
        <v>10826</v>
      </c>
      <c r="L109" s="209">
        <v>13430</v>
      </c>
      <c r="M109" s="209">
        <v>13035</v>
      </c>
      <c r="N109" s="209">
        <v>14234</v>
      </c>
      <c r="O109" s="209">
        <v>13200</v>
      </c>
      <c r="P109" s="585">
        <v>12.183999999999999</v>
      </c>
    </row>
    <row r="110" spans="2:16" ht="15.5">
      <c r="B110" s="172"/>
      <c r="C110" s="207"/>
      <c r="D110" s="207"/>
      <c r="E110" s="207"/>
      <c r="F110" s="207"/>
      <c r="G110" s="207"/>
      <c r="H110" s="207"/>
      <c r="I110" s="207"/>
      <c r="J110" s="207"/>
      <c r="K110" s="207"/>
      <c r="L110" s="207"/>
      <c r="M110" s="207"/>
      <c r="N110" s="207"/>
      <c r="O110" s="207"/>
      <c r="P110" s="584"/>
    </row>
    <row r="111" spans="2:16" ht="15.5">
      <c r="B111" s="172" t="s">
        <v>48</v>
      </c>
      <c r="C111" s="207">
        <v>236</v>
      </c>
      <c r="D111" s="207">
        <v>-1324</v>
      </c>
      <c r="E111" s="207">
        <v>-470</v>
      </c>
      <c r="F111" s="207">
        <v>-1010</v>
      </c>
      <c r="G111" s="207">
        <v>-442</v>
      </c>
      <c r="H111" s="207">
        <v>-246</v>
      </c>
      <c r="I111" s="207">
        <v>-725</v>
      </c>
      <c r="J111" s="207">
        <v>-1309</v>
      </c>
      <c r="K111" s="207">
        <v>207</v>
      </c>
      <c r="L111" s="207">
        <v>-1470</v>
      </c>
      <c r="M111" s="207">
        <v>-548</v>
      </c>
      <c r="N111" s="207">
        <v>-1022</v>
      </c>
      <c r="O111" s="207">
        <v>-255</v>
      </c>
      <c r="P111" s="584">
        <v>-188</v>
      </c>
    </row>
    <row r="112" spans="2:16" ht="15.5">
      <c r="B112" s="174" t="s">
        <v>49</v>
      </c>
      <c r="C112" s="209">
        <v>43637</v>
      </c>
      <c r="D112" s="209">
        <v>42427</v>
      </c>
      <c r="E112" s="209">
        <v>10893</v>
      </c>
      <c r="F112" s="209">
        <v>10826</v>
      </c>
      <c r="G112" s="209">
        <v>11115</v>
      </c>
      <c r="H112" s="209">
        <v>10911</v>
      </c>
      <c r="I112" s="209">
        <v>10968</v>
      </c>
      <c r="J112" s="209">
        <v>11453</v>
      </c>
      <c r="K112" s="209">
        <v>11033</v>
      </c>
      <c r="L112" s="209">
        <v>11960</v>
      </c>
      <c r="M112" s="209">
        <v>12487</v>
      </c>
      <c r="N112" s="209">
        <v>13212</v>
      </c>
      <c r="O112" s="209">
        <v>12945</v>
      </c>
      <c r="P112" s="585">
        <v>11.996</v>
      </c>
    </row>
    <row r="113" spans="1:16" ht="15.5">
      <c r="B113" s="171"/>
      <c r="C113" s="9"/>
      <c r="D113" s="9"/>
      <c r="E113" s="9"/>
      <c r="F113" s="9"/>
      <c r="G113" s="9"/>
      <c r="H113" s="9"/>
      <c r="I113" s="9"/>
      <c r="J113" s="9"/>
      <c r="K113" s="9"/>
      <c r="L113" s="9"/>
      <c r="M113" s="9"/>
      <c r="N113" s="9"/>
      <c r="O113" s="9"/>
      <c r="P113" s="586"/>
    </row>
    <row r="114" spans="1:16" ht="15.5">
      <c r="B114" s="172" t="s">
        <v>50</v>
      </c>
      <c r="C114" s="207">
        <v>20008</v>
      </c>
      <c r="D114" s="207">
        <v>18005</v>
      </c>
      <c r="E114" s="207">
        <v>4189</v>
      </c>
      <c r="F114" s="207">
        <v>2264</v>
      </c>
      <c r="G114" s="207">
        <v>4363</v>
      </c>
      <c r="H114" s="207">
        <v>6451</v>
      </c>
      <c r="I114" s="207">
        <v>3396</v>
      </c>
      <c r="J114" s="207">
        <v>4552</v>
      </c>
      <c r="K114" s="207">
        <v>2844</v>
      </c>
      <c r="L114" s="207">
        <v>1679</v>
      </c>
      <c r="M114" s="207">
        <v>3913</v>
      </c>
      <c r="N114" s="207">
        <v>8604</v>
      </c>
      <c r="O114" s="207">
        <v>4572</v>
      </c>
      <c r="P114" s="584">
        <v>4.1269999999999998</v>
      </c>
    </row>
    <row r="115" spans="1:16" ht="15.5">
      <c r="B115" s="174" t="s">
        <v>53</v>
      </c>
      <c r="C115" s="209">
        <v>23629</v>
      </c>
      <c r="D115" s="209">
        <v>24422</v>
      </c>
      <c r="E115" s="209">
        <v>6704</v>
      </c>
      <c r="F115" s="209">
        <v>8562</v>
      </c>
      <c r="G115" s="209">
        <v>6752</v>
      </c>
      <c r="H115" s="209">
        <v>4460</v>
      </c>
      <c r="I115" s="209">
        <v>7572</v>
      </c>
      <c r="J115" s="209">
        <v>6901</v>
      </c>
      <c r="K115" s="209">
        <v>8189</v>
      </c>
      <c r="L115" s="209">
        <v>10281</v>
      </c>
      <c r="M115" s="209">
        <v>8574</v>
      </c>
      <c r="N115" s="209">
        <v>4608</v>
      </c>
      <c r="O115" s="209">
        <v>8373</v>
      </c>
      <c r="P115" s="585">
        <v>7.8689999999999998</v>
      </c>
    </row>
    <row r="116" spans="1:16" ht="15.5">
      <c r="B116" s="167"/>
      <c r="C116" s="167"/>
      <c r="D116" s="167"/>
      <c r="E116" s="167"/>
      <c r="F116" s="167"/>
      <c r="G116" s="167"/>
      <c r="H116" s="167"/>
      <c r="I116" s="167"/>
      <c r="J116" s="167"/>
      <c r="K116" s="167"/>
      <c r="L116" s="167"/>
      <c r="M116" s="167"/>
      <c r="N116" s="167"/>
      <c r="O116" s="167"/>
    </row>
    <row r="117" spans="1:16" ht="15.5">
      <c r="B117" s="167"/>
      <c r="C117" s="167"/>
      <c r="D117" s="167"/>
      <c r="E117" s="167"/>
      <c r="F117" s="167"/>
      <c r="G117" s="167"/>
      <c r="H117" s="167"/>
      <c r="I117" s="167"/>
      <c r="J117" s="167"/>
      <c r="K117" s="167"/>
      <c r="L117" s="167"/>
      <c r="M117" s="167"/>
      <c r="N117" s="167"/>
      <c r="O117" s="167"/>
    </row>
    <row r="118" spans="1:16" ht="15.5">
      <c r="B118" s="167"/>
      <c r="C118" s="167"/>
      <c r="D118" s="167"/>
      <c r="E118" s="167"/>
      <c r="F118" s="167"/>
      <c r="G118" s="167"/>
      <c r="H118" s="167"/>
      <c r="I118" s="167"/>
      <c r="J118" s="167"/>
      <c r="K118" s="167"/>
      <c r="L118" s="167"/>
      <c r="M118" s="167"/>
      <c r="N118" s="167"/>
      <c r="O118" s="167"/>
    </row>
    <row r="119" spans="1:16" ht="15.5">
      <c r="A119" s="119" t="s">
        <v>105</v>
      </c>
      <c r="B119" s="12" t="s">
        <v>121</v>
      </c>
      <c r="C119" s="168"/>
      <c r="D119" s="168"/>
      <c r="E119" s="168"/>
      <c r="F119" s="168"/>
      <c r="G119" s="168"/>
      <c r="H119" s="177"/>
      <c r="I119" s="177"/>
      <c r="J119" s="177"/>
      <c r="K119" s="177"/>
      <c r="L119" s="177"/>
      <c r="M119" s="177"/>
      <c r="N119" s="177"/>
      <c r="O119" s="177"/>
    </row>
    <row r="120" spans="1:16" ht="15.5">
      <c r="B120" s="14" t="s">
        <v>55</v>
      </c>
      <c r="C120" s="168"/>
      <c r="D120" s="168"/>
      <c r="E120" s="168"/>
      <c r="F120" s="168"/>
      <c r="G120" s="168"/>
      <c r="H120" s="178"/>
      <c r="I120" s="178"/>
      <c r="J120" s="178"/>
      <c r="K120" s="178"/>
      <c r="L120" s="178"/>
      <c r="M120" s="178"/>
      <c r="N120" s="210">
        <v>1000000</v>
      </c>
      <c r="O120" s="210"/>
    </row>
    <row r="121" spans="1:16" ht="15.5">
      <c r="B121" s="179"/>
      <c r="C121" s="168"/>
      <c r="D121" s="168"/>
      <c r="E121" s="168"/>
      <c r="F121" s="168"/>
      <c r="G121" s="168"/>
      <c r="H121" s="179"/>
      <c r="I121" s="179"/>
      <c r="J121" s="179"/>
      <c r="K121" s="179"/>
      <c r="L121" s="179"/>
      <c r="M121" s="179"/>
      <c r="N121" s="168"/>
      <c r="O121" s="168"/>
    </row>
    <row r="122" spans="1:16" ht="16" thickBot="1">
      <c r="B122" s="180"/>
      <c r="C122" s="181"/>
      <c r="D122" s="181"/>
      <c r="E122" s="181"/>
      <c r="F122" s="181"/>
      <c r="G122" s="181"/>
      <c r="H122" s="181"/>
      <c r="I122" s="181"/>
      <c r="J122" s="181"/>
      <c r="K122" s="181"/>
      <c r="L122" s="181"/>
      <c r="M122" s="181"/>
      <c r="N122" s="181"/>
      <c r="O122" s="181"/>
      <c r="P122" s="587" t="s">
        <v>982</v>
      </c>
    </row>
    <row r="123" spans="1:16" ht="16" thickBot="1">
      <c r="B123" s="182" t="s">
        <v>56</v>
      </c>
      <c r="C123" s="183"/>
      <c r="D123" s="183"/>
      <c r="E123" s="183"/>
      <c r="F123" s="183"/>
      <c r="G123" s="183"/>
      <c r="H123" s="183"/>
      <c r="I123" s="183"/>
      <c r="J123" s="183"/>
      <c r="K123" s="183"/>
      <c r="L123" s="183"/>
      <c r="M123" s="183"/>
      <c r="N123" s="182"/>
      <c r="O123" s="182"/>
      <c r="P123" s="588" t="s">
        <v>982</v>
      </c>
    </row>
    <row r="124" spans="1:16" ht="16" thickBot="1">
      <c r="B124" s="184" t="s">
        <v>57</v>
      </c>
      <c r="C124" s="185"/>
      <c r="D124" s="185"/>
      <c r="E124" s="185"/>
      <c r="F124" s="185"/>
      <c r="G124" s="185"/>
      <c r="H124" s="185"/>
      <c r="I124" s="185"/>
      <c r="J124" s="185"/>
      <c r="K124" s="185"/>
      <c r="L124" s="185"/>
      <c r="M124" s="185"/>
      <c r="N124" s="185"/>
      <c r="O124" s="185"/>
      <c r="P124" s="589" t="s">
        <v>982</v>
      </c>
    </row>
    <row r="125" spans="1:16" ht="16" thickBot="1">
      <c r="B125" s="186" t="s">
        <v>58</v>
      </c>
      <c r="C125" s="187">
        <v>23319</v>
      </c>
      <c r="D125" s="187">
        <v>9087</v>
      </c>
      <c r="E125" s="187">
        <v>2785</v>
      </c>
      <c r="F125" s="187">
        <v>22853</v>
      </c>
      <c r="G125" s="187">
        <v>15789</v>
      </c>
      <c r="H125" s="187">
        <v>6897</v>
      </c>
      <c r="I125" s="187">
        <v>19708</v>
      </c>
      <c r="J125" s="187">
        <v>14069</v>
      </c>
      <c r="K125" s="187">
        <v>19842</v>
      </c>
      <c r="L125" s="187">
        <v>15917</v>
      </c>
      <c r="M125" s="187">
        <v>27931</v>
      </c>
      <c r="N125" s="187">
        <v>28816</v>
      </c>
      <c r="O125" s="187">
        <v>13300</v>
      </c>
      <c r="P125" s="590">
        <v>24.596</v>
      </c>
    </row>
    <row r="126" spans="1:16" ht="16" thickBot="1">
      <c r="B126" s="186" t="s">
        <v>59</v>
      </c>
      <c r="C126" s="187">
        <v>110464</v>
      </c>
      <c r="D126" s="187">
        <v>115144</v>
      </c>
      <c r="E126" s="187">
        <v>112904</v>
      </c>
      <c r="F126" s="187">
        <v>117435</v>
      </c>
      <c r="G126" s="187">
        <v>119858</v>
      </c>
      <c r="H126" s="187">
        <v>121770</v>
      </c>
      <c r="I126" s="187">
        <v>118333</v>
      </c>
      <c r="J126" s="187">
        <v>124432</v>
      </c>
      <c r="K126" s="187">
        <v>125586</v>
      </c>
      <c r="L126" s="187">
        <v>123153</v>
      </c>
      <c r="M126" s="187">
        <v>129153</v>
      </c>
      <c r="N126" s="187">
        <v>129965</v>
      </c>
      <c r="O126" s="187">
        <v>136029</v>
      </c>
      <c r="P126" s="591">
        <v>135.30199999999999</v>
      </c>
    </row>
    <row r="127" spans="1:16" ht="16" thickBot="1">
      <c r="B127" s="186" t="s">
        <v>60</v>
      </c>
      <c r="C127" s="187">
        <v>13841</v>
      </c>
      <c r="D127" s="187">
        <v>14865</v>
      </c>
      <c r="E127" s="187">
        <v>20485</v>
      </c>
      <c r="F127" s="187">
        <v>32304</v>
      </c>
      <c r="G127" s="187">
        <v>21822</v>
      </c>
      <c r="H127" s="187">
        <v>8704</v>
      </c>
      <c r="I127" s="187">
        <v>17458</v>
      </c>
      <c r="J127" s="187">
        <v>19192</v>
      </c>
      <c r="K127" s="187">
        <v>23815</v>
      </c>
      <c r="L127" s="187">
        <v>14458</v>
      </c>
      <c r="M127" s="187">
        <v>18479</v>
      </c>
      <c r="N127" s="187">
        <v>16694</v>
      </c>
      <c r="O127" s="187">
        <v>10215</v>
      </c>
      <c r="P127" s="591">
        <v>456</v>
      </c>
    </row>
    <row r="128" spans="1:16" ht="16" thickBot="1">
      <c r="B128" s="186" t="s">
        <v>61</v>
      </c>
      <c r="C128" s="187">
        <v>3633</v>
      </c>
      <c r="D128" s="187">
        <v>3534</v>
      </c>
      <c r="E128" s="187">
        <v>4103</v>
      </c>
      <c r="F128" s="187">
        <v>4237</v>
      </c>
      <c r="G128" s="187">
        <v>3991</v>
      </c>
      <c r="H128" s="187">
        <v>3702</v>
      </c>
      <c r="I128" s="187">
        <v>3585</v>
      </c>
      <c r="J128" s="187">
        <v>3171</v>
      </c>
      <c r="K128" s="187">
        <v>2788</v>
      </c>
      <c r="L128" s="187">
        <v>2569</v>
      </c>
      <c r="M128" s="187">
        <v>4123</v>
      </c>
      <c r="N128" s="187">
        <v>4010</v>
      </c>
      <c r="O128" s="187">
        <v>3514</v>
      </c>
      <c r="P128" s="591">
        <v>3.532</v>
      </c>
    </row>
    <row r="129" spans="2:16" ht="16" thickBot="1">
      <c r="B129" s="186" t="s">
        <v>62</v>
      </c>
      <c r="C129" s="187">
        <v>3857</v>
      </c>
      <c r="D129" s="187">
        <v>4854</v>
      </c>
      <c r="E129" s="187">
        <v>8831</v>
      </c>
      <c r="F129" s="187">
        <v>6503</v>
      </c>
      <c r="G129" s="187">
        <v>7541</v>
      </c>
      <c r="H129" s="187">
        <v>5261</v>
      </c>
      <c r="I129" s="187">
        <v>8878</v>
      </c>
      <c r="J129" s="187">
        <v>6792</v>
      </c>
      <c r="K129" s="187">
        <v>8037</v>
      </c>
      <c r="L129" s="187">
        <v>6682</v>
      </c>
      <c r="M129" s="187">
        <v>9686</v>
      </c>
      <c r="N129" s="187">
        <v>8342</v>
      </c>
      <c r="O129" s="187">
        <v>16229</v>
      </c>
      <c r="P129" s="591">
        <v>12.24</v>
      </c>
    </row>
    <row r="130" spans="2:16" ht="16" thickBot="1">
      <c r="B130" s="186" t="s">
        <v>63</v>
      </c>
      <c r="C130" s="187">
        <v>0</v>
      </c>
      <c r="D130" s="187">
        <v>0</v>
      </c>
      <c r="E130" s="187">
        <v>0</v>
      </c>
      <c r="F130" s="187">
        <v>0</v>
      </c>
      <c r="G130" s="187">
        <v>0</v>
      </c>
      <c r="H130" s="187">
        <v>0</v>
      </c>
      <c r="I130" s="187">
        <v>0</v>
      </c>
      <c r="J130" s="187">
        <v>0</v>
      </c>
      <c r="K130" s="187">
        <v>0</v>
      </c>
      <c r="L130" s="187">
        <v>0</v>
      </c>
      <c r="M130" s="187">
        <v>0</v>
      </c>
      <c r="N130" s="187">
        <v>0</v>
      </c>
      <c r="O130" s="187">
        <v>0</v>
      </c>
      <c r="P130" s="591" t="s">
        <v>981</v>
      </c>
    </row>
    <row r="131" spans="2:16" ht="16" thickBot="1">
      <c r="B131" s="188" t="s">
        <v>64</v>
      </c>
      <c r="C131" s="189">
        <v>155114</v>
      </c>
      <c r="D131" s="189">
        <v>147484</v>
      </c>
      <c r="E131" s="189">
        <v>149108</v>
      </c>
      <c r="F131" s="189">
        <v>183332</v>
      </c>
      <c r="G131" s="189">
        <v>169001</v>
      </c>
      <c r="H131" s="189">
        <v>146334</v>
      </c>
      <c r="I131" s="189">
        <v>167962</v>
      </c>
      <c r="J131" s="189">
        <v>167656</v>
      </c>
      <c r="K131" s="189">
        <v>180068</v>
      </c>
      <c r="L131" s="189">
        <v>162779</v>
      </c>
      <c r="M131" s="189">
        <v>189372</v>
      </c>
      <c r="N131" s="189">
        <v>187827</v>
      </c>
      <c r="O131" s="189">
        <v>179287</v>
      </c>
      <c r="P131" s="592">
        <v>176.126</v>
      </c>
    </row>
    <row r="132" spans="2:16" ht="16" thickBot="1">
      <c r="B132" s="184" t="s">
        <v>65</v>
      </c>
      <c r="C132" s="185"/>
      <c r="D132" s="185"/>
      <c r="E132" s="185"/>
      <c r="F132" s="185"/>
      <c r="G132" s="185"/>
      <c r="H132" s="185"/>
      <c r="I132" s="185"/>
      <c r="J132" s="185"/>
      <c r="K132" s="185"/>
      <c r="L132" s="185"/>
      <c r="M132" s="185"/>
      <c r="N132" s="185"/>
      <c r="O132" s="185"/>
      <c r="P132" s="589" t="s">
        <v>982</v>
      </c>
    </row>
    <row r="133" spans="2:16" ht="16" thickBot="1">
      <c r="B133" s="186" t="s">
        <v>66</v>
      </c>
      <c r="C133" s="187">
        <v>0</v>
      </c>
      <c r="D133" s="187">
        <v>0</v>
      </c>
      <c r="E133" s="187">
        <v>0</v>
      </c>
      <c r="F133" s="187">
        <v>4100</v>
      </c>
      <c r="G133" s="187">
        <v>0</v>
      </c>
      <c r="H133" s="187">
        <v>0</v>
      </c>
      <c r="I133" s="187">
        <v>0</v>
      </c>
      <c r="J133" s="187">
        <v>0</v>
      </c>
      <c r="K133" s="187">
        <v>0</v>
      </c>
      <c r="L133" s="187">
        <v>0</v>
      </c>
      <c r="M133" s="187">
        <v>0</v>
      </c>
      <c r="N133" s="187">
        <v>0</v>
      </c>
      <c r="O133" s="187">
        <v>0</v>
      </c>
      <c r="P133" s="590" t="s">
        <v>981</v>
      </c>
    </row>
    <row r="134" spans="2:16" ht="16" thickBot="1">
      <c r="B134" s="186" t="s">
        <v>59</v>
      </c>
      <c r="C134" s="187">
        <v>12703</v>
      </c>
      <c r="D134" s="187">
        <v>8145</v>
      </c>
      <c r="E134" s="187">
        <v>8834</v>
      </c>
      <c r="F134" s="187">
        <v>8901</v>
      </c>
      <c r="G134" s="187">
        <v>12927</v>
      </c>
      <c r="H134" s="187">
        <v>12138</v>
      </c>
      <c r="I134" s="187">
        <v>17314</v>
      </c>
      <c r="J134" s="187">
        <v>17776</v>
      </c>
      <c r="K134" s="187">
        <v>18126</v>
      </c>
      <c r="L134" s="187">
        <v>13711</v>
      </c>
      <c r="M134" s="187">
        <v>18066</v>
      </c>
      <c r="N134" s="187">
        <v>18557</v>
      </c>
      <c r="O134" s="187">
        <v>19417</v>
      </c>
      <c r="P134" s="591">
        <v>14.997</v>
      </c>
    </row>
    <row r="135" spans="2:16" ht="16" thickBot="1">
      <c r="B135" s="186" t="s">
        <v>70</v>
      </c>
      <c r="C135" s="187">
        <v>42971</v>
      </c>
      <c r="D135" s="187">
        <v>44251</v>
      </c>
      <c r="E135" s="187">
        <v>44424</v>
      </c>
      <c r="F135" s="187">
        <v>44630</v>
      </c>
      <c r="G135" s="187">
        <v>43913</v>
      </c>
      <c r="H135" s="187">
        <v>43832</v>
      </c>
      <c r="I135" s="187">
        <v>44360</v>
      </c>
      <c r="J135" s="187">
        <v>45253</v>
      </c>
      <c r="K135" s="187">
        <v>45490</v>
      </c>
      <c r="L135" s="187">
        <v>46255</v>
      </c>
      <c r="M135" s="187">
        <v>46184</v>
      </c>
      <c r="N135" s="187">
        <v>46417</v>
      </c>
      <c r="O135" s="187">
        <v>47291</v>
      </c>
      <c r="P135" s="591">
        <v>51.017000000000003</v>
      </c>
    </row>
    <row r="136" spans="2:16" ht="16" thickBot="1">
      <c r="B136" s="186" t="s">
        <v>122</v>
      </c>
      <c r="C136" s="187">
        <v>0</v>
      </c>
      <c r="D136" s="187">
        <v>0</v>
      </c>
      <c r="E136" s="187">
        <v>0</v>
      </c>
      <c r="F136" s="187">
        <v>0</v>
      </c>
      <c r="G136" s="187">
        <v>10</v>
      </c>
      <c r="H136" s="187">
        <v>0</v>
      </c>
      <c r="I136" s="187">
        <v>14</v>
      </c>
      <c r="J136" s="187">
        <v>21</v>
      </c>
      <c r="K136" s="187">
        <v>103</v>
      </c>
      <c r="L136" s="187">
        <v>0</v>
      </c>
      <c r="M136" s="187">
        <v>0</v>
      </c>
      <c r="N136" s="187">
        <v>0</v>
      </c>
      <c r="O136" s="187">
        <v>0</v>
      </c>
      <c r="P136" s="591" t="s">
        <v>981</v>
      </c>
    </row>
    <row r="137" spans="2:16" ht="16" thickBot="1">
      <c r="B137" s="186" t="s">
        <v>75</v>
      </c>
      <c r="C137" s="187">
        <v>24830</v>
      </c>
      <c r="D137" s="187">
        <v>28316</v>
      </c>
      <c r="E137" s="187">
        <v>28970</v>
      </c>
      <c r="F137" s="187">
        <v>29540</v>
      </c>
      <c r="G137" s="187">
        <v>29754</v>
      </c>
      <c r="H137" s="187">
        <v>25198</v>
      </c>
      <c r="I137" s="187">
        <v>25894</v>
      </c>
      <c r="J137" s="187">
        <v>26427</v>
      </c>
      <c r="K137" s="187">
        <v>27082</v>
      </c>
      <c r="L137" s="187">
        <v>25903</v>
      </c>
      <c r="M137" s="187">
        <v>26585</v>
      </c>
      <c r="N137" s="187">
        <v>27177</v>
      </c>
      <c r="O137" s="187">
        <v>25846</v>
      </c>
      <c r="P137" s="591">
        <v>25.43</v>
      </c>
    </row>
    <row r="138" spans="2:16" ht="16" thickBot="1">
      <c r="B138" s="186" t="s">
        <v>123</v>
      </c>
      <c r="C138" s="187">
        <v>0</v>
      </c>
      <c r="D138" s="187">
        <v>0</v>
      </c>
      <c r="E138" s="187">
        <v>0</v>
      </c>
      <c r="F138" s="187">
        <v>0</v>
      </c>
      <c r="G138" s="187">
        <v>0</v>
      </c>
      <c r="H138" s="187">
        <v>4100</v>
      </c>
      <c r="I138" s="187">
        <v>0</v>
      </c>
      <c r="J138" s="187">
        <v>0</v>
      </c>
      <c r="K138" s="187">
        <v>0</v>
      </c>
      <c r="L138" s="187">
        <v>4100</v>
      </c>
      <c r="M138" s="187">
        <v>647</v>
      </c>
      <c r="N138" s="187">
        <v>706</v>
      </c>
      <c r="O138" s="187">
        <v>0</v>
      </c>
      <c r="P138" s="591" t="s">
        <v>981</v>
      </c>
    </row>
    <row r="139" spans="2:16" ht="16" thickBot="1">
      <c r="B139" s="186" t="s">
        <v>62</v>
      </c>
      <c r="C139" s="187">
        <v>0</v>
      </c>
      <c r="D139" s="187">
        <v>0</v>
      </c>
      <c r="E139" s="187">
        <v>0</v>
      </c>
      <c r="F139" s="187">
        <v>0</v>
      </c>
      <c r="G139" s="187">
        <v>0</v>
      </c>
      <c r="H139" s="187">
        <v>0</v>
      </c>
      <c r="I139" s="187">
        <v>0</v>
      </c>
      <c r="J139" s="187">
        <v>0</v>
      </c>
      <c r="K139" s="187">
        <v>0</v>
      </c>
      <c r="L139" s="187">
        <v>0</v>
      </c>
      <c r="M139" s="187">
        <v>0</v>
      </c>
      <c r="N139" s="187">
        <v>0</v>
      </c>
      <c r="O139" s="187">
        <v>0</v>
      </c>
      <c r="P139" s="591" t="s">
        <v>981</v>
      </c>
    </row>
    <row r="140" spans="2:16" ht="16" thickBot="1">
      <c r="B140" s="186" t="s">
        <v>115</v>
      </c>
      <c r="C140" s="187">
        <v>0</v>
      </c>
      <c r="D140" s="187">
        <v>0</v>
      </c>
      <c r="E140" s="187">
        <v>0</v>
      </c>
      <c r="F140" s="187">
        <v>0</v>
      </c>
      <c r="G140" s="187">
        <v>0</v>
      </c>
      <c r="H140" s="187">
        <v>0</v>
      </c>
      <c r="I140" s="187">
        <v>0</v>
      </c>
      <c r="J140" s="187">
        <v>0</v>
      </c>
      <c r="K140" s="187">
        <v>0</v>
      </c>
      <c r="L140" s="187">
        <v>0</v>
      </c>
      <c r="M140" s="187">
        <v>0</v>
      </c>
      <c r="N140" s="187">
        <v>0</v>
      </c>
      <c r="O140" s="187">
        <v>0</v>
      </c>
      <c r="P140" s="591" t="s">
        <v>981</v>
      </c>
    </row>
    <row r="141" spans="2:16" ht="16" thickBot="1">
      <c r="B141" s="186" t="s">
        <v>71</v>
      </c>
      <c r="C141" s="187">
        <v>0</v>
      </c>
      <c r="D141" s="187">
        <v>0</v>
      </c>
      <c r="E141" s="187">
        <v>0</v>
      </c>
      <c r="F141" s="187">
        <v>0</v>
      </c>
      <c r="G141" s="187">
        <v>0</v>
      </c>
      <c r="H141" s="187">
        <v>0</v>
      </c>
      <c r="I141" s="187">
        <v>0</v>
      </c>
      <c r="J141" s="187">
        <v>0</v>
      </c>
      <c r="K141" s="187">
        <v>0</v>
      </c>
      <c r="L141" s="187">
        <v>0</v>
      </c>
      <c r="M141" s="187">
        <v>0</v>
      </c>
      <c r="N141" s="187">
        <v>0</v>
      </c>
      <c r="O141" s="187">
        <v>0</v>
      </c>
      <c r="P141" s="591" t="s">
        <v>981</v>
      </c>
    </row>
    <row r="142" spans="2:16" ht="16" thickBot="1">
      <c r="B142" s="186" t="s">
        <v>72</v>
      </c>
      <c r="C142" s="187">
        <v>0</v>
      </c>
      <c r="D142" s="187">
        <v>0</v>
      </c>
      <c r="E142" s="187">
        <v>0</v>
      </c>
      <c r="F142" s="187">
        <v>0</v>
      </c>
      <c r="G142" s="187">
        <v>0</v>
      </c>
      <c r="H142" s="187">
        <v>0</v>
      </c>
      <c r="I142" s="187">
        <v>0</v>
      </c>
      <c r="J142" s="187">
        <v>0</v>
      </c>
      <c r="K142" s="187">
        <v>0</v>
      </c>
      <c r="L142" s="187">
        <v>0</v>
      </c>
      <c r="M142" s="187">
        <v>0</v>
      </c>
      <c r="N142" s="187">
        <v>0</v>
      </c>
      <c r="O142" s="187">
        <v>0</v>
      </c>
      <c r="P142" s="591" t="s">
        <v>981</v>
      </c>
    </row>
    <row r="143" spans="2:16" ht="16" thickBot="1">
      <c r="B143" s="186" t="s">
        <v>76</v>
      </c>
      <c r="C143" s="187">
        <v>0</v>
      </c>
      <c r="D143" s="187">
        <v>0</v>
      </c>
      <c r="E143" s="187">
        <v>0</v>
      </c>
      <c r="F143" s="187">
        <v>0</v>
      </c>
      <c r="G143" s="187">
        <v>0</v>
      </c>
      <c r="H143" s="187">
        <v>0</v>
      </c>
      <c r="I143" s="187">
        <v>0</v>
      </c>
      <c r="J143" s="187">
        <v>0</v>
      </c>
      <c r="K143" s="187">
        <v>0</v>
      </c>
      <c r="L143" s="187">
        <v>0</v>
      </c>
      <c r="M143" s="187">
        <v>0</v>
      </c>
      <c r="N143" s="187">
        <v>0</v>
      </c>
      <c r="O143" s="187">
        <v>643</v>
      </c>
      <c r="P143" s="591">
        <v>4.68</v>
      </c>
    </row>
    <row r="144" spans="2:16" ht="16" thickBot="1">
      <c r="B144" s="186" t="s">
        <v>67</v>
      </c>
      <c r="C144" s="187">
        <v>0</v>
      </c>
      <c r="D144" s="187">
        <v>0</v>
      </c>
      <c r="E144" s="187">
        <v>0</v>
      </c>
      <c r="F144" s="187">
        <v>0</v>
      </c>
      <c r="G144" s="187">
        <v>0</v>
      </c>
      <c r="H144" s="187">
        <v>0</v>
      </c>
      <c r="I144" s="187">
        <v>0</v>
      </c>
      <c r="J144" s="187">
        <v>0</v>
      </c>
      <c r="K144" s="187">
        <v>0</v>
      </c>
      <c r="L144" s="187">
        <v>0</v>
      </c>
      <c r="M144" s="187">
        <v>0</v>
      </c>
      <c r="N144" s="187">
        <v>0</v>
      </c>
      <c r="O144" s="187">
        <v>0</v>
      </c>
      <c r="P144" s="591" t="s">
        <v>982</v>
      </c>
    </row>
    <row r="145" spans="2:16" ht="16" thickBot="1">
      <c r="B145" s="186" t="s">
        <v>63</v>
      </c>
      <c r="C145" s="187">
        <v>0</v>
      </c>
      <c r="D145" s="187">
        <v>0</v>
      </c>
      <c r="E145" s="187">
        <v>0</v>
      </c>
      <c r="F145" s="187">
        <v>0</v>
      </c>
      <c r="G145" s="187">
        <v>0</v>
      </c>
      <c r="H145" s="187">
        <v>0</v>
      </c>
      <c r="I145" s="187">
        <v>0</v>
      </c>
      <c r="J145" s="187">
        <v>0</v>
      </c>
      <c r="K145" s="187">
        <v>0</v>
      </c>
      <c r="L145" s="187">
        <v>0</v>
      </c>
      <c r="M145" s="187">
        <v>0</v>
      </c>
      <c r="N145" s="187">
        <v>0</v>
      </c>
      <c r="O145" s="187">
        <v>0</v>
      </c>
      <c r="P145" s="591" t="s">
        <v>982</v>
      </c>
    </row>
    <row r="146" spans="2:16" ht="16" thickBot="1">
      <c r="B146" s="184" t="s">
        <v>78</v>
      </c>
      <c r="C146" s="190">
        <v>80504</v>
      </c>
      <c r="D146" s="190">
        <v>80712</v>
      </c>
      <c r="E146" s="190">
        <v>82228</v>
      </c>
      <c r="F146" s="190">
        <v>87171</v>
      </c>
      <c r="G146" s="190">
        <v>86604</v>
      </c>
      <c r="H146" s="190">
        <v>85268</v>
      </c>
      <c r="I146" s="190">
        <v>87582</v>
      </c>
      <c r="J146" s="190">
        <v>89477</v>
      </c>
      <c r="K146" s="190">
        <v>90801</v>
      </c>
      <c r="L146" s="190">
        <v>89969</v>
      </c>
      <c r="M146" s="190">
        <v>91482</v>
      </c>
      <c r="N146" s="190">
        <v>92857</v>
      </c>
      <c r="O146" s="190">
        <v>93197</v>
      </c>
      <c r="P146" s="593">
        <v>96.123999999999995</v>
      </c>
    </row>
    <row r="147" spans="2:16" ht="16" thickBot="1">
      <c r="B147" s="192" t="s">
        <v>79</v>
      </c>
      <c r="C147" s="193">
        <v>235618</v>
      </c>
      <c r="D147" s="193">
        <v>228196</v>
      </c>
      <c r="E147" s="193">
        <v>231336</v>
      </c>
      <c r="F147" s="193">
        <v>270503</v>
      </c>
      <c r="G147" s="193">
        <v>255605</v>
      </c>
      <c r="H147" s="193">
        <v>231602</v>
      </c>
      <c r="I147" s="193">
        <v>255544</v>
      </c>
      <c r="J147" s="193">
        <v>257133</v>
      </c>
      <c r="K147" s="193">
        <v>270869</v>
      </c>
      <c r="L147" s="193">
        <v>252748</v>
      </c>
      <c r="M147" s="193">
        <v>280854</v>
      </c>
      <c r="N147" s="193">
        <v>280684</v>
      </c>
      <c r="O147" s="193">
        <v>272484</v>
      </c>
      <c r="P147" s="594">
        <v>272.25</v>
      </c>
    </row>
    <row r="148" spans="2:16" ht="16" thickBot="1">
      <c r="B148" s="195"/>
      <c r="C148" s="196"/>
      <c r="D148" s="196"/>
      <c r="E148" s="196"/>
      <c r="F148" s="196"/>
      <c r="G148" s="196"/>
      <c r="H148" s="196"/>
      <c r="I148" s="196"/>
      <c r="J148" s="196"/>
      <c r="K148" s="196"/>
      <c r="L148" s="196"/>
      <c r="M148" s="196"/>
      <c r="N148" s="196"/>
      <c r="O148" s="196"/>
      <c r="P148" s="595" t="s">
        <v>982</v>
      </c>
    </row>
    <row r="149" spans="2:16" ht="16" thickBot="1">
      <c r="B149" s="182" t="s">
        <v>80</v>
      </c>
      <c r="C149" s="197"/>
      <c r="D149" s="197"/>
      <c r="E149" s="197"/>
      <c r="F149" s="197"/>
      <c r="G149" s="197"/>
      <c r="H149" s="197"/>
      <c r="I149" s="197"/>
      <c r="J149" s="197"/>
      <c r="K149" s="197"/>
      <c r="L149" s="197"/>
      <c r="M149" s="197"/>
      <c r="N149" s="197"/>
      <c r="O149" s="197"/>
      <c r="P149" s="596" t="s">
        <v>982</v>
      </c>
    </row>
    <row r="150" spans="2:16" ht="16" thickBot="1">
      <c r="B150" s="184" t="s">
        <v>81</v>
      </c>
      <c r="C150" s="198"/>
      <c r="D150" s="198"/>
      <c r="E150" s="198"/>
      <c r="F150" s="198"/>
      <c r="G150" s="198"/>
      <c r="H150" s="198"/>
      <c r="I150" s="198"/>
      <c r="J150" s="198"/>
      <c r="K150" s="198"/>
      <c r="L150" s="198"/>
      <c r="M150" s="198"/>
      <c r="N150" s="198"/>
      <c r="O150" s="198"/>
      <c r="P150" s="597" t="s">
        <v>982</v>
      </c>
    </row>
    <row r="151" spans="2:16" ht="16" thickBot="1">
      <c r="B151" s="186" t="s">
        <v>83</v>
      </c>
      <c r="C151" s="187">
        <v>31679</v>
      </c>
      <c r="D151" s="187">
        <v>20442</v>
      </c>
      <c r="E151" s="187">
        <v>23518</v>
      </c>
      <c r="F151" s="187">
        <v>25769</v>
      </c>
      <c r="G151" s="187">
        <v>21703</v>
      </c>
      <c r="H151" s="187">
        <v>21030</v>
      </c>
      <c r="I151" s="187">
        <v>46399</v>
      </c>
      <c r="J151" s="187">
        <v>26194</v>
      </c>
      <c r="K151" s="187">
        <v>27597</v>
      </c>
      <c r="L151" s="187">
        <v>22333</v>
      </c>
      <c r="M151" s="187">
        <v>53624</v>
      </c>
      <c r="N151" s="187">
        <v>20513</v>
      </c>
      <c r="O151" s="187">
        <v>29850</v>
      </c>
      <c r="P151" s="590">
        <v>28.093</v>
      </c>
    </row>
    <row r="152" spans="2:16" ht="16" thickBot="1">
      <c r="B152" s="186" t="s">
        <v>124</v>
      </c>
      <c r="C152" s="187">
        <v>38636</v>
      </c>
      <c r="D152" s="187">
        <v>23373</v>
      </c>
      <c r="E152" s="187">
        <v>39363</v>
      </c>
      <c r="F152" s="187">
        <v>51104</v>
      </c>
      <c r="G152" s="187">
        <v>19640</v>
      </c>
      <c r="H152" s="187">
        <v>10505</v>
      </c>
      <c r="I152" s="187">
        <v>29145</v>
      </c>
      <c r="J152" s="187">
        <v>29846</v>
      </c>
      <c r="K152" s="187">
        <v>21967</v>
      </c>
      <c r="L152" s="187">
        <v>14796</v>
      </c>
      <c r="M152" s="187">
        <v>34619</v>
      </c>
      <c r="N152" s="187">
        <v>45533</v>
      </c>
      <c r="O152" s="187">
        <v>6922</v>
      </c>
      <c r="P152" s="591">
        <v>13.177</v>
      </c>
    </row>
    <row r="153" spans="2:16" ht="16" thickBot="1">
      <c r="B153" s="186" t="s">
        <v>85</v>
      </c>
      <c r="C153" s="187">
        <v>13087</v>
      </c>
      <c r="D153" s="187">
        <v>15442</v>
      </c>
      <c r="E153" s="187">
        <v>13390</v>
      </c>
      <c r="F153" s="187">
        <v>14427</v>
      </c>
      <c r="G153" s="187">
        <v>17419</v>
      </c>
      <c r="H153" s="187">
        <v>13487</v>
      </c>
      <c r="I153" s="187">
        <v>12475</v>
      </c>
      <c r="J153" s="187">
        <v>11418</v>
      </c>
      <c r="K153" s="187">
        <v>17796</v>
      </c>
      <c r="L153" s="187">
        <v>14319</v>
      </c>
      <c r="M153" s="187">
        <v>13724</v>
      </c>
      <c r="N153" s="187">
        <v>13403</v>
      </c>
      <c r="O153" s="187">
        <v>20451</v>
      </c>
      <c r="P153" s="591">
        <v>16.452000000000002</v>
      </c>
    </row>
    <row r="154" spans="2:16" ht="16" thickBot="1">
      <c r="B154" s="186" t="s">
        <v>60</v>
      </c>
      <c r="C154" s="187">
        <v>3984</v>
      </c>
      <c r="D154" s="187">
        <v>9715</v>
      </c>
      <c r="E154" s="187">
        <v>10498</v>
      </c>
      <c r="F154" s="187">
        <v>18237</v>
      </c>
      <c r="G154" s="187">
        <v>28810</v>
      </c>
      <c r="H154" s="187">
        <v>17153</v>
      </c>
      <c r="I154" s="187">
        <v>14144</v>
      </c>
      <c r="J154" s="187">
        <v>20369</v>
      </c>
      <c r="K154" s="187">
        <v>26364</v>
      </c>
      <c r="L154" s="187">
        <v>15482</v>
      </c>
      <c r="M154" s="187">
        <v>13211</v>
      </c>
      <c r="N154" s="187">
        <v>22241</v>
      </c>
      <c r="O154" s="187">
        <v>27678</v>
      </c>
      <c r="P154" s="591">
        <v>23.501000000000001</v>
      </c>
    </row>
    <row r="155" spans="2:16" ht="16" thickBot="1">
      <c r="B155" s="186" t="s">
        <v>86</v>
      </c>
      <c r="C155" s="187">
        <v>135</v>
      </c>
      <c r="D155" s="187">
        <v>0</v>
      </c>
      <c r="E155" s="187">
        <v>0</v>
      </c>
      <c r="F155" s="187">
        <v>0</v>
      </c>
      <c r="G155" s="187">
        <v>0</v>
      </c>
      <c r="H155" s="187">
        <v>0</v>
      </c>
      <c r="I155" s="187">
        <v>26</v>
      </c>
      <c r="J155" s="187">
        <v>26</v>
      </c>
      <c r="K155" s="187">
        <v>0</v>
      </c>
      <c r="L155" s="187">
        <v>0</v>
      </c>
      <c r="M155" s="187">
        <v>0</v>
      </c>
      <c r="N155" s="187">
        <v>0</v>
      </c>
      <c r="O155" s="187">
        <v>0</v>
      </c>
      <c r="P155" s="591" t="s">
        <v>981</v>
      </c>
    </row>
    <row r="156" spans="2:16" ht="16" thickBot="1">
      <c r="B156" s="186" t="s">
        <v>87</v>
      </c>
      <c r="C156" s="187">
        <v>2208</v>
      </c>
      <c r="D156" s="187">
        <v>2503</v>
      </c>
      <c r="E156" s="187">
        <v>367</v>
      </c>
      <c r="F156" s="187">
        <v>6732</v>
      </c>
      <c r="G156" s="187">
        <v>4814</v>
      </c>
      <c r="H156" s="187">
        <v>2558</v>
      </c>
      <c r="I156" s="187">
        <v>225</v>
      </c>
      <c r="J156" s="187">
        <v>7139</v>
      </c>
      <c r="K156" s="187">
        <v>4705</v>
      </c>
      <c r="L156" s="187">
        <v>2616</v>
      </c>
      <c r="M156" s="187">
        <v>647</v>
      </c>
      <c r="N156" s="187">
        <v>7051</v>
      </c>
      <c r="O156" s="187">
        <v>4752</v>
      </c>
      <c r="P156" s="591">
        <v>2.431</v>
      </c>
    </row>
    <row r="157" spans="2:16" ht="16" thickBot="1">
      <c r="B157" s="186" t="s">
        <v>82</v>
      </c>
      <c r="C157" s="187">
        <v>0</v>
      </c>
      <c r="D157" s="187">
        <v>0</v>
      </c>
      <c r="E157" s="187">
        <v>0</v>
      </c>
      <c r="F157" s="187">
        <v>0</v>
      </c>
      <c r="G157" s="187">
        <v>0</v>
      </c>
      <c r="H157" s="187">
        <v>0</v>
      </c>
      <c r="I157" s="187">
        <v>0</v>
      </c>
      <c r="J157" s="187">
        <v>0</v>
      </c>
      <c r="K157" s="187">
        <v>0</v>
      </c>
      <c r="L157" s="187">
        <v>0</v>
      </c>
      <c r="M157" s="187">
        <v>0</v>
      </c>
      <c r="N157" s="187">
        <v>0</v>
      </c>
      <c r="O157" s="187">
        <v>0</v>
      </c>
      <c r="P157" s="591" t="s">
        <v>981</v>
      </c>
    </row>
    <row r="158" spans="2:16" ht="16" thickBot="1">
      <c r="B158" s="186" t="s">
        <v>116</v>
      </c>
      <c r="C158" s="187">
        <v>0</v>
      </c>
      <c r="D158" s="187">
        <v>0</v>
      </c>
      <c r="E158" s="187">
        <v>0</v>
      </c>
      <c r="F158" s="187">
        <v>0</v>
      </c>
      <c r="G158" s="187">
        <v>0</v>
      </c>
      <c r="H158" s="187">
        <v>0</v>
      </c>
      <c r="I158" s="187">
        <v>0</v>
      </c>
      <c r="J158" s="187">
        <v>0</v>
      </c>
      <c r="K158" s="187">
        <v>0</v>
      </c>
      <c r="L158" s="187">
        <v>0</v>
      </c>
      <c r="M158" s="187">
        <v>0</v>
      </c>
      <c r="N158" s="187">
        <v>0</v>
      </c>
      <c r="O158" s="187">
        <v>0</v>
      </c>
      <c r="P158" s="591" t="s">
        <v>981</v>
      </c>
    </row>
    <row r="159" spans="2:16" ht="16" thickBot="1">
      <c r="B159" s="184" t="s">
        <v>89</v>
      </c>
      <c r="C159" s="190">
        <v>89729</v>
      </c>
      <c r="D159" s="190">
        <v>71475</v>
      </c>
      <c r="E159" s="190">
        <v>87136</v>
      </c>
      <c r="F159" s="190">
        <v>116269</v>
      </c>
      <c r="G159" s="190">
        <v>92386</v>
      </c>
      <c r="H159" s="190">
        <v>64733</v>
      </c>
      <c r="I159" s="190">
        <v>102414</v>
      </c>
      <c r="J159" s="190">
        <v>94992</v>
      </c>
      <c r="K159" s="190">
        <v>98429</v>
      </c>
      <c r="L159" s="190">
        <v>69546</v>
      </c>
      <c r="M159" s="190">
        <v>115825</v>
      </c>
      <c r="N159" s="190">
        <v>108741</v>
      </c>
      <c r="O159" s="190">
        <v>89653</v>
      </c>
      <c r="P159" s="593">
        <v>83.653999999999996</v>
      </c>
    </row>
    <row r="160" spans="2:16" ht="16" thickBot="1">
      <c r="B160" s="200" t="s">
        <v>90</v>
      </c>
      <c r="C160" s="201"/>
      <c r="D160" s="201"/>
      <c r="E160" s="201"/>
      <c r="F160" s="201"/>
      <c r="G160" s="201"/>
      <c r="H160" s="201"/>
      <c r="I160" s="201"/>
      <c r="J160" s="201"/>
      <c r="K160" s="201"/>
      <c r="L160" s="201"/>
      <c r="M160" s="201"/>
      <c r="N160" s="201"/>
      <c r="O160" s="201"/>
      <c r="P160" s="598" t="s">
        <v>982</v>
      </c>
    </row>
    <row r="161" spans="2:16" ht="16" thickBot="1">
      <c r="B161" s="186" t="s">
        <v>83</v>
      </c>
      <c r="C161" s="187">
        <v>0</v>
      </c>
      <c r="D161" s="187">
        <v>0</v>
      </c>
      <c r="E161" s="187">
        <v>1</v>
      </c>
      <c r="F161" s="187">
        <v>0</v>
      </c>
      <c r="G161" s="187">
        <v>0</v>
      </c>
      <c r="H161" s="187">
        <v>0</v>
      </c>
      <c r="I161" s="187">
        <v>0</v>
      </c>
      <c r="J161" s="187">
        <v>0</v>
      </c>
      <c r="K161" s="187">
        <v>0</v>
      </c>
      <c r="L161" s="187">
        <v>0</v>
      </c>
      <c r="M161" s="187">
        <v>646</v>
      </c>
      <c r="N161" s="187">
        <v>390</v>
      </c>
      <c r="O161" s="187">
        <v>327</v>
      </c>
      <c r="P161" s="590" t="s">
        <v>981</v>
      </c>
    </row>
    <row r="162" spans="2:16" ht="16" thickBot="1">
      <c r="B162" s="186" t="s">
        <v>124</v>
      </c>
      <c r="C162" s="187">
        <v>5551</v>
      </c>
      <c r="D162" s="187">
        <v>6942</v>
      </c>
      <c r="E162" s="187">
        <v>6960</v>
      </c>
      <c r="F162" s="187">
        <v>7140</v>
      </c>
      <c r="G162" s="187">
        <v>7364</v>
      </c>
      <c r="H162" s="187">
        <v>7364</v>
      </c>
      <c r="I162" s="187">
        <v>7775</v>
      </c>
      <c r="J162" s="187">
        <v>7775</v>
      </c>
      <c r="K162" s="187">
        <v>7775</v>
      </c>
      <c r="L162" s="187">
        <v>7906</v>
      </c>
      <c r="M162" s="187">
        <v>7906</v>
      </c>
      <c r="N162" s="187">
        <v>8213</v>
      </c>
      <c r="O162" s="187">
        <v>8538</v>
      </c>
      <c r="P162" s="591">
        <v>8.5559999999999992</v>
      </c>
    </row>
    <row r="163" spans="2:16" ht="16" thickBot="1">
      <c r="B163" s="186" t="s">
        <v>85</v>
      </c>
      <c r="C163" s="187">
        <v>63512</v>
      </c>
      <c r="D163" s="187">
        <v>70741</v>
      </c>
      <c r="E163" s="187">
        <v>73476</v>
      </c>
      <c r="F163" s="187">
        <v>74769</v>
      </c>
      <c r="G163" s="187">
        <v>76780</v>
      </c>
      <c r="H163" s="187">
        <v>75296</v>
      </c>
      <c r="I163" s="187">
        <v>77406</v>
      </c>
      <c r="J163" s="187">
        <v>79515</v>
      </c>
      <c r="K163" s="187">
        <v>81623</v>
      </c>
      <c r="L163" s="187">
        <v>82959</v>
      </c>
      <c r="M163" s="187">
        <v>85214</v>
      </c>
      <c r="N163" s="187">
        <v>87469</v>
      </c>
      <c r="O163" s="187">
        <v>89721</v>
      </c>
      <c r="P163" s="591">
        <v>92.54</v>
      </c>
    </row>
    <row r="164" spans="2:16" ht="16" thickBot="1">
      <c r="B164" s="186" t="s">
        <v>82</v>
      </c>
      <c r="C164" s="187">
        <v>0</v>
      </c>
      <c r="D164" s="187">
        <v>0</v>
      </c>
      <c r="E164" s="187">
        <v>0</v>
      </c>
      <c r="F164" s="187">
        <v>0</v>
      </c>
      <c r="G164" s="187">
        <v>0</v>
      </c>
      <c r="H164" s="187">
        <v>0</v>
      </c>
      <c r="I164" s="187">
        <v>0</v>
      </c>
      <c r="J164" s="187">
        <v>0</v>
      </c>
      <c r="K164" s="187">
        <v>0</v>
      </c>
      <c r="L164" s="187">
        <v>0</v>
      </c>
      <c r="M164" s="187">
        <v>0</v>
      </c>
      <c r="N164" s="187">
        <v>0</v>
      </c>
      <c r="O164" s="187">
        <v>0</v>
      </c>
      <c r="P164" s="591" t="s">
        <v>981</v>
      </c>
    </row>
    <row r="165" spans="2:16" ht="16" thickBot="1">
      <c r="B165" s="186" t="s">
        <v>91</v>
      </c>
      <c r="C165" s="187">
        <v>0</v>
      </c>
      <c r="D165" s="187">
        <v>0</v>
      </c>
      <c r="E165" s="187">
        <v>0</v>
      </c>
      <c r="F165" s="187">
        <v>0</v>
      </c>
      <c r="G165" s="187">
        <v>0</v>
      </c>
      <c r="H165" s="187">
        <v>0</v>
      </c>
      <c r="I165" s="187">
        <v>0</v>
      </c>
      <c r="J165" s="187">
        <v>0</v>
      </c>
      <c r="K165" s="187">
        <v>0</v>
      </c>
      <c r="L165" s="187">
        <v>0</v>
      </c>
      <c r="M165" s="187">
        <v>0</v>
      </c>
      <c r="N165" s="187">
        <v>0</v>
      </c>
      <c r="O165" s="187">
        <v>0</v>
      </c>
      <c r="P165" s="591" t="s">
        <v>981</v>
      </c>
    </row>
    <row r="166" spans="2:16" ht="16" thickBot="1">
      <c r="B166" s="186" t="s">
        <v>86</v>
      </c>
      <c r="C166" s="187">
        <v>0</v>
      </c>
      <c r="D166" s="187">
        <v>0</v>
      </c>
      <c r="E166" s="187">
        <v>0</v>
      </c>
      <c r="F166" s="187">
        <v>0</v>
      </c>
      <c r="G166" s="187">
        <v>0</v>
      </c>
      <c r="H166" s="187">
        <v>0</v>
      </c>
      <c r="I166" s="187">
        <v>0</v>
      </c>
      <c r="J166" s="187">
        <v>0</v>
      </c>
      <c r="K166" s="187">
        <v>0</v>
      </c>
      <c r="L166" s="187">
        <v>0</v>
      </c>
      <c r="M166" s="187">
        <v>0</v>
      </c>
      <c r="N166" s="187">
        <v>0</v>
      </c>
      <c r="O166" s="187">
        <v>0</v>
      </c>
      <c r="P166" s="591" t="s">
        <v>981</v>
      </c>
    </row>
    <row r="167" spans="2:16" ht="16" thickBot="1">
      <c r="B167" s="186" t="s">
        <v>87</v>
      </c>
      <c r="C167" s="187">
        <v>0</v>
      </c>
      <c r="D167" s="187">
        <v>0</v>
      </c>
      <c r="E167" s="187">
        <v>0</v>
      </c>
      <c r="F167" s="187">
        <v>0</v>
      </c>
      <c r="G167" s="187">
        <v>0</v>
      </c>
      <c r="H167" s="187">
        <v>0</v>
      </c>
      <c r="I167" s="187">
        <v>0</v>
      </c>
      <c r="J167" s="187">
        <v>0</v>
      </c>
      <c r="K167" s="187">
        <v>0</v>
      </c>
      <c r="L167" s="187">
        <v>0</v>
      </c>
      <c r="M167" s="187">
        <v>0</v>
      </c>
      <c r="N167" s="187">
        <v>0</v>
      </c>
      <c r="O167" s="187">
        <v>0</v>
      </c>
      <c r="P167" s="591" t="s">
        <v>981</v>
      </c>
    </row>
    <row r="168" spans="2:16" ht="16" thickBot="1">
      <c r="B168" s="186" t="s">
        <v>117</v>
      </c>
      <c r="C168" s="187">
        <v>0</v>
      </c>
      <c r="D168" s="187">
        <v>0</v>
      </c>
      <c r="E168" s="187">
        <v>0</v>
      </c>
      <c r="F168" s="187">
        <v>0</v>
      </c>
      <c r="G168" s="187">
        <v>0</v>
      </c>
      <c r="H168" s="187">
        <v>0</v>
      </c>
      <c r="I168" s="187">
        <v>0</v>
      </c>
      <c r="J168" s="187">
        <v>0</v>
      </c>
      <c r="K168" s="187">
        <v>0</v>
      </c>
      <c r="L168" s="187">
        <v>0</v>
      </c>
      <c r="M168" s="187">
        <v>0</v>
      </c>
      <c r="N168" s="187">
        <v>0</v>
      </c>
      <c r="O168" s="187">
        <v>0</v>
      </c>
      <c r="P168" s="591" t="s">
        <v>981</v>
      </c>
    </row>
    <row r="169" spans="2:16" ht="16" thickBot="1">
      <c r="B169" s="184" t="s">
        <v>92</v>
      </c>
      <c r="C169" s="190">
        <v>69063</v>
      </c>
      <c r="D169" s="190">
        <v>77683</v>
      </c>
      <c r="E169" s="190">
        <v>80437</v>
      </c>
      <c r="F169" s="190">
        <v>81909</v>
      </c>
      <c r="G169" s="190">
        <v>84144</v>
      </c>
      <c r="H169" s="190">
        <v>82660</v>
      </c>
      <c r="I169" s="190">
        <v>85181</v>
      </c>
      <c r="J169" s="190">
        <v>87290</v>
      </c>
      <c r="K169" s="190">
        <v>89398</v>
      </c>
      <c r="L169" s="190">
        <v>90865</v>
      </c>
      <c r="M169" s="190">
        <v>93766</v>
      </c>
      <c r="N169" s="190">
        <v>96072</v>
      </c>
      <c r="O169" s="190">
        <v>98586</v>
      </c>
      <c r="P169" s="593">
        <v>101.096</v>
      </c>
    </row>
    <row r="170" spans="2:16" ht="16" thickBot="1">
      <c r="B170" s="192" t="s">
        <v>93</v>
      </c>
      <c r="C170" s="193">
        <v>158792</v>
      </c>
      <c r="D170" s="193">
        <v>149158</v>
      </c>
      <c r="E170" s="193">
        <v>167573</v>
      </c>
      <c r="F170" s="193">
        <v>198178</v>
      </c>
      <c r="G170" s="193">
        <v>176530</v>
      </c>
      <c r="H170" s="193">
        <v>147393</v>
      </c>
      <c r="I170" s="193">
        <v>187595</v>
      </c>
      <c r="J170" s="193">
        <v>182282</v>
      </c>
      <c r="K170" s="193">
        <v>187827</v>
      </c>
      <c r="L170" s="193">
        <v>160411</v>
      </c>
      <c r="M170" s="193">
        <v>209591</v>
      </c>
      <c r="N170" s="193">
        <v>204813</v>
      </c>
      <c r="O170" s="193">
        <v>188239</v>
      </c>
      <c r="P170" s="594">
        <v>184.75</v>
      </c>
    </row>
    <row r="171" spans="2:16" ht="16" thickBot="1">
      <c r="B171" s="195"/>
      <c r="C171" s="196"/>
      <c r="D171" s="196"/>
      <c r="E171" s="196"/>
      <c r="F171" s="196"/>
      <c r="G171" s="196"/>
      <c r="H171" s="196"/>
      <c r="I171" s="196"/>
      <c r="J171" s="196"/>
      <c r="K171" s="196"/>
      <c r="L171" s="196"/>
      <c r="M171" s="196"/>
      <c r="N171" s="196"/>
      <c r="O171" s="196"/>
      <c r="P171" s="595" t="s">
        <v>982</v>
      </c>
    </row>
    <row r="172" spans="2:16" ht="16" thickBot="1">
      <c r="B172" s="202" t="s">
        <v>94</v>
      </c>
      <c r="C172" s="201"/>
      <c r="D172" s="201"/>
      <c r="E172" s="201"/>
      <c r="F172" s="201"/>
      <c r="G172" s="201"/>
      <c r="H172" s="201"/>
      <c r="I172" s="201"/>
      <c r="J172" s="201"/>
      <c r="K172" s="201"/>
      <c r="L172" s="201"/>
      <c r="M172" s="201"/>
      <c r="N172" s="201"/>
      <c r="O172" s="201"/>
      <c r="P172" s="598" t="s">
        <v>982</v>
      </c>
    </row>
    <row r="173" spans="2:16" ht="16" thickBot="1">
      <c r="B173" s="186" t="s">
        <v>95</v>
      </c>
      <c r="C173" s="187">
        <v>73050</v>
      </c>
      <c r="D173" s="187">
        <v>73050</v>
      </c>
      <c r="E173" s="187">
        <v>73050</v>
      </c>
      <c r="F173" s="187">
        <v>73050</v>
      </c>
      <c r="G173" s="187">
        <v>73050</v>
      </c>
      <c r="H173" s="187">
        <v>73050</v>
      </c>
      <c r="I173" s="187">
        <v>73050</v>
      </c>
      <c r="J173" s="187">
        <v>73050</v>
      </c>
      <c r="K173" s="187">
        <v>73050</v>
      </c>
      <c r="L173" s="187">
        <v>73050</v>
      </c>
      <c r="M173" s="187">
        <v>73050</v>
      </c>
      <c r="N173" s="187">
        <v>73050</v>
      </c>
      <c r="O173" s="187">
        <v>73050</v>
      </c>
      <c r="P173" s="590">
        <v>73.05</v>
      </c>
    </row>
    <row r="174" spans="2:16" ht="16" thickBot="1">
      <c r="B174" s="186" t="s">
        <v>96</v>
      </c>
      <c r="C174" s="187">
        <v>0</v>
      </c>
      <c r="D174" s="187">
        <v>0</v>
      </c>
      <c r="E174" s="187">
        <v>0</v>
      </c>
      <c r="F174" s="187">
        <v>0</v>
      </c>
      <c r="G174" s="187">
        <v>0</v>
      </c>
      <c r="H174" s="187">
        <v>0</v>
      </c>
      <c r="I174" s="187">
        <v>0</v>
      </c>
      <c r="J174" s="187">
        <v>0</v>
      </c>
      <c r="K174" s="187">
        <v>0</v>
      </c>
      <c r="L174" s="187">
        <v>0</v>
      </c>
      <c r="M174" s="187">
        <v>0</v>
      </c>
      <c r="N174" s="187">
        <v>0</v>
      </c>
      <c r="O174" s="187">
        <v>0</v>
      </c>
      <c r="P174" s="591" t="s">
        <v>981</v>
      </c>
    </row>
    <row r="175" spans="2:16" ht="16" thickBot="1">
      <c r="B175" s="186" t="s">
        <v>97</v>
      </c>
      <c r="C175" s="187">
        <v>4962</v>
      </c>
      <c r="D175" s="187">
        <v>7325</v>
      </c>
      <c r="E175" s="187">
        <v>9767</v>
      </c>
      <c r="F175" s="187">
        <v>9767</v>
      </c>
      <c r="G175" s="187">
        <v>9767</v>
      </c>
      <c r="H175" s="187">
        <v>9767</v>
      </c>
      <c r="I175" s="187">
        <v>12414</v>
      </c>
      <c r="J175" s="187">
        <v>12414</v>
      </c>
      <c r="K175" s="187">
        <v>12414</v>
      </c>
      <c r="L175" s="187">
        <v>12414</v>
      </c>
      <c r="M175" s="187">
        <v>15709</v>
      </c>
      <c r="N175" s="187">
        <v>15709</v>
      </c>
      <c r="O175" s="187">
        <v>15709</v>
      </c>
      <c r="P175" s="591">
        <v>15.709</v>
      </c>
    </row>
    <row r="176" spans="2:16" ht="16" thickBot="1">
      <c r="B176" s="186" t="s">
        <v>98</v>
      </c>
      <c r="C176" s="187">
        <v>-21651</v>
      </c>
      <c r="D176" s="187">
        <v>-21651</v>
      </c>
      <c r="E176" s="187">
        <v>-21650</v>
      </c>
      <c r="F176" s="187">
        <v>-21650</v>
      </c>
      <c r="G176" s="187">
        <v>-21650</v>
      </c>
      <c r="H176" s="187">
        <v>-22095</v>
      </c>
      <c r="I176" s="187">
        <v>-22095</v>
      </c>
      <c r="J176" s="187">
        <v>-22095</v>
      </c>
      <c r="K176" s="187">
        <v>-22095</v>
      </c>
      <c r="L176" s="187">
        <v>-22095</v>
      </c>
      <c r="M176" s="187">
        <v>-22095</v>
      </c>
      <c r="N176" s="187">
        <v>-22095</v>
      </c>
      <c r="O176" s="187">
        <v>-22095</v>
      </c>
      <c r="P176" s="591">
        <v>-22.094999999999999</v>
      </c>
    </row>
    <row r="177" spans="1:16" ht="16" thickBot="1">
      <c r="B177" s="186" t="s">
        <v>99</v>
      </c>
      <c r="C177" s="187">
        <v>23629</v>
      </c>
      <c r="D177" s="187">
        <v>24422</v>
      </c>
      <c r="E177" s="187">
        <v>6704</v>
      </c>
      <c r="F177" s="187">
        <v>15266</v>
      </c>
      <c r="G177" s="187">
        <v>22018</v>
      </c>
      <c r="H177" s="187">
        <v>26478</v>
      </c>
      <c r="I177" s="187">
        <v>7572</v>
      </c>
      <c r="J177" s="187">
        <v>14473</v>
      </c>
      <c r="K177" s="187">
        <v>22662</v>
      </c>
      <c r="L177" s="187">
        <v>32943</v>
      </c>
      <c r="M177" s="187">
        <v>8574</v>
      </c>
      <c r="N177" s="187">
        <v>13182</v>
      </c>
      <c r="O177" s="187">
        <v>21555</v>
      </c>
      <c r="P177" s="591">
        <v>29.423999999999999</v>
      </c>
    </row>
    <row r="178" spans="1:16" ht="16" thickBot="1">
      <c r="B178" s="186" t="s">
        <v>100</v>
      </c>
      <c r="C178" s="187">
        <v>-3164</v>
      </c>
      <c r="D178" s="187">
        <v>-4108</v>
      </c>
      <c r="E178" s="187">
        <v>-4108</v>
      </c>
      <c r="F178" s="187">
        <v>-4108</v>
      </c>
      <c r="G178" s="187">
        <v>-4110</v>
      </c>
      <c r="H178" s="187">
        <v>-2991</v>
      </c>
      <c r="I178" s="187">
        <v>-2992</v>
      </c>
      <c r="J178" s="187">
        <v>-2991</v>
      </c>
      <c r="K178" s="187">
        <v>-2989</v>
      </c>
      <c r="L178" s="187">
        <v>-3975</v>
      </c>
      <c r="M178" s="187">
        <v>-3975</v>
      </c>
      <c r="N178" s="187">
        <v>-3975</v>
      </c>
      <c r="O178" s="187">
        <v>-3974</v>
      </c>
      <c r="P178" s="591">
        <v>-8.5879999999999992</v>
      </c>
    </row>
    <row r="179" spans="1:16" ht="16" thickBot="1">
      <c r="B179" s="184" t="s">
        <v>103</v>
      </c>
      <c r="C179" s="190">
        <v>76826</v>
      </c>
      <c r="D179" s="190">
        <v>79038</v>
      </c>
      <c r="E179" s="190">
        <v>63763</v>
      </c>
      <c r="F179" s="190">
        <v>72325</v>
      </c>
      <c r="G179" s="190">
        <v>79075</v>
      </c>
      <c r="H179" s="190">
        <v>84209</v>
      </c>
      <c r="I179" s="190">
        <v>67949</v>
      </c>
      <c r="J179" s="190">
        <v>74851</v>
      </c>
      <c r="K179" s="190">
        <v>83042</v>
      </c>
      <c r="L179" s="190">
        <v>92337</v>
      </c>
      <c r="M179" s="190">
        <v>71263</v>
      </c>
      <c r="N179" s="190">
        <v>75871</v>
      </c>
      <c r="O179" s="190">
        <v>84245</v>
      </c>
      <c r="P179" s="593">
        <v>87.5</v>
      </c>
    </row>
    <row r="180" spans="1:16" ht="16" thickBot="1">
      <c r="B180" s="203" t="s">
        <v>104</v>
      </c>
      <c r="C180" s="193">
        <v>235618</v>
      </c>
      <c r="D180" s="193">
        <v>228196</v>
      </c>
      <c r="E180" s="193">
        <v>231336</v>
      </c>
      <c r="F180" s="193">
        <v>270503</v>
      </c>
      <c r="G180" s="193">
        <v>255605</v>
      </c>
      <c r="H180" s="193">
        <v>231602</v>
      </c>
      <c r="I180" s="193">
        <v>255544</v>
      </c>
      <c r="J180" s="193">
        <v>257133</v>
      </c>
      <c r="K180" s="193">
        <v>270869</v>
      </c>
      <c r="L180" s="193">
        <v>252748</v>
      </c>
      <c r="M180" s="193">
        <v>280854</v>
      </c>
      <c r="N180" s="193">
        <v>280684</v>
      </c>
      <c r="O180" s="193">
        <v>272484</v>
      </c>
      <c r="P180" s="594">
        <v>272.25</v>
      </c>
    </row>
    <row r="181" spans="1:16" ht="15.5">
      <c r="B181" s="168"/>
      <c r="C181" s="204">
        <f>+C147-C170-C179</f>
        <v>0</v>
      </c>
      <c r="D181" s="204">
        <f t="shared" ref="D181:N181" si="10">+D147-D170-D179</f>
        <v>0</v>
      </c>
      <c r="E181" s="204">
        <f t="shared" si="10"/>
        <v>0</v>
      </c>
      <c r="F181" s="204">
        <f t="shared" si="10"/>
        <v>0</v>
      </c>
      <c r="G181" s="204">
        <f t="shared" si="10"/>
        <v>0</v>
      </c>
      <c r="H181" s="204">
        <f t="shared" si="10"/>
        <v>0</v>
      </c>
      <c r="I181" s="204">
        <f t="shared" si="10"/>
        <v>0</v>
      </c>
      <c r="J181" s="204">
        <f t="shared" si="10"/>
        <v>0</v>
      </c>
      <c r="K181" s="204">
        <f t="shared" si="10"/>
        <v>0</v>
      </c>
      <c r="L181" s="204">
        <f t="shared" si="10"/>
        <v>0</v>
      </c>
      <c r="M181" s="204">
        <f t="shared" si="10"/>
        <v>0</v>
      </c>
      <c r="N181" s="204">
        <f t="shared" si="10"/>
        <v>0</v>
      </c>
      <c r="O181" s="204">
        <v>0</v>
      </c>
      <c r="P181" s="599"/>
    </row>
    <row r="182" spans="1:16" ht="15.5">
      <c r="B182" s="167"/>
      <c r="C182" s="205">
        <f>+C115-C177</f>
        <v>0</v>
      </c>
      <c r="D182" s="205">
        <f>+D115-D177</f>
        <v>0</v>
      </c>
      <c r="E182" s="205">
        <f>+E115-E177</f>
        <v>0</v>
      </c>
      <c r="F182" s="205">
        <f>+F115+E115-F177</f>
        <v>0</v>
      </c>
      <c r="G182" s="205">
        <f>+G115+F115+E115-G177</f>
        <v>0</v>
      </c>
      <c r="H182" s="205">
        <f>+H115+G115+F115+E115-H177</f>
        <v>0</v>
      </c>
      <c r="I182" s="205">
        <f>+I115-I177</f>
        <v>0</v>
      </c>
      <c r="J182" s="205">
        <f>+J115+I115-J177</f>
        <v>0</v>
      </c>
      <c r="K182" s="205">
        <f>+K115+J115+I115-K177</f>
        <v>0</v>
      </c>
      <c r="L182" s="205">
        <f>+L115+K115+J115+I115-L177</f>
        <v>0</v>
      </c>
      <c r="M182" s="205">
        <f>+M115-M177</f>
        <v>0</v>
      </c>
      <c r="N182" s="205">
        <f>+N115+M115-N177</f>
        <v>0</v>
      </c>
      <c r="O182" s="205">
        <v>0</v>
      </c>
      <c r="P182" s="600"/>
    </row>
    <row r="183" spans="1:16" ht="15.5">
      <c r="B183" s="167"/>
      <c r="C183" s="211"/>
      <c r="D183" s="211"/>
      <c r="E183" s="211"/>
      <c r="F183" s="211"/>
      <c r="G183" s="211"/>
      <c r="H183" s="211"/>
      <c r="I183" s="211"/>
      <c r="J183" s="211"/>
      <c r="K183" s="211"/>
      <c r="L183" s="211"/>
      <c r="M183" s="211"/>
      <c r="N183" s="211"/>
      <c r="O183" s="211"/>
    </row>
    <row r="184" spans="1:16" ht="15.5">
      <c r="A184" s="119" t="s">
        <v>105</v>
      </c>
      <c r="B184" s="12" t="s">
        <v>125</v>
      </c>
      <c r="C184" s="6"/>
      <c r="D184" s="6"/>
      <c r="E184" s="7"/>
      <c r="F184" s="6"/>
      <c r="G184" s="6"/>
      <c r="H184" s="6"/>
      <c r="I184" s="7"/>
      <c r="J184" s="6"/>
      <c r="K184" s="6"/>
      <c r="L184" s="6"/>
      <c r="M184" s="7"/>
      <c r="N184" s="6"/>
      <c r="O184" s="6"/>
    </row>
    <row r="185" spans="1:16" ht="15.5">
      <c r="B185" s="14" t="s">
        <v>19</v>
      </c>
      <c r="C185" s="168"/>
      <c r="D185" s="168"/>
      <c r="E185" s="168"/>
      <c r="F185" s="168"/>
      <c r="G185" s="168"/>
      <c r="H185" s="168"/>
      <c r="I185" s="168"/>
      <c r="J185" s="168"/>
      <c r="K185" s="168"/>
      <c r="L185" s="168"/>
      <c r="M185" s="168"/>
      <c r="N185" s="168"/>
      <c r="O185" s="168"/>
    </row>
    <row r="186" spans="1:16" ht="15.5">
      <c r="B186" s="9"/>
      <c r="C186" s="9"/>
      <c r="D186" s="9"/>
      <c r="E186" s="9"/>
      <c r="F186" s="9"/>
      <c r="G186" s="9"/>
      <c r="H186" s="9"/>
      <c r="I186" s="9"/>
      <c r="J186" s="9"/>
      <c r="K186" s="9"/>
      <c r="L186" s="9"/>
      <c r="M186" s="9"/>
      <c r="N186" s="9"/>
      <c r="O186" s="9"/>
    </row>
    <row r="187" spans="1:16" s="32" customFormat="1" ht="15.5">
      <c r="B187" s="169"/>
      <c r="C187" s="170">
        <v>2016</v>
      </c>
      <c r="D187" s="170">
        <v>2017</v>
      </c>
      <c r="E187" s="170" t="s">
        <v>20</v>
      </c>
      <c r="F187" s="170" t="s">
        <v>21</v>
      </c>
      <c r="G187" s="170" t="s">
        <v>22</v>
      </c>
      <c r="H187" s="170" t="s">
        <v>23</v>
      </c>
      <c r="I187" s="170" t="s">
        <v>24</v>
      </c>
      <c r="J187" s="170" t="s">
        <v>25</v>
      </c>
      <c r="K187" s="170" t="s">
        <v>26</v>
      </c>
      <c r="L187" s="170" t="s">
        <v>27</v>
      </c>
      <c r="M187" s="170" t="s">
        <v>28</v>
      </c>
      <c r="N187" s="170" t="s">
        <v>29</v>
      </c>
      <c r="O187" s="170" t="s">
        <v>30</v>
      </c>
      <c r="P187" s="170" t="s">
        <v>954</v>
      </c>
    </row>
    <row r="188" spans="1:16" ht="15.5">
      <c r="B188" s="171"/>
      <c r="C188" s="9"/>
      <c r="D188" s="9"/>
      <c r="E188" s="9"/>
      <c r="F188" s="9"/>
      <c r="G188" s="9"/>
      <c r="H188" s="9"/>
      <c r="I188" s="9"/>
      <c r="J188" s="9"/>
      <c r="K188" s="9"/>
      <c r="L188" s="9"/>
      <c r="M188" s="9"/>
      <c r="N188" s="9"/>
      <c r="O188" s="9"/>
    </row>
    <row r="189" spans="1:16" ht="15.5">
      <c r="B189" s="172" t="s">
        <v>108</v>
      </c>
      <c r="C189" s="207">
        <v>129114</v>
      </c>
      <c r="D189" s="207">
        <v>129681</v>
      </c>
      <c r="E189" s="207">
        <v>32993</v>
      </c>
      <c r="F189" s="207">
        <v>32961</v>
      </c>
      <c r="G189" s="207">
        <v>33349</v>
      </c>
      <c r="H189" s="207">
        <v>33847</v>
      </c>
      <c r="I189" s="207">
        <v>34073</v>
      </c>
      <c r="J189" s="207">
        <v>34509</v>
      </c>
      <c r="K189" s="207">
        <v>35213</v>
      </c>
      <c r="L189" s="207">
        <v>35723</v>
      </c>
      <c r="M189" s="207">
        <v>35290</v>
      </c>
      <c r="N189" s="207">
        <v>35995</v>
      </c>
      <c r="O189" s="207">
        <v>35693</v>
      </c>
      <c r="P189" s="207">
        <v>36252</v>
      </c>
    </row>
    <row r="190" spans="1:16" ht="15.5">
      <c r="B190" s="172" t="s">
        <v>109</v>
      </c>
      <c r="C190" s="207">
        <v>105814</v>
      </c>
      <c r="D190" s="207">
        <v>105442</v>
      </c>
      <c r="E190" s="207">
        <v>26867</v>
      </c>
      <c r="F190" s="207">
        <v>27098</v>
      </c>
      <c r="G190" s="207">
        <v>27421</v>
      </c>
      <c r="H190" s="207">
        <v>29532</v>
      </c>
      <c r="I190" s="207">
        <v>28710</v>
      </c>
      <c r="J190" s="207">
        <v>29079</v>
      </c>
      <c r="K190" s="207">
        <v>29392</v>
      </c>
      <c r="L190" s="207">
        <v>30072</v>
      </c>
      <c r="M190" s="207">
        <v>29659</v>
      </c>
      <c r="N190" s="207">
        <v>29636</v>
      </c>
      <c r="O190" s="207">
        <v>29580</v>
      </c>
      <c r="P190" s="207">
        <v>30364</v>
      </c>
    </row>
    <row r="191" spans="1:16" ht="15.5">
      <c r="B191" s="172" t="s">
        <v>126</v>
      </c>
      <c r="C191" s="207">
        <v>101</v>
      </c>
      <c r="D191" s="207">
        <v>75</v>
      </c>
      <c r="E191" s="207">
        <v>18</v>
      </c>
      <c r="F191" s="207">
        <v>18</v>
      </c>
      <c r="G191" s="207">
        <v>361</v>
      </c>
      <c r="H191" s="207">
        <v>-325</v>
      </c>
      <c r="I191" s="207">
        <v>18</v>
      </c>
      <c r="J191" s="207">
        <v>19</v>
      </c>
      <c r="K191" s="207">
        <v>19</v>
      </c>
      <c r="L191" s="207">
        <v>18</v>
      </c>
      <c r="M191" s="207">
        <v>19</v>
      </c>
      <c r="N191" s="207">
        <v>19</v>
      </c>
      <c r="O191" s="207">
        <v>19</v>
      </c>
      <c r="P191" s="207">
        <v>19</v>
      </c>
    </row>
    <row r="192" spans="1:16" ht="15.5">
      <c r="B192" s="172" t="s">
        <v>40</v>
      </c>
      <c r="C192" s="207">
        <v>8443</v>
      </c>
      <c r="D192" s="207">
        <v>8866</v>
      </c>
      <c r="E192" s="207">
        <v>2525</v>
      </c>
      <c r="F192" s="207">
        <v>2019</v>
      </c>
      <c r="G192" s="207">
        <v>1974</v>
      </c>
      <c r="H192" s="207">
        <v>2702</v>
      </c>
      <c r="I192" s="207">
        <v>1370</v>
      </c>
      <c r="J192" s="207">
        <v>2975</v>
      </c>
      <c r="K192" s="207">
        <v>2660</v>
      </c>
      <c r="L192" s="207">
        <v>3527</v>
      </c>
      <c r="M192" s="207">
        <v>1913</v>
      </c>
      <c r="N192" s="207">
        <v>2026</v>
      </c>
      <c r="O192" s="207">
        <v>2111</v>
      </c>
      <c r="P192" s="207">
        <v>2841</v>
      </c>
    </row>
    <row r="193" spans="1:16" ht="15.5">
      <c r="B193" s="172" t="s">
        <v>41</v>
      </c>
      <c r="C193" s="207">
        <v>78240</v>
      </c>
      <c r="D193" s="207">
        <v>80724</v>
      </c>
      <c r="E193" s="207">
        <v>19907</v>
      </c>
      <c r="F193" s="207">
        <v>19822</v>
      </c>
      <c r="G193" s="207">
        <v>20044</v>
      </c>
      <c r="H193" s="207">
        <v>23718</v>
      </c>
      <c r="I193" s="207">
        <v>19579</v>
      </c>
      <c r="J193" s="207">
        <v>20953</v>
      </c>
      <c r="K193" s="207">
        <v>20303</v>
      </c>
      <c r="L193" s="207">
        <v>25693</v>
      </c>
      <c r="M193" s="207">
        <v>21797</v>
      </c>
      <c r="N193" s="207">
        <v>20844</v>
      </c>
      <c r="O193" s="207">
        <v>20757</v>
      </c>
      <c r="P193" s="207">
        <v>27753</v>
      </c>
    </row>
    <row r="194" spans="1:16" ht="15.5">
      <c r="B194" s="174" t="s">
        <v>112</v>
      </c>
      <c r="C194" s="208">
        <f>+C189+C190+C191+C192-C193</f>
        <v>165232</v>
      </c>
      <c r="D194" s="208">
        <f t="shared" ref="D194:P194" si="11">+D189+D190+D191+D192-D193</f>
        <v>163340</v>
      </c>
      <c r="E194" s="208">
        <f t="shared" si="11"/>
        <v>42496</v>
      </c>
      <c r="F194" s="208">
        <f t="shared" si="11"/>
        <v>42274</v>
      </c>
      <c r="G194" s="208">
        <f t="shared" si="11"/>
        <v>43061</v>
      </c>
      <c r="H194" s="208">
        <f t="shared" si="11"/>
        <v>42038</v>
      </c>
      <c r="I194" s="208">
        <f t="shared" si="11"/>
        <v>44592</v>
      </c>
      <c r="J194" s="208">
        <f t="shared" si="11"/>
        <v>45629</v>
      </c>
      <c r="K194" s="208">
        <f t="shared" si="11"/>
        <v>46981</v>
      </c>
      <c r="L194" s="208">
        <f t="shared" si="11"/>
        <v>43647</v>
      </c>
      <c r="M194" s="208">
        <f t="shared" si="11"/>
        <v>45084</v>
      </c>
      <c r="N194" s="208">
        <f t="shared" si="11"/>
        <v>46832</v>
      </c>
      <c r="O194" s="208">
        <f t="shared" si="11"/>
        <v>46646</v>
      </c>
      <c r="P194" s="208">
        <f t="shared" si="11"/>
        <v>41723</v>
      </c>
    </row>
    <row r="195" spans="1:16" ht="15.5">
      <c r="B195" s="171"/>
      <c r="C195" s="9"/>
      <c r="D195" s="9"/>
      <c r="E195" s="9"/>
      <c r="F195" s="9"/>
      <c r="G195" s="9"/>
      <c r="H195" s="9"/>
      <c r="I195" s="9"/>
      <c r="J195" s="9"/>
      <c r="K195" s="9"/>
      <c r="L195" s="9"/>
      <c r="M195" s="9"/>
      <c r="N195" s="9"/>
      <c r="O195" s="9"/>
      <c r="P195" s="9"/>
    </row>
    <row r="196" spans="1:16" ht="15.5">
      <c r="B196" s="172" t="s">
        <v>44</v>
      </c>
      <c r="C196" s="207">
        <v>60663</v>
      </c>
      <c r="D196" s="207">
        <v>43503</v>
      </c>
      <c r="E196" s="207">
        <v>10214</v>
      </c>
      <c r="F196" s="207">
        <v>10258</v>
      </c>
      <c r="G196" s="207">
        <v>10298</v>
      </c>
      <c r="H196" s="207">
        <v>11049</v>
      </c>
      <c r="I196" s="207">
        <v>10283</v>
      </c>
      <c r="J196" s="207">
        <v>10361</v>
      </c>
      <c r="K196" s="207">
        <v>10605</v>
      </c>
      <c r="L196" s="207">
        <v>10757</v>
      </c>
      <c r="M196" s="207">
        <v>9941</v>
      </c>
      <c r="N196" s="207">
        <v>9884</v>
      </c>
      <c r="O196" s="207">
        <v>8528</v>
      </c>
      <c r="P196" s="207">
        <v>18333</v>
      </c>
    </row>
    <row r="197" spans="1:16" ht="15.5">
      <c r="B197" s="172" t="s">
        <v>45</v>
      </c>
      <c r="C197" s="207">
        <v>51858</v>
      </c>
      <c r="D197" s="207">
        <v>50752</v>
      </c>
      <c r="E197" s="207">
        <v>14600</v>
      </c>
      <c r="F197" s="207">
        <v>15412</v>
      </c>
      <c r="G197" s="207">
        <v>16495</v>
      </c>
      <c r="H197" s="207">
        <v>23021</v>
      </c>
      <c r="I197" s="207">
        <v>19715</v>
      </c>
      <c r="J197" s="207">
        <v>20515</v>
      </c>
      <c r="K197" s="207">
        <v>21108</v>
      </c>
      <c r="L197" s="207">
        <v>39996</v>
      </c>
      <c r="M197" s="207">
        <v>21539</v>
      </c>
      <c r="N197" s="207">
        <v>24125</v>
      </c>
      <c r="O197" s="207">
        <v>21737</v>
      </c>
      <c r="P197" s="207">
        <v>20279</v>
      </c>
    </row>
    <row r="198" spans="1:16" ht="15.5">
      <c r="B198" s="172" t="s">
        <v>46</v>
      </c>
      <c r="C198" s="207">
        <v>1526</v>
      </c>
      <c r="D198" s="207">
        <v>5283</v>
      </c>
      <c r="E198" s="207">
        <v>1214</v>
      </c>
      <c r="F198" s="207">
        <v>1912</v>
      </c>
      <c r="G198" s="207">
        <v>-2580</v>
      </c>
      <c r="H198" s="207">
        <v>-2984</v>
      </c>
      <c r="I198" s="207">
        <v>-41</v>
      </c>
      <c r="J198" s="207">
        <v>-782</v>
      </c>
      <c r="K198" s="207">
        <v>-1807</v>
      </c>
      <c r="L198" s="207">
        <v>-6778</v>
      </c>
      <c r="M198" s="207">
        <v>563</v>
      </c>
      <c r="N198" s="207">
        <v>169</v>
      </c>
      <c r="O198" s="207">
        <v>-3330</v>
      </c>
      <c r="P198" s="207">
        <v>-4923</v>
      </c>
    </row>
    <row r="199" spans="1:16" ht="15.5">
      <c r="B199" s="174" t="s">
        <v>47</v>
      </c>
      <c r="C199" s="209">
        <f>+C194-C196+C197+C198</f>
        <v>157953</v>
      </c>
      <c r="D199" s="209">
        <f>+D194-D196+D197+D198</f>
        <v>175872</v>
      </c>
      <c r="E199" s="209">
        <f t="shared" ref="E199:O199" si="12">+E194-E196+E197+E198</f>
        <v>48096</v>
      </c>
      <c r="F199" s="209">
        <f t="shared" si="12"/>
        <v>49340</v>
      </c>
      <c r="G199" s="209">
        <f t="shared" si="12"/>
        <v>46678</v>
      </c>
      <c r="H199" s="209">
        <f t="shared" si="12"/>
        <v>51026</v>
      </c>
      <c r="I199" s="209">
        <f t="shared" si="12"/>
        <v>53983</v>
      </c>
      <c r="J199" s="209">
        <f t="shared" si="12"/>
        <v>55001</v>
      </c>
      <c r="K199" s="209">
        <f t="shared" si="12"/>
        <v>55677</v>
      </c>
      <c r="L199" s="209">
        <f t="shared" si="12"/>
        <v>66108</v>
      </c>
      <c r="M199" s="209">
        <f t="shared" si="12"/>
        <v>57245</v>
      </c>
      <c r="N199" s="209">
        <f t="shared" si="12"/>
        <v>61242</v>
      </c>
      <c r="O199" s="209">
        <f t="shared" si="12"/>
        <v>56525</v>
      </c>
      <c r="P199" s="209">
        <f>+P194-P196+P197+P198</f>
        <v>38746</v>
      </c>
    </row>
    <row r="200" spans="1:16" ht="15.5">
      <c r="B200" s="172"/>
      <c r="C200" s="207"/>
      <c r="D200" s="207"/>
      <c r="E200" s="207"/>
      <c r="F200" s="207"/>
      <c r="G200" s="207"/>
      <c r="H200" s="207"/>
      <c r="I200" s="207"/>
      <c r="J200" s="207"/>
      <c r="K200" s="207"/>
      <c r="L200" s="207"/>
      <c r="M200" s="207"/>
      <c r="N200" s="207"/>
      <c r="O200" s="207"/>
      <c r="P200" s="207"/>
    </row>
    <row r="201" spans="1:16" ht="15.5">
      <c r="B201" s="172" t="s">
        <v>48</v>
      </c>
      <c r="C201" s="207">
        <v>-43180</v>
      </c>
      <c r="D201" s="207">
        <v>-29658</v>
      </c>
      <c r="E201" s="207">
        <v>-7224</v>
      </c>
      <c r="F201" s="207">
        <v>-6370</v>
      </c>
      <c r="G201" s="207">
        <v>-6374</v>
      </c>
      <c r="H201" s="207">
        <v>-5931</v>
      </c>
      <c r="I201" s="207">
        <v>-4724</v>
      </c>
      <c r="J201" s="207">
        <v>-5948</v>
      </c>
      <c r="K201" s="207">
        <v>-7235</v>
      </c>
      <c r="L201" s="207">
        <v>-6974</v>
      </c>
      <c r="M201" s="207">
        <v>-6659</v>
      </c>
      <c r="N201" s="207">
        <v>-9103</v>
      </c>
      <c r="O201" s="207">
        <v>-6593</v>
      </c>
      <c r="P201" s="207">
        <v>-5477</v>
      </c>
    </row>
    <row r="202" spans="1:16" ht="15.5">
      <c r="B202" s="174" t="s">
        <v>49</v>
      </c>
      <c r="C202" s="209">
        <f>+C199+C201</f>
        <v>114773</v>
      </c>
      <c r="D202" s="209">
        <f t="shared" ref="D202:O202" si="13">+D199+D201</f>
        <v>146214</v>
      </c>
      <c r="E202" s="209">
        <f t="shared" si="13"/>
        <v>40872</v>
      </c>
      <c r="F202" s="209">
        <f t="shared" si="13"/>
        <v>42970</v>
      </c>
      <c r="G202" s="209">
        <f t="shared" si="13"/>
        <v>40304</v>
      </c>
      <c r="H202" s="209">
        <f t="shared" si="13"/>
        <v>45095</v>
      </c>
      <c r="I202" s="209">
        <f t="shared" si="13"/>
        <v>49259</v>
      </c>
      <c r="J202" s="209">
        <f t="shared" si="13"/>
        <v>49053</v>
      </c>
      <c r="K202" s="209">
        <f t="shared" si="13"/>
        <v>48442</v>
      </c>
      <c r="L202" s="209">
        <f t="shared" si="13"/>
        <v>59134</v>
      </c>
      <c r="M202" s="209">
        <f t="shared" si="13"/>
        <v>50586</v>
      </c>
      <c r="N202" s="209">
        <f t="shared" si="13"/>
        <v>52139</v>
      </c>
      <c r="O202" s="209">
        <f t="shared" si="13"/>
        <v>49932</v>
      </c>
      <c r="P202" s="209">
        <f>+P199+P201</f>
        <v>33269</v>
      </c>
    </row>
    <row r="203" spans="1:16" ht="15.5">
      <c r="B203" s="171"/>
      <c r="C203" s="9"/>
      <c r="D203" s="9"/>
      <c r="E203" s="9"/>
      <c r="F203" s="9"/>
      <c r="G203" s="9"/>
      <c r="H203" s="9"/>
      <c r="I203" s="9"/>
      <c r="J203" s="9"/>
      <c r="K203" s="9"/>
      <c r="L203" s="9"/>
      <c r="M203" s="9"/>
      <c r="N203" s="9"/>
      <c r="O203" s="9"/>
      <c r="P203" s="9"/>
    </row>
    <row r="204" spans="1:16" ht="15.5">
      <c r="B204" s="172" t="s">
        <v>50</v>
      </c>
      <c r="C204" s="207">
        <v>26011</v>
      </c>
      <c r="D204" s="207">
        <v>38236</v>
      </c>
      <c r="E204" s="207">
        <v>9756</v>
      </c>
      <c r="F204" s="207">
        <v>10072</v>
      </c>
      <c r="G204" s="207">
        <v>8319</v>
      </c>
      <c r="H204" s="207">
        <v>5310</v>
      </c>
      <c r="I204" s="207">
        <v>9609</v>
      </c>
      <c r="J204" s="207">
        <v>10092</v>
      </c>
      <c r="K204" s="207">
        <v>8936</v>
      </c>
      <c r="L204" s="207">
        <v>6632</v>
      </c>
      <c r="M204" s="207">
        <v>10350</v>
      </c>
      <c r="N204" s="207">
        <v>11503</v>
      </c>
      <c r="O204" s="207">
        <v>11416</v>
      </c>
      <c r="P204" s="207">
        <v>5842</v>
      </c>
    </row>
    <row r="205" spans="1:16" ht="15.5">
      <c r="B205" s="174" t="s">
        <v>53</v>
      </c>
      <c r="C205" s="209">
        <f>+C202-C204</f>
        <v>88762</v>
      </c>
      <c r="D205" s="209">
        <f t="shared" ref="D205:O205" si="14">+D202-D204</f>
        <v>107978</v>
      </c>
      <c r="E205" s="209">
        <f t="shared" si="14"/>
        <v>31116</v>
      </c>
      <c r="F205" s="209">
        <f t="shared" si="14"/>
        <v>32898</v>
      </c>
      <c r="G205" s="209">
        <f t="shared" si="14"/>
        <v>31985</v>
      </c>
      <c r="H205" s="209">
        <f t="shared" si="14"/>
        <v>39785</v>
      </c>
      <c r="I205" s="209">
        <f t="shared" si="14"/>
        <v>39650</v>
      </c>
      <c r="J205" s="209">
        <f t="shared" si="14"/>
        <v>38961</v>
      </c>
      <c r="K205" s="209">
        <f t="shared" si="14"/>
        <v>39506</v>
      </c>
      <c r="L205" s="209">
        <f t="shared" si="14"/>
        <v>52502</v>
      </c>
      <c r="M205" s="209">
        <f>+M202-M204</f>
        <v>40236</v>
      </c>
      <c r="N205" s="209">
        <f t="shared" si="14"/>
        <v>40636</v>
      </c>
      <c r="O205" s="209">
        <f t="shared" si="14"/>
        <v>38516</v>
      </c>
      <c r="P205" s="209">
        <f>+P202-P204</f>
        <v>27427</v>
      </c>
    </row>
    <row r="206" spans="1:16" ht="15.5">
      <c r="B206" s="167"/>
      <c r="C206" s="167"/>
      <c r="D206" s="167"/>
      <c r="E206" s="167"/>
      <c r="F206" s="167"/>
      <c r="G206" s="167"/>
      <c r="H206" s="167"/>
      <c r="I206" s="167"/>
      <c r="J206" s="167"/>
      <c r="K206" s="167"/>
      <c r="L206" s="167"/>
      <c r="M206" s="167"/>
      <c r="N206" s="167"/>
      <c r="O206" s="167"/>
    </row>
    <row r="207" spans="1:16" ht="15.5">
      <c r="B207" s="167"/>
      <c r="C207" s="167"/>
      <c r="D207" s="167"/>
      <c r="E207" s="167"/>
      <c r="F207" s="167"/>
      <c r="G207" s="167"/>
      <c r="H207" s="167"/>
      <c r="I207" s="167"/>
      <c r="J207" s="167"/>
      <c r="K207" s="167"/>
      <c r="L207" s="167"/>
      <c r="M207" s="167"/>
      <c r="N207" s="167"/>
      <c r="O207" s="167"/>
    </row>
    <row r="208" spans="1:16" ht="15.5">
      <c r="A208" s="119" t="s">
        <v>105</v>
      </c>
      <c r="B208" s="12" t="s">
        <v>127</v>
      </c>
      <c r="C208" s="167"/>
      <c r="D208" s="167"/>
      <c r="E208" s="167"/>
      <c r="F208" s="167"/>
      <c r="G208" s="167"/>
      <c r="H208" s="167"/>
      <c r="I208" s="167"/>
      <c r="J208" s="167"/>
      <c r="K208" s="167"/>
      <c r="L208" s="167"/>
      <c r="M208" s="167"/>
      <c r="N208" s="167"/>
      <c r="O208" s="167"/>
    </row>
    <row r="209" spans="2:16" ht="15.5">
      <c r="B209" s="14" t="s">
        <v>55</v>
      </c>
      <c r="C209" s="167"/>
      <c r="D209" s="167"/>
      <c r="E209" s="167"/>
      <c r="F209" s="167"/>
      <c r="G209" s="167"/>
      <c r="H209" s="167"/>
      <c r="I209" s="167"/>
      <c r="J209" s="167"/>
      <c r="K209" s="167"/>
      <c r="L209" s="167"/>
      <c r="M209" s="167"/>
      <c r="N209" s="167"/>
      <c r="O209" s="167"/>
    </row>
    <row r="210" spans="2:16" ht="15.5">
      <c r="B210" s="167"/>
      <c r="C210" s="167"/>
      <c r="D210" s="167"/>
      <c r="E210" s="167"/>
      <c r="F210" s="167"/>
      <c r="G210" s="167"/>
      <c r="H210" s="167"/>
      <c r="I210" s="167"/>
      <c r="J210" s="167"/>
      <c r="K210" s="167"/>
      <c r="L210" s="167"/>
      <c r="M210" s="167"/>
      <c r="N210" s="167"/>
      <c r="O210" s="167"/>
    </row>
    <row r="211" spans="2:16" ht="16" thickBot="1">
      <c r="B211" s="212"/>
      <c r="C211" s="213"/>
      <c r="D211" s="213"/>
      <c r="E211" s="213"/>
      <c r="F211" s="213"/>
      <c r="G211" s="213"/>
      <c r="H211" s="213"/>
      <c r="I211" s="213"/>
      <c r="J211" s="213"/>
      <c r="K211" s="213"/>
      <c r="L211" s="213"/>
      <c r="M211" s="213"/>
      <c r="N211" s="213"/>
      <c r="O211" s="213"/>
      <c r="P211" s="213"/>
    </row>
    <row r="212" spans="2:16" ht="15.5" thickBot="1">
      <c r="B212" s="214" t="s">
        <v>56</v>
      </c>
      <c r="C212" s="215"/>
      <c r="D212" s="215"/>
      <c r="E212" s="215"/>
      <c r="F212" s="215"/>
      <c r="G212" s="215"/>
      <c r="H212" s="215"/>
      <c r="I212" s="215"/>
      <c r="J212" s="215"/>
      <c r="K212" s="215"/>
      <c r="L212" s="215"/>
      <c r="M212" s="214"/>
      <c r="N212" s="214"/>
      <c r="O212" s="214"/>
      <c r="P212" s="214"/>
    </row>
    <row r="213" spans="2:16" ht="15.5" thickBot="1">
      <c r="B213" s="216" t="s">
        <v>57</v>
      </c>
      <c r="C213" s="217"/>
      <c r="D213" s="217"/>
      <c r="E213" s="217"/>
      <c r="F213" s="217"/>
      <c r="G213" s="217"/>
      <c r="H213" s="217"/>
      <c r="I213" s="217"/>
      <c r="J213" s="217"/>
      <c r="K213" s="217"/>
      <c r="L213" s="217"/>
      <c r="M213" s="217"/>
      <c r="N213" s="217"/>
      <c r="O213" s="217"/>
      <c r="P213" s="217"/>
    </row>
    <row r="214" spans="2:16" ht="16" thickBot="1">
      <c r="B214" s="218" t="s">
        <v>58</v>
      </c>
      <c r="C214" s="206">
        <v>42610</v>
      </c>
      <c r="D214" s="206">
        <v>37156</v>
      </c>
      <c r="E214" s="206">
        <v>25585</v>
      </c>
      <c r="F214" s="206">
        <v>22251</v>
      </c>
      <c r="G214" s="206">
        <v>31573</v>
      </c>
      <c r="H214" s="206">
        <v>47764</v>
      </c>
      <c r="I214" s="206">
        <v>24298</v>
      </c>
      <c r="J214" s="206">
        <v>10663</v>
      </c>
      <c r="K214" s="206">
        <v>25334</v>
      </c>
      <c r="L214" s="206">
        <v>31863</v>
      </c>
      <c r="M214" s="206">
        <v>37743</v>
      </c>
      <c r="N214" s="206">
        <v>59893</v>
      </c>
      <c r="O214" s="206">
        <v>63820</v>
      </c>
      <c r="P214" s="206">
        <v>70596</v>
      </c>
    </row>
    <row r="215" spans="2:16" ht="16" thickBot="1">
      <c r="B215" s="218" t="s">
        <v>59</v>
      </c>
      <c r="C215" s="206">
        <v>29125</v>
      </c>
      <c r="D215" s="206">
        <v>31485</v>
      </c>
      <c r="E215" s="206">
        <v>70841</v>
      </c>
      <c r="F215" s="206">
        <v>30922</v>
      </c>
      <c r="G215" s="206">
        <v>32474</v>
      </c>
      <c r="H215" s="206">
        <v>29773</v>
      </c>
      <c r="I215" s="206">
        <v>108812</v>
      </c>
      <c r="J215" s="206">
        <v>31981</v>
      </c>
      <c r="K215" s="206">
        <v>32713</v>
      </c>
      <c r="L215" s="206">
        <f>34215+32941</f>
        <v>67156</v>
      </c>
      <c r="M215" s="206">
        <v>36460</v>
      </c>
      <c r="N215" s="206">
        <v>34033</v>
      </c>
      <c r="O215" s="206">
        <v>33819</v>
      </c>
      <c r="P215" s="206">
        <v>36713</v>
      </c>
    </row>
    <row r="216" spans="2:16" ht="16" thickBot="1">
      <c r="B216" s="218" t="s">
        <v>60</v>
      </c>
      <c r="C216" s="206">
        <v>3681</v>
      </c>
      <c r="D216" s="206">
        <v>4512</v>
      </c>
      <c r="E216" s="206">
        <v>10043</v>
      </c>
      <c r="F216" s="206">
        <v>20683</v>
      </c>
      <c r="G216" s="206">
        <v>24653</v>
      </c>
      <c r="H216" s="206">
        <v>5384</v>
      </c>
      <c r="I216" s="206">
        <v>12396</v>
      </c>
      <c r="J216" s="206">
        <v>23934</v>
      </c>
      <c r="K216" s="206">
        <v>28732</v>
      </c>
      <c r="L216" s="206">
        <v>7665</v>
      </c>
      <c r="M216" s="206">
        <v>15716</v>
      </c>
      <c r="N216" s="206">
        <v>25840</v>
      </c>
      <c r="O216" s="206">
        <v>30090</v>
      </c>
      <c r="P216" s="206">
        <v>8649</v>
      </c>
    </row>
    <row r="217" spans="2:16" ht="16" thickBot="1">
      <c r="B217" s="218" t="s">
        <v>62</v>
      </c>
      <c r="C217" s="206">
        <v>3480</v>
      </c>
      <c r="D217" s="206">
        <v>2318</v>
      </c>
      <c r="E217" s="206">
        <v>950</v>
      </c>
      <c r="F217" s="206">
        <v>332</v>
      </c>
      <c r="G217" s="206">
        <v>3435</v>
      </c>
      <c r="H217" s="206">
        <v>2759</v>
      </c>
      <c r="I217" s="206">
        <v>3245</v>
      </c>
      <c r="J217" s="206">
        <v>3389</v>
      </c>
      <c r="K217" s="206">
        <v>2381</v>
      </c>
      <c r="L217" s="206">
        <v>1654</v>
      </c>
      <c r="M217" s="206">
        <v>4461</v>
      </c>
      <c r="N217" s="206">
        <v>3550</v>
      </c>
      <c r="O217" s="206">
        <v>2747</v>
      </c>
      <c r="P217" s="206">
        <v>3933</v>
      </c>
    </row>
    <row r="218" spans="2:16" ht="16" thickBot="1">
      <c r="B218" s="218" t="s">
        <v>63</v>
      </c>
      <c r="C218" s="206">
        <v>777</v>
      </c>
      <c r="D218" s="206">
        <v>805</v>
      </c>
      <c r="E218" s="206">
        <v>-244886</v>
      </c>
      <c r="F218" s="206">
        <v>-244886</v>
      </c>
      <c r="G218" s="206">
        <v>0</v>
      </c>
      <c r="H218" s="206">
        <v>1790</v>
      </c>
      <c r="I218" s="206">
        <v>0</v>
      </c>
      <c r="J218" s="206">
        <v>0</v>
      </c>
      <c r="K218" s="206">
        <v>0</v>
      </c>
      <c r="L218" s="206">
        <v>1088</v>
      </c>
      <c r="M218" s="206">
        <v>0</v>
      </c>
      <c r="N218" s="206">
        <v>0</v>
      </c>
      <c r="O218" s="206">
        <v>0</v>
      </c>
      <c r="P218" s="206"/>
    </row>
    <row r="219" spans="2:16" ht="15.5" thickBot="1">
      <c r="B219" s="219" t="s">
        <v>64</v>
      </c>
      <c r="C219" s="220">
        <f t="shared" ref="C219:N219" si="15">SUM(C214:C218)</f>
        <v>79673</v>
      </c>
      <c r="D219" s="220">
        <f t="shared" si="15"/>
        <v>76276</v>
      </c>
      <c r="E219" s="220">
        <f t="shared" si="15"/>
        <v>-137467</v>
      </c>
      <c r="F219" s="220">
        <f t="shared" si="15"/>
        <v>-170698</v>
      </c>
      <c r="G219" s="220">
        <f t="shared" si="15"/>
        <v>92135</v>
      </c>
      <c r="H219" s="220">
        <f t="shared" si="15"/>
        <v>87470</v>
      </c>
      <c r="I219" s="220">
        <f t="shared" si="15"/>
        <v>148751</v>
      </c>
      <c r="J219" s="220">
        <f t="shared" si="15"/>
        <v>69967</v>
      </c>
      <c r="K219" s="220">
        <f t="shared" si="15"/>
        <v>89160</v>
      </c>
      <c r="L219" s="220">
        <f t="shared" si="15"/>
        <v>109426</v>
      </c>
      <c r="M219" s="220">
        <f t="shared" si="15"/>
        <v>94380</v>
      </c>
      <c r="N219" s="220">
        <f t="shared" si="15"/>
        <v>123316</v>
      </c>
      <c r="O219" s="220">
        <v>130476</v>
      </c>
      <c r="P219" s="220">
        <v>119891</v>
      </c>
    </row>
    <row r="220" spans="2:16" ht="15.5" thickBot="1">
      <c r="B220" s="216" t="s">
        <v>65</v>
      </c>
      <c r="C220" s="217"/>
      <c r="D220" s="217"/>
      <c r="E220" s="217"/>
      <c r="F220" s="217"/>
      <c r="G220" s="217"/>
      <c r="H220" s="217"/>
      <c r="I220" s="217"/>
      <c r="J220" s="217"/>
      <c r="K220" s="217"/>
      <c r="L220" s="217"/>
      <c r="M220" s="217"/>
      <c r="N220" s="217"/>
      <c r="O220" s="217"/>
      <c r="P220" s="217"/>
    </row>
    <row r="221" spans="2:16" ht="16" thickBot="1">
      <c r="B221" s="218" t="s">
        <v>66</v>
      </c>
      <c r="C221" s="206">
        <v>35</v>
      </c>
      <c r="D221" s="206">
        <v>35</v>
      </c>
      <c r="E221" s="206">
        <v>35</v>
      </c>
      <c r="F221" s="206">
        <v>35</v>
      </c>
      <c r="G221" s="206">
        <v>35</v>
      </c>
      <c r="H221" s="206">
        <v>35</v>
      </c>
      <c r="I221" s="206">
        <v>35</v>
      </c>
      <c r="J221" s="206">
        <v>35</v>
      </c>
      <c r="K221" s="206">
        <v>35</v>
      </c>
      <c r="L221" s="206">
        <v>35</v>
      </c>
      <c r="M221" s="206">
        <v>35</v>
      </c>
      <c r="N221" s="206">
        <v>35</v>
      </c>
      <c r="O221" s="206">
        <v>35</v>
      </c>
      <c r="P221" s="206">
        <v>35</v>
      </c>
    </row>
    <row r="222" spans="2:16" ht="16" thickBot="1">
      <c r="B222" s="218" t="s">
        <v>67</v>
      </c>
      <c r="C222" s="206">
        <v>0</v>
      </c>
      <c r="D222" s="206">
        <v>0</v>
      </c>
      <c r="E222" s="206">
        <v>149</v>
      </c>
      <c r="F222" s="206">
        <v>229</v>
      </c>
      <c r="G222" s="206">
        <v>0</v>
      </c>
      <c r="H222" s="206">
        <v>0</v>
      </c>
      <c r="I222" s="206">
        <v>0</v>
      </c>
      <c r="J222" s="206">
        <v>0</v>
      </c>
      <c r="K222" s="206">
        <v>0</v>
      </c>
      <c r="L222" s="206">
        <v>0</v>
      </c>
      <c r="M222" s="206">
        <v>0</v>
      </c>
      <c r="N222" s="206">
        <v>0</v>
      </c>
      <c r="O222" s="206">
        <v>0</v>
      </c>
      <c r="P222" s="206"/>
    </row>
    <row r="223" spans="2:16" ht="16" thickBot="1">
      <c r="B223" s="218" t="s">
        <v>128</v>
      </c>
      <c r="C223" s="206">
        <v>280143</v>
      </c>
      <c r="D223" s="206">
        <v>280139</v>
      </c>
      <c r="E223" s="206">
        <v>226598</v>
      </c>
      <c r="F223" s="206">
        <v>255055</v>
      </c>
      <c r="G223" s="206">
        <v>275379</v>
      </c>
      <c r="H223" s="206">
        <v>309078</v>
      </c>
      <c r="I223" s="206">
        <v>243120</v>
      </c>
      <c r="J223" s="206">
        <v>265428</v>
      </c>
      <c r="K223" s="206">
        <v>309217</v>
      </c>
      <c r="L223" s="206">
        <v>299686</v>
      </c>
      <c r="M223" s="206">
        <v>382551</v>
      </c>
      <c r="N223" s="206">
        <v>278218</v>
      </c>
      <c r="O223" s="206">
        <v>310373</v>
      </c>
      <c r="P223" s="206">
        <v>294143</v>
      </c>
    </row>
    <row r="224" spans="2:16" ht="16" thickBot="1">
      <c r="B224" s="218" t="s">
        <v>115</v>
      </c>
      <c r="C224" s="206">
        <v>0</v>
      </c>
      <c r="D224" s="206">
        <v>0</v>
      </c>
      <c r="E224" s="206">
        <v>0</v>
      </c>
      <c r="F224" s="206">
        <v>0</v>
      </c>
      <c r="G224" s="206">
        <v>0</v>
      </c>
      <c r="H224" s="206">
        <v>0</v>
      </c>
      <c r="I224" s="206">
        <v>0</v>
      </c>
      <c r="J224" s="206">
        <v>0</v>
      </c>
      <c r="K224" s="206">
        <v>0</v>
      </c>
      <c r="L224" s="206">
        <v>0</v>
      </c>
      <c r="M224" s="206">
        <v>0</v>
      </c>
      <c r="N224" s="206">
        <v>0</v>
      </c>
      <c r="O224" s="206">
        <v>0</v>
      </c>
      <c r="P224" s="206"/>
    </row>
    <row r="225" spans="2:16" ht="16" thickBot="1">
      <c r="B225" s="218" t="s">
        <v>59</v>
      </c>
      <c r="C225" s="206">
        <v>5133</v>
      </c>
      <c r="D225" s="206">
        <v>4625</v>
      </c>
      <c r="E225" s="206">
        <v>62908</v>
      </c>
      <c r="F225" s="206">
        <v>65236</v>
      </c>
      <c r="G225" s="206">
        <v>67390</v>
      </c>
      <c r="H225" s="206">
        <v>4269</v>
      </c>
      <c r="I225" s="206">
        <v>72405</v>
      </c>
      <c r="J225" s="206">
        <v>74865</v>
      </c>
      <c r="K225" s="206">
        <v>77275</v>
      </c>
      <c r="L225" s="206">
        <v>3475</v>
      </c>
      <c r="M225" s="206">
        <v>82551</v>
      </c>
      <c r="N225" s="206">
        <v>84812</v>
      </c>
      <c r="O225" s="206">
        <v>86806</v>
      </c>
      <c r="P225" s="206">
        <v>88413</v>
      </c>
    </row>
    <row r="226" spans="2:16" ht="16" thickBot="1">
      <c r="B226" s="218" t="s">
        <v>70</v>
      </c>
      <c r="C226" s="206">
        <v>7925</v>
      </c>
      <c r="D226" s="206">
        <v>8121</v>
      </c>
      <c r="E226" s="206">
        <v>8388</v>
      </c>
      <c r="F226" s="206">
        <v>8997</v>
      </c>
      <c r="G226" s="206">
        <v>9117</v>
      </c>
      <c r="H226" s="206">
        <v>8162</v>
      </c>
      <c r="I226" s="206">
        <v>8307</v>
      </c>
      <c r="J226" s="206">
        <v>8224</v>
      </c>
      <c r="K226" s="206">
        <v>8267</v>
      </c>
      <c r="L226" s="206">
        <v>7979</v>
      </c>
      <c r="M226" s="206">
        <v>7411</v>
      </c>
      <c r="N226" s="206">
        <v>7455</v>
      </c>
      <c r="O226" s="206">
        <v>7450</v>
      </c>
      <c r="P226" s="206">
        <v>6900</v>
      </c>
    </row>
    <row r="227" spans="2:16" ht="16" thickBot="1">
      <c r="B227" s="218" t="s">
        <v>71</v>
      </c>
      <c r="C227" s="206">
        <v>689893</v>
      </c>
      <c r="D227" s="206">
        <v>671689</v>
      </c>
      <c r="E227" s="206">
        <v>669300</v>
      </c>
      <c r="F227" s="206">
        <v>666224</v>
      </c>
      <c r="G227" s="206">
        <v>661293</v>
      </c>
      <c r="H227" s="206">
        <v>658200</v>
      </c>
      <c r="I227" s="206">
        <v>666854</v>
      </c>
      <c r="J227" s="206">
        <v>667232</v>
      </c>
      <c r="K227" s="206">
        <v>666296</v>
      </c>
      <c r="L227" s="206">
        <v>651255</v>
      </c>
      <c r="M227" s="206">
        <v>660784</v>
      </c>
      <c r="N227" s="206">
        <v>657478</v>
      </c>
      <c r="O227" s="206">
        <v>654846</v>
      </c>
      <c r="P227" s="206">
        <v>644132</v>
      </c>
    </row>
    <row r="228" spans="2:16" ht="16" thickBot="1">
      <c r="B228" s="218" t="s">
        <v>72</v>
      </c>
      <c r="C228" s="206">
        <v>0</v>
      </c>
      <c r="D228" s="206">
        <v>0</v>
      </c>
      <c r="E228" s="206">
        <v>0</v>
      </c>
      <c r="F228" s="206">
        <v>0</v>
      </c>
      <c r="G228" s="206">
        <v>0</v>
      </c>
      <c r="H228" s="206">
        <v>0</v>
      </c>
      <c r="I228" s="206">
        <v>0</v>
      </c>
      <c r="J228" s="206">
        <v>0</v>
      </c>
      <c r="K228" s="206">
        <v>0</v>
      </c>
      <c r="L228" s="206">
        <v>0</v>
      </c>
      <c r="M228" s="206">
        <v>0</v>
      </c>
      <c r="N228" s="206">
        <v>0</v>
      </c>
      <c r="O228" s="206">
        <v>0</v>
      </c>
      <c r="P228" s="206"/>
    </row>
    <row r="229" spans="2:16" ht="16" thickBot="1">
      <c r="B229" s="218" t="s">
        <v>74</v>
      </c>
      <c r="C229" s="206">
        <v>10973</v>
      </c>
      <c r="D229" s="206">
        <v>11103</v>
      </c>
      <c r="E229" s="206">
        <v>10974</v>
      </c>
      <c r="F229" s="206">
        <v>10889</v>
      </c>
      <c r="G229" s="206">
        <v>10813</v>
      </c>
      <c r="H229" s="206">
        <v>10856</v>
      </c>
      <c r="I229" s="206">
        <v>12995</v>
      </c>
      <c r="J229" s="206">
        <v>12858</v>
      </c>
      <c r="K229" s="206">
        <v>14363</v>
      </c>
      <c r="L229" s="206">
        <v>11187</v>
      </c>
      <c r="M229" s="206">
        <v>13338</v>
      </c>
      <c r="N229" s="206">
        <v>11816</v>
      </c>
      <c r="O229" s="206">
        <v>12407</v>
      </c>
      <c r="P229" s="206">
        <v>11880</v>
      </c>
    </row>
    <row r="230" spans="2:16" ht="16" thickBot="1">
      <c r="B230" s="218" t="s">
        <v>62</v>
      </c>
      <c r="C230" s="206">
        <v>0</v>
      </c>
      <c r="D230" s="206">
        <v>0</v>
      </c>
      <c r="E230" s="206">
        <v>0</v>
      </c>
      <c r="F230" s="206">
        <v>0</v>
      </c>
      <c r="G230" s="206">
        <v>0</v>
      </c>
      <c r="H230" s="206">
        <v>0</v>
      </c>
      <c r="I230" s="206">
        <v>0</v>
      </c>
      <c r="J230" s="206">
        <v>0</v>
      </c>
      <c r="K230" s="206">
        <v>0</v>
      </c>
      <c r="L230" s="206">
        <v>0</v>
      </c>
      <c r="M230" s="206">
        <v>0</v>
      </c>
      <c r="N230" s="206">
        <v>0</v>
      </c>
      <c r="O230" s="206">
        <v>0</v>
      </c>
      <c r="P230" s="206"/>
    </row>
    <row r="231" spans="2:16" ht="16" thickBot="1">
      <c r="B231" s="218" t="s">
        <v>75</v>
      </c>
      <c r="C231" s="206">
        <v>33958</v>
      </c>
      <c r="D231" s="206">
        <v>36061</v>
      </c>
      <c r="E231" s="206">
        <v>36310</v>
      </c>
      <c r="F231" s="206">
        <v>35583</v>
      </c>
      <c r="G231" s="206">
        <v>35543</v>
      </c>
      <c r="H231" s="206">
        <v>35252</v>
      </c>
      <c r="I231" s="206">
        <v>35002</v>
      </c>
      <c r="J231" s="206">
        <v>34590</v>
      </c>
      <c r="K231" s="206">
        <v>34115</v>
      </c>
      <c r="L231" s="206">
        <v>33100</v>
      </c>
      <c r="M231" s="206">
        <v>33094</v>
      </c>
      <c r="N231" s="206">
        <v>31937</v>
      </c>
      <c r="O231" s="206">
        <v>31447</v>
      </c>
      <c r="P231" s="206">
        <v>31875</v>
      </c>
    </row>
    <row r="232" spans="2:16" ht="16" thickBot="1">
      <c r="B232" s="218" t="s">
        <v>76</v>
      </c>
      <c r="C232" s="206">
        <v>748</v>
      </c>
      <c r="D232" s="206">
        <v>492</v>
      </c>
      <c r="E232" s="206">
        <v>427</v>
      </c>
      <c r="F232" s="206">
        <v>363</v>
      </c>
      <c r="G232" s="206">
        <v>299</v>
      </c>
      <c r="H232" s="206">
        <v>12936</v>
      </c>
      <c r="I232" s="206">
        <v>171</v>
      </c>
      <c r="J232" s="206">
        <v>103</v>
      </c>
      <c r="K232" s="206">
        <v>41</v>
      </c>
      <c r="L232" s="206">
        <v>13464</v>
      </c>
      <c r="M232" s="206">
        <v>436</v>
      </c>
      <c r="N232" s="206">
        <v>1211</v>
      </c>
      <c r="O232" s="206">
        <v>1813</v>
      </c>
      <c r="P232" s="206">
        <v>14102</v>
      </c>
    </row>
    <row r="233" spans="2:16" ht="16" thickBot="1">
      <c r="B233" s="218" t="s">
        <v>129</v>
      </c>
      <c r="C233" s="206">
        <v>0</v>
      </c>
      <c r="D233" s="206">
        <v>0</v>
      </c>
      <c r="E233" s="206">
        <v>0</v>
      </c>
      <c r="F233" s="206">
        <v>0</v>
      </c>
      <c r="G233" s="206">
        <v>0</v>
      </c>
      <c r="H233" s="206">
        <v>0</v>
      </c>
      <c r="I233" s="206">
        <v>0</v>
      </c>
      <c r="J233" s="206">
        <v>0</v>
      </c>
      <c r="K233" s="206">
        <v>0</v>
      </c>
      <c r="L233" s="206">
        <v>1390</v>
      </c>
      <c r="M233" s="206">
        <v>0</v>
      </c>
      <c r="N233" s="206">
        <v>1781</v>
      </c>
      <c r="O233" s="206">
        <v>410</v>
      </c>
      <c r="P233" s="206">
        <v>402</v>
      </c>
    </row>
    <row r="234" spans="2:16" ht="16" thickBot="1">
      <c r="B234" s="218" t="s">
        <v>63</v>
      </c>
      <c r="C234" s="206">
        <v>288769</v>
      </c>
      <c r="D234" s="206">
        <v>300348</v>
      </c>
      <c r="E234" s="206">
        <v>489773</v>
      </c>
      <c r="F234" s="206">
        <v>489773</v>
      </c>
      <c r="G234" s="206">
        <v>244886</v>
      </c>
      <c r="H234" s="206">
        <v>310677</v>
      </c>
      <c r="I234" s="206">
        <v>244886</v>
      </c>
      <c r="J234" s="206">
        <v>244886</v>
      </c>
      <c r="K234" s="206">
        <v>244886</v>
      </c>
      <c r="L234" s="206">
        <v>321301</v>
      </c>
      <c r="M234" s="206">
        <v>244886</v>
      </c>
      <c r="N234" s="206">
        <v>244886</v>
      </c>
      <c r="O234" s="206">
        <v>244886</v>
      </c>
      <c r="P234" s="206">
        <v>244886</v>
      </c>
    </row>
    <row r="235" spans="2:16" ht="15.5" thickBot="1">
      <c r="B235" s="216" t="s">
        <v>78</v>
      </c>
      <c r="C235" s="221">
        <f t="shared" ref="C235:N235" si="16">SUM(C221:C234)</f>
        <v>1317577</v>
      </c>
      <c r="D235" s="221">
        <f t="shared" si="16"/>
        <v>1312613</v>
      </c>
      <c r="E235" s="221">
        <f t="shared" si="16"/>
        <v>1504862</v>
      </c>
      <c r="F235" s="221">
        <f t="shared" si="16"/>
        <v>1532384</v>
      </c>
      <c r="G235" s="221">
        <f t="shared" si="16"/>
        <v>1304755</v>
      </c>
      <c r="H235" s="221">
        <f t="shared" si="16"/>
        <v>1349465</v>
      </c>
      <c r="I235" s="221">
        <f t="shared" si="16"/>
        <v>1283775</v>
      </c>
      <c r="J235" s="221">
        <f t="shared" si="16"/>
        <v>1308221</v>
      </c>
      <c r="K235" s="221">
        <f t="shared" si="16"/>
        <v>1354495</v>
      </c>
      <c r="L235" s="221">
        <f t="shared" si="16"/>
        <v>1342872</v>
      </c>
      <c r="M235" s="221">
        <f t="shared" si="16"/>
        <v>1425086</v>
      </c>
      <c r="N235" s="221">
        <f t="shared" si="16"/>
        <v>1319629</v>
      </c>
      <c r="O235" s="221">
        <v>1350473</v>
      </c>
      <c r="P235" s="221">
        <v>1336768</v>
      </c>
    </row>
    <row r="236" spans="2:16" ht="15.5" thickBot="1">
      <c r="B236" s="222" t="s">
        <v>79</v>
      </c>
      <c r="C236" s="223">
        <f t="shared" ref="C236:N236" si="17">+C219+C235</f>
        <v>1397250</v>
      </c>
      <c r="D236" s="223">
        <f t="shared" si="17"/>
        <v>1388889</v>
      </c>
      <c r="E236" s="223">
        <f t="shared" si="17"/>
        <v>1367395</v>
      </c>
      <c r="F236" s="223">
        <f t="shared" si="17"/>
        <v>1361686</v>
      </c>
      <c r="G236" s="223">
        <f t="shared" si="17"/>
        <v>1396890</v>
      </c>
      <c r="H236" s="223">
        <f t="shared" si="17"/>
        <v>1436935</v>
      </c>
      <c r="I236" s="223">
        <f t="shared" si="17"/>
        <v>1432526</v>
      </c>
      <c r="J236" s="223">
        <f t="shared" si="17"/>
        <v>1378188</v>
      </c>
      <c r="K236" s="223">
        <f t="shared" si="17"/>
        <v>1443655</v>
      </c>
      <c r="L236" s="223">
        <f t="shared" si="17"/>
        <v>1452298</v>
      </c>
      <c r="M236" s="223">
        <f t="shared" si="17"/>
        <v>1519466</v>
      </c>
      <c r="N236" s="223">
        <f t="shared" si="17"/>
        <v>1442945</v>
      </c>
      <c r="O236" s="223">
        <v>1480949</v>
      </c>
      <c r="P236" s="223">
        <v>1456659</v>
      </c>
    </row>
    <row r="237" spans="2:16" ht="15.5" thickBot="1">
      <c r="B237" s="224"/>
      <c r="C237" s="225"/>
      <c r="D237" s="225"/>
      <c r="E237" s="225"/>
      <c r="F237" s="225"/>
      <c r="G237" s="225"/>
      <c r="H237" s="225"/>
      <c r="I237" s="225"/>
      <c r="J237" s="225"/>
      <c r="K237" s="225"/>
      <c r="L237" s="225"/>
      <c r="M237" s="225"/>
      <c r="N237" s="225"/>
      <c r="O237" s="225"/>
      <c r="P237" s="225"/>
    </row>
    <row r="238" spans="2:16" ht="15.5" thickBot="1">
      <c r="B238" s="214" t="s">
        <v>80</v>
      </c>
      <c r="C238" s="226"/>
      <c r="D238" s="226"/>
      <c r="E238" s="226"/>
      <c r="F238" s="226"/>
      <c r="G238" s="226"/>
      <c r="H238" s="226"/>
      <c r="I238" s="226"/>
      <c r="J238" s="226"/>
      <c r="K238" s="226"/>
      <c r="L238" s="226"/>
      <c r="M238" s="226"/>
      <c r="N238" s="226"/>
      <c r="O238" s="226"/>
      <c r="P238" s="226"/>
    </row>
    <row r="239" spans="2:16" ht="15.5" thickBot="1">
      <c r="B239" s="216" t="s">
        <v>81</v>
      </c>
      <c r="C239" s="227"/>
      <c r="D239" s="227"/>
      <c r="E239" s="227"/>
      <c r="F239" s="227"/>
      <c r="G239" s="227"/>
      <c r="H239" s="227"/>
      <c r="I239" s="227"/>
      <c r="J239" s="227"/>
      <c r="K239" s="227"/>
      <c r="L239" s="227"/>
      <c r="M239" s="227"/>
      <c r="N239" s="227"/>
      <c r="O239" s="227"/>
      <c r="P239" s="227"/>
    </row>
    <row r="240" spans="2:16" ht="16" thickBot="1">
      <c r="B240" s="218" t="s">
        <v>82</v>
      </c>
      <c r="C240" s="206">
        <f>3192+32107+241</f>
        <v>35540</v>
      </c>
      <c r="D240" s="206">
        <f>3326+16174+247</f>
        <v>19747</v>
      </c>
      <c r="E240" s="206">
        <v>32331</v>
      </c>
      <c r="F240" s="206">
        <v>45412</v>
      </c>
      <c r="G240" s="206">
        <v>67809</v>
      </c>
      <c r="H240" s="206">
        <f>3124+68966+61</f>
        <v>72151</v>
      </c>
      <c r="I240" s="206">
        <v>4273</v>
      </c>
      <c r="J240" s="206">
        <v>4409</v>
      </c>
      <c r="K240" s="206">
        <v>10704</v>
      </c>
      <c r="L240" s="206">
        <f>3211+1500+607</f>
        <v>5318</v>
      </c>
      <c r="M240" s="206">
        <v>4502</v>
      </c>
      <c r="N240" s="206">
        <v>4095</v>
      </c>
      <c r="O240" s="206">
        <v>3568</v>
      </c>
      <c r="P240" s="206">
        <v>83349</v>
      </c>
    </row>
    <row r="241" spans="2:16" ht="16" thickBot="1">
      <c r="B241" s="218" t="s">
        <v>83</v>
      </c>
      <c r="C241" s="206">
        <v>21909</v>
      </c>
      <c r="D241" s="206">
        <v>13740</v>
      </c>
      <c r="E241" s="206">
        <v>76147</v>
      </c>
      <c r="F241" s="206">
        <v>35426</v>
      </c>
      <c r="G241" s="206">
        <v>19747</v>
      </c>
      <c r="H241" s="206">
        <v>29019</v>
      </c>
      <c r="I241" s="206">
        <v>123689</v>
      </c>
      <c r="J241" s="206">
        <v>34403</v>
      </c>
      <c r="K241" s="206">
        <v>20460</v>
      </c>
      <c r="L241" s="206">
        <v>17462</v>
      </c>
      <c r="M241" s="206">
        <v>136328</v>
      </c>
      <c r="N241" s="206">
        <v>46998</v>
      </c>
      <c r="O241" s="206">
        <v>21094</v>
      </c>
      <c r="P241" s="206">
        <v>18522</v>
      </c>
    </row>
    <row r="242" spans="2:16" ht="16" thickBot="1">
      <c r="B242" s="218" t="s">
        <v>130</v>
      </c>
      <c r="C242" s="206">
        <v>0</v>
      </c>
      <c r="D242" s="206">
        <v>915</v>
      </c>
      <c r="E242" s="206"/>
      <c r="F242" s="206"/>
      <c r="G242" s="206"/>
      <c r="H242" s="206">
        <v>1158</v>
      </c>
      <c r="I242" s="206"/>
      <c r="J242" s="206"/>
      <c r="K242" s="206"/>
      <c r="L242" s="206">
        <v>893</v>
      </c>
      <c r="M242" s="206"/>
      <c r="N242" s="206"/>
      <c r="O242" s="206"/>
      <c r="P242" s="206"/>
    </row>
    <row r="243" spans="2:16" ht="16" thickBot="1">
      <c r="B243" s="218" t="s">
        <v>85</v>
      </c>
      <c r="C243" s="206">
        <v>15675</v>
      </c>
      <c r="D243" s="206">
        <v>15904</v>
      </c>
      <c r="E243" s="206">
        <v>15554</v>
      </c>
      <c r="F243" s="206">
        <v>15575</v>
      </c>
      <c r="G243" s="206">
        <v>16199</v>
      </c>
      <c r="H243" s="206">
        <v>15646</v>
      </c>
      <c r="I243" s="206">
        <v>15518</v>
      </c>
      <c r="J243" s="206">
        <v>15388</v>
      </c>
      <c r="K243" s="206">
        <v>16122</v>
      </c>
      <c r="L243" s="206">
        <v>15932</v>
      </c>
      <c r="M243" s="206">
        <v>15810</v>
      </c>
      <c r="N243" s="206">
        <v>15713</v>
      </c>
      <c r="O243" s="206">
        <v>16774</v>
      </c>
      <c r="P243" s="206">
        <v>16244</v>
      </c>
    </row>
    <row r="244" spans="2:16" ht="16" thickBot="1">
      <c r="B244" s="218" t="s">
        <v>60</v>
      </c>
      <c r="C244" s="206">
        <v>16894</v>
      </c>
      <c r="D244" s="206">
        <v>21544</v>
      </c>
      <c r="E244" s="206">
        <v>29275</v>
      </c>
      <c r="F244" s="206">
        <v>24037</v>
      </c>
      <c r="G244" s="206">
        <v>34650</v>
      </c>
      <c r="H244" s="206">
        <v>22000</v>
      </c>
      <c r="I244" s="206">
        <v>28396</v>
      </c>
      <c r="J244" s="206">
        <v>23836</v>
      </c>
      <c r="K244" s="206">
        <v>34338</v>
      </c>
      <c r="L244" s="206">
        <v>18324</v>
      </c>
      <c r="M244" s="206">
        <v>26322</v>
      </c>
      <c r="N244" s="206">
        <v>24365</v>
      </c>
      <c r="O244" s="206">
        <v>35394</v>
      </c>
      <c r="P244" s="206">
        <v>17628</v>
      </c>
    </row>
    <row r="245" spans="2:16" ht="16" thickBot="1">
      <c r="B245" s="218" t="s">
        <v>86</v>
      </c>
      <c r="C245" s="206">
        <v>0</v>
      </c>
      <c r="D245" s="206">
        <v>0</v>
      </c>
      <c r="E245" s="206">
        <v>0</v>
      </c>
      <c r="F245" s="206">
        <v>0</v>
      </c>
      <c r="G245" s="206">
        <v>0</v>
      </c>
      <c r="H245" s="206">
        <v>0</v>
      </c>
      <c r="I245" s="206">
        <v>0</v>
      </c>
      <c r="J245" s="206">
        <v>0</v>
      </c>
      <c r="K245" s="206">
        <v>24</v>
      </c>
      <c r="L245" s="206">
        <v>0</v>
      </c>
      <c r="M245" s="206">
        <v>24</v>
      </c>
      <c r="N245" s="206">
        <v>24</v>
      </c>
      <c r="O245" s="206">
        <v>24</v>
      </c>
      <c r="P245" s="206">
        <v>8714</v>
      </c>
    </row>
    <row r="246" spans="2:16" ht="16" thickBot="1">
      <c r="B246" s="218" t="s">
        <v>87</v>
      </c>
      <c r="C246" s="206">
        <v>0</v>
      </c>
      <c r="D246" s="206">
        <v>0</v>
      </c>
      <c r="E246" s="206">
        <v>49</v>
      </c>
      <c r="F246" s="206">
        <v>49</v>
      </c>
      <c r="G246" s="206">
        <v>47</v>
      </c>
      <c r="H246" s="206">
        <v>0</v>
      </c>
      <c r="I246" s="206">
        <v>45</v>
      </c>
      <c r="J246" s="206">
        <v>45</v>
      </c>
      <c r="K246" s="206">
        <v>45</v>
      </c>
      <c r="L246" s="206">
        <v>0</v>
      </c>
      <c r="M246" s="206">
        <v>46</v>
      </c>
      <c r="N246" s="206">
        <v>2</v>
      </c>
      <c r="O246" s="206">
        <v>2</v>
      </c>
      <c r="P246" s="206">
        <v>2</v>
      </c>
    </row>
    <row r="247" spans="2:16" ht="16" thickBot="1">
      <c r="B247" s="218" t="s">
        <v>116</v>
      </c>
      <c r="C247" s="199">
        <v>0</v>
      </c>
      <c r="D247" s="199">
        <v>0</v>
      </c>
      <c r="E247" s="199">
        <v>0</v>
      </c>
      <c r="F247" s="199">
        <v>0</v>
      </c>
      <c r="G247" s="199">
        <v>0</v>
      </c>
      <c r="H247" s="199">
        <v>0</v>
      </c>
      <c r="I247" s="199">
        <v>0</v>
      </c>
      <c r="J247" s="199">
        <v>0</v>
      </c>
      <c r="K247" s="199">
        <v>0</v>
      </c>
      <c r="L247" s="199">
        <v>0</v>
      </c>
      <c r="M247" s="199">
        <v>0</v>
      </c>
      <c r="N247" s="199">
        <v>0</v>
      </c>
      <c r="O247" s="199">
        <v>0</v>
      </c>
      <c r="P247" s="199"/>
    </row>
    <row r="248" spans="2:16" ht="15.5" thickBot="1">
      <c r="B248" s="216" t="s">
        <v>89</v>
      </c>
      <c r="C248" s="221">
        <f t="shared" ref="C248:N248" si="18">SUM(C240:C247)</f>
        <v>90018</v>
      </c>
      <c r="D248" s="221">
        <f t="shared" si="18"/>
        <v>71850</v>
      </c>
      <c r="E248" s="221">
        <f t="shared" si="18"/>
        <v>153356</v>
      </c>
      <c r="F248" s="221">
        <f t="shared" si="18"/>
        <v>120499</v>
      </c>
      <c r="G248" s="221">
        <f t="shared" si="18"/>
        <v>138452</v>
      </c>
      <c r="H248" s="221">
        <f t="shared" si="18"/>
        <v>139974</v>
      </c>
      <c r="I248" s="221">
        <f t="shared" si="18"/>
        <v>171921</v>
      </c>
      <c r="J248" s="221">
        <f t="shared" si="18"/>
        <v>78081</v>
      </c>
      <c r="K248" s="221">
        <f t="shared" si="18"/>
        <v>81693</v>
      </c>
      <c r="L248" s="221">
        <f t="shared" si="18"/>
        <v>57929</v>
      </c>
      <c r="M248" s="221">
        <f t="shared" si="18"/>
        <v>183032</v>
      </c>
      <c r="N248" s="221">
        <f t="shared" si="18"/>
        <v>91197</v>
      </c>
      <c r="O248" s="221">
        <v>76856</v>
      </c>
      <c r="P248" s="221">
        <v>144459</v>
      </c>
    </row>
    <row r="249" spans="2:16" ht="15.5" thickBot="1">
      <c r="B249" s="228" t="s">
        <v>90</v>
      </c>
      <c r="C249" s="229"/>
      <c r="D249" s="229"/>
      <c r="E249" s="229"/>
      <c r="F249" s="229"/>
      <c r="G249" s="229"/>
      <c r="H249" s="229"/>
      <c r="I249" s="229"/>
      <c r="J249" s="229"/>
      <c r="K249" s="229"/>
      <c r="L249" s="229"/>
      <c r="M249" s="229"/>
      <c r="N249" s="229"/>
      <c r="O249" s="229"/>
      <c r="P249" s="229"/>
    </row>
    <row r="250" spans="2:16" ht="16" thickBot="1">
      <c r="B250" s="218" t="s">
        <v>82</v>
      </c>
      <c r="C250" s="206">
        <f>180000+174250+1</f>
        <v>354251</v>
      </c>
      <c r="D250" s="206">
        <f>180000+159250</f>
        <v>339250</v>
      </c>
      <c r="E250" s="206">
        <v>322250</v>
      </c>
      <c r="F250" s="206">
        <v>305250</v>
      </c>
      <c r="G250" s="206">
        <v>288250</v>
      </c>
      <c r="H250" s="206">
        <f>180000+91250</f>
        <v>271250</v>
      </c>
      <c r="I250" s="206">
        <v>338050</v>
      </c>
      <c r="J250" s="206">
        <v>338050</v>
      </c>
      <c r="K250" s="206">
        <v>338050</v>
      </c>
      <c r="L250" s="206">
        <f>180000+158050</f>
        <v>338050</v>
      </c>
      <c r="M250" s="206">
        <v>338050</v>
      </c>
      <c r="N250" s="206">
        <v>338050</v>
      </c>
      <c r="O250" s="206">
        <v>338050</v>
      </c>
      <c r="P250" s="206">
        <v>258050</v>
      </c>
    </row>
    <row r="251" spans="2:16" ht="16" thickBot="1">
      <c r="B251" s="218" t="s">
        <v>83</v>
      </c>
      <c r="C251" s="206">
        <v>12196</v>
      </c>
      <c r="D251" s="206">
        <v>12120</v>
      </c>
      <c r="E251" s="206">
        <v>12408</v>
      </c>
      <c r="F251" s="206">
        <v>12397</v>
      </c>
      <c r="G251" s="206">
        <v>12333</v>
      </c>
      <c r="H251" s="206">
        <v>12260</v>
      </c>
      <c r="I251" s="206">
        <v>14127</v>
      </c>
      <c r="J251" s="206">
        <v>14159</v>
      </c>
      <c r="K251" s="206">
        <v>14989</v>
      </c>
      <c r="L251" s="206">
        <v>14150</v>
      </c>
      <c r="M251" s="206">
        <v>13976</v>
      </c>
      <c r="N251" s="206">
        <v>14015</v>
      </c>
      <c r="O251" s="206">
        <v>14257</v>
      </c>
      <c r="P251" s="206">
        <v>14073</v>
      </c>
    </row>
    <row r="252" spans="2:16" ht="16" thickBot="1">
      <c r="B252" s="218" t="s">
        <v>91</v>
      </c>
      <c r="C252" s="206">
        <v>0</v>
      </c>
      <c r="D252" s="206">
        <v>0</v>
      </c>
      <c r="E252" s="206">
        <v>0</v>
      </c>
      <c r="F252" s="206">
        <v>0</v>
      </c>
      <c r="G252" s="206">
        <v>0</v>
      </c>
      <c r="H252" s="206">
        <v>0</v>
      </c>
      <c r="I252" s="206">
        <v>0</v>
      </c>
      <c r="J252" s="206">
        <v>0</v>
      </c>
      <c r="K252" s="206">
        <v>0</v>
      </c>
      <c r="L252" s="206">
        <v>0</v>
      </c>
      <c r="M252" s="206">
        <v>0</v>
      </c>
      <c r="N252" s="206">
        <v>0</v>
      </c>
      <c r="O252" s="206">
        <v>0</v>
      </c>
      <c r="P252" s="206"/>
    </row>
    <row r="253" spans="2:16" ht="16" thickBot="1">
      <c r="B253" s="218" t="s">
        <v>85</v>
      </c>
      <c r="C253" s="206">
        <v>147734</v>
      </c>
      <c r="D253" s="206">
        <v>158229</v>
      </c>
      <c r="E253" s="206">
        <v>160161</v>
      </c>
      <c r="F253" s="206">
        <v>161147</v>
      </c>
      <c r="G253" s="206">
        <v>162872</v>
      </c>
      <c r="H253" s="206">
        <v>157153</v>
      </c>
      <c r="I253" s="206">
        <v>158917</v>
      </c>
      <c r="J253" s="206">
        <v>160321</v>
      </c>
      <c r="K253" s="206">
        <v>162128</v>
      </c>
      <c r="L253" s="206">
        <v>162337</v>
      </c>
      <c r="M253" s="206">
        <v>164224</v>
      </c>
      <c r="N253" s="206">
        <v>165858</v>
      </c>
      <c r="O253" s="206">
        <v>168320</v>
      </c>
      <c r="P253" s="206">
        <v>168734</v>
      </c>
    </row>
    <row r="254" spans="2:16" ht="16" thickBot="1">
      <c r="B254" s="218" t="s">
        <v>86</v>
      </c>
      <c r="C254" s="206">
        <v>0</v>
      </c>
      <c r="D254" s="206">
        <v>0</v>
      </c>
      <c r="E254" s="206">
        <v>0</v>
      </c>
      <c r="F254" s="206">
        <v>0</v>
      </c>
      <c r="G254" s="206">
        <v>0</v>
      </c>
      <c r="H254" s="206">
        <v>0</v>
      </c>
      <c r="I254" s="206">
        <v>0</v>
      </c>
      <c r="J254" s="206">
        <v>0</v>
      </c>
      <c r="K254" s="206">
        <v>0</v>
      </c>
      <c r="L254" s="206">
        <v>0</v>
      </c>
      <c r="M254" s="206">
        <v>0</v>
      </c>
      <c r="N254" s="206">
        <v>0</v>
      </c>
      <c r="O254" s="206">
        <v>0</v>
      </c>
      <c r="P254" s="206"/>
    </row>
    <row r="255" spans="2:16" ht="16" thickBot="1">
      <c r="B255" s="218" t="s">
        <v>87</v>
      </c>
      <c r="C255" s="206">
        <v>5611</v>
      </c>
      <c r="D255" s="206">
        <v>5224</v>
      </c>
      <c r="E255" s="206">
        <v>5127</v>
      </c>
      <c r="F255" s="206">
        <v>5030</v>
      </c>
      <c r="G255" s="206">
        <f>4933-3</f>
        <v>4930</v>
      </c>
      <c r="H255" s="206">
        <v>4836</v>
      </c>
      <c r="I255" s="206">
        <v>4739</v>
      </c>
      <c r="J255" s="206">
        <f>4643-3</f>
        <v>4640</v>
      </c>
      <c r="K255" s="206">
        <f>4546-2</f>
        <v>4544</v>
      </c>
      <c r="L255" s="206">
        <f>4449-1</f>
        <v>4448</v>
      </c>
      <c r="M255" s="206">
        <v>4352</v>
      </c>
      <c r="N255" s="206">
        <v>4255</v>
      </c>
      <c r="O255" s="206">
        <v>6280</v>
      </c>
      <c r="P255" s="206">
        <v>6160</v>
      </c>
    </row>
    <row r="256" spans="2:16" ht="16" thickBot="1">
      <c r="B256" s="218" t="s">
        <v>117</v>
      </c>
      <c r="C256" s="206">
        <v>76835</v>
      </c>
      <c r="D256" s="206">
        <v>69535</v>
      </c>
      <c r="E256" s="206">
        <f>68306-2</f>
        <v>68304</v>
      </c>
      <c r="F256" s="206">
        <v>67062</v>
      </c>
      <c r="G256" s="206">
        <v>65392</v>
      </c>
      <c r="H256" s="206">
        <v>59169</v>
      </c>
      <c r="I256" s="206">
        <v>58152</v>
      </c>
      <c r="J256" s="206">
        <v>56908</v>
      </c>
      <c r="K256" s="206">
        <v>55380</v>
      </c>
      <c r="L256" s="206">
        <v>52257</v>
      </c>
      <c r="M256" s="206">
        <v>50120</v>
      </c>
      <c r="N256" s="206">
        <f>50116-2</f>
        <v>50114</v>
      </c>
      <c r="O256" s="206">
        <v>50310</v>
      </c>
      <c r="P256" s="206">
        <v>49074</v>
      </c>
    </row>
    <row r="257" spans="1:16" ht="15.5" thickBot="1">
      <c r="B257" s="216" t="s">
        <v>92</v>
      </c>
      <c r="C257" s="221">
        <f t="shared" ref="C257:N257" si="19">SUM(C250:C256)</f>
        <v>596627</v>
      </c>
      <c r="D257" s="221">
        <f t="shared" si="19"/>
        <v>584358</v>
      </c>
      <c r="E257" s="221">
        <f t="shared" si="19"/>
        <v>568250</v>
      </c>
      <c r="F257" s="221">
        <f t="shared" si="19"/>
        <v>550886</v>
      </c>
      <c r="G257" s="221">
        <f t="shared" si="19"/>
        <v>533777</v>
      </c>
      <c r="H257" s="221">
        <f t="shared" si="19"/>
        <v>504668</v>
      </c>
      <c r="I257" s="221">
        <f t="shared" si="19"/>
        <v>573985</v>
      </c>
      <c r="J257" s="221">
        <f t="shared" si="19"/>
        <v>574078</v>
      </c>
      <c r="K257" s="221">
        <f t="shared" si="19"/>
        <v>575091</v>
      </c>
      <c r="L257" s="221">
        <f t="shared" si="19"/>
        <v>571242</v>
      </c>
      <c r="M257" s="221">
        <f t="shared" si="19"/>
        <v>570722</v>
      </c>
      <c r="N257" s="221">
        <f t="shared" si="19"/>
        <v>572292</v>
      </c>
      <c r="O257" s="221">
        <v>577217</v>
      </c>
      <c r="P257" s="221">
        <v>496091</v>
      </c>
    </row>
    <row r="258" spans="1:16" ht="15.5" thickBot="1">
      <c r="B258" s="222" t="s">
        <v>93</v>
      </c>
      <c r="C258" s="223">
        <f t="shared" ref="C258:N258" si="20">+C248+C257</f>
        <v>686645</v>
      </c>
      <c r="D258" s="223">
        <f t="shared" si="20"/>
        <v>656208</v>
      </c>
      <c r="E258" s="223">
        <f t="shared" si="20"/>
        <v>721606</v>
      </c>
      <c r="F258" s="223">
        <f t="shared" si="20"/>
        <v>671385</v>
      </c>
      <c r="G258" s="223">
        <f t="shared" si="20"/>
        <v>672229</v>
      </c>
      <c r="H258" s="223">
        <f t="shared" si="20"/>
        <v>644642</v>
      </c>
      <c r="I258" s="223">
        <f t="shared" si="20"/>
        <v>745906</v>
      </c>
      <c r="J258" s="223">
        <f t="shared" si="20"/>
        <v>652159</v>
      </c>
      <c r="K258" s="223">
        <f t="shared" si="20"/>
        <v>656784</v>
      </c>
      <c r="L258" s="223">
        <f t="shared" si="20"/>
        <v>629171</v>
      </c>
      <c r="M258" s="223">
        <f t="shared" si="20"/>
        <v>753754</v>
      </c>
      <c r="N258" s="223">
        <f t="shared" si="20"/>
        <v>663489</v>
      </c>
      <c r="O258" s="223">
        <v>654073</v>
      </c>
      <c r="P258" s="223">
        <v>640550</v>
      </c>
    </row>
    <row r="259" spans="1:16" ht="15.5" thickBot="1">
      <c r="B259" s="224"/>
      <c r="C259" s="225"/>
      <c r="D259" s="225"/>
      <c r="E259" s="225"/>
      <c r="F259" s="225"/>
      <c r="G259" s="225"/>
      <c r="H259" s="225"/>
      <c r="I259" s="225"/>
      <c r="J259" s="225"/>
      <c r="K259" s="225"/>
      <c r="L259" s="225"/>
      <c r="M259" s="225"/>
      <c r="N259" s="225"/>
      <c r="O259" s="225"/>
      <c r="P259" s="225"/>
    </row>
    <row r="260" spans="1:16" ht="15.5" thickBot="1">
      <c r="B260" s="230" t="s">
        <v>94</v>
      </c>
      <c r="C260" s="229"/>
      <c r="D260" s="229"/>
      <c r="E260" s="229"/>
      <c r="F260" s="229"/>
      <c r="G260" s="229"/>
      <c r="H260" s="229"/>
      <c r="I260" s="229"/>
      <c r="J260" s="229"/>
      <c r="K260" s="229"/>
      <c r="L260" s="229"/>
      <c r="M260" s="229"/>
      <c r="N260" s="229"/>
      <c r="O260" s="229"/>
      <c r="P260" s="229"/>
    </row>
    <row r="261" spans="1:16" ht="16" thickBot="1">
      <c r="B261" s="218" t="s">
        <v>95</v>
      </c>
      <c r="C261" s="206">
        <v>180974</v>
      </c>
      <c r="D261" s="206">
        <v>180974</v>
      </c>
      <c r="E261" s="206">
        <v>180974</v>
      </c>
      <c r="F261" s="206">
        <v>180974</v>
      </c>
      <c r="G261" s="206">
        <v>180974</v>
      </c>
      <c r="H261" s="206">
        <v>180974</v>
      </c>
      <c r="I261" s="206">
        <v>180974</v>
      </c>
      <c r="J261" s="206">
        <v>180974</v>
      </c>
      <c r="K261" s="206">
        <v>180974</v>
      </c>
      <c r="L261" s="206">
        <v>180974</v>
      </c>
      <c r="M261" s="206">
        <v>180974</v>
      </c>
      <c r="N261" s="206">
        <v>180974</v>
      </c>
      <c r="O261" s="206">
        <v>180974</v>
      </c>
      <c r="P261" s="206">
        <v>180974</v>
      </c>
    </row>
    <row r="262" spans="1:16" ht="16" thickBot="1">
      <c r="B262" s="218" t="s">
        <v>96</v>
      </c>
      <c r="C262" s="206">
        <v>0</v>
      </c>
      <c r="D262" s="206">
        <v>0</v>
      </c>
      <c r="E262" s="206">
        <v>0</v>
      </c>
      <c r="F262" s="206">
        <v>0</v>
      </c>
      <c r="G262" s="206">
        <v>0</v>
      </c>
      <c r="H262" s="206">
        <v>0</v>
      </c>
      <c r="I262" s="206">
        <v>0</v>
      </c>
      <c r="J262" s="206">
        <v>0</v>
      </c>
      <c r="K262" s="206">
        <v>0</v>
      </c>
      <c r="L262" s="206">
        <v>0</v>
      </c>
      <c r="M262" s="206">
        <v>0</v>
      </c>
      <c r="N262" s="206">
        <v>0</v>
      </c>
      <c r="O262" s="206">
        <v>0</v>
      </c>
      <c r="P262" s="206"/>
    </row>
    <row r="263" spans="1:16" ht="16" thickBot="1">
      <c r="B263" s="218" t="s">
        <v>97</v>
      </c>
      <c r="C263" s="206">
        <v>77575</v>
      </c>
      <c r="D263" s="206">
        <v>87483</v>
      </c>
      <c r="E263" s="206">
        <v>96404</v>
      </c>
      <c r="F263" s="206">
        <v>96404</v>
      </c>
      <c r="G263" s="206">
        <v>96404</v>
      </c>
      <c r="H263" s="206">
        <v>96404</v>
      </c>
      <c r="I263" s="206">
        <v>96404</v>
      </c>
      <c r="J263" s="206">
        <v>96404</v>
      </c>
      <c r="K263" s="206">
        <v>96404</v>
      </c>
      <c r="L263" s="206">
        <v>96404</v>
      </c>
      <c r="M263" s="206">
        <v>96404</v>
      </c>
      <c r="N263" s="206">
        <v>96404</v>
      </c>
      <c r="O263" s="206">
        <v>96404</v>
      </c>
      <c r="P263" s="206">
        <v>96404</v>
      </c>
    </row>
    <row r="264" spans="1:16" ht="16" thickBot="1">
      <c r="B264" s="218" t="s">
        <v>98</v>
      </c>
      <c r="C264" s="206">
        <v>281371</v>
      </c>
      <c r="D264" s="206">
        <v>281371</v>
      </c>
      <c r="E264" s="206">
        <v>281371</v>
      </c>
      <c r="F264" s="206">
        <v>281371</v>
      </c>
      <c r="G264" s="206">
        <v>281371</v>
      </c>
      <c r="H264" s="206">
        <v>278777</v>
      </c>
      <c r="I264" s="206">
        <v>278777</v>
      </c>
      <c r="J264" s="206">
        <v>278777</v>
      </c>
      <c r="K264" s="206">
        <v>278777</v>
      </c>
      <c r="L264" s="206">
        <v>278777</v>
      </c>
      <c r="M264" s="206">
        <v>278777</v>
      </c>
      <c r="N264" s="206">
        <v>278777</v>
      </c>
      <c r="O264" s="206">
        <v>278777</v>
      </c>
      <c r="P264" s="206">
        <v>278777</v>
      </c>
    </row>
    <row r="265" spans="1:16" ht="16" thickBot="1">
      <c r="B265" s="218" t="s">
        <v>99</v>
      </c>
      <c r="C265" s="206">
        <v>88762</v>
      </c>
      <c r="D265" s="206">
        <v>107978</v>
      </c>
      <c r="E265" s="206">
        <v>31116</v>
      </c>
      <c r="F265" s="206">
        <v>64014</v>
      </c>
      <c r="G265" s="206">
        <v>95999</v>
      </c>
      <c r="H265" s="206">
        <v>135784</v>
      </c>
      <c r="I265" s="206">
        <v>39650</v>
      </c>
      <c r="J265" s="206">
        <v>78611</v>
      </c>
      <c r="K265" s="206">
        <v>118117</v>
      </c>
      <c r="L265" s="206">
        <v>170619</v>
      </c>
      <c r="M265" s="206">
        <v>40236</v>
      </c>
      <c r="N265" s="206">
        <v>80872</v>
      </c>
      <c r="O265" s="206">
        <v>119388</v>
      </c>
      <c r="P265" s="206">
        <v>146814</v>
      </c>
    </row>
    <row r="266" spans="1:16" ht="16" thickBot="1">
      <c r="B266" s="218" t="s">
        <v>100</v>
      </c>
      <c r="C266" s="206">
        <v>81923</v>
      </c>
      <c r="D266" s="206">
        <v>74875</v>
      </c>
      <c r="E266" s="206">
        <v>55924</v>
      </c>
      <c r="F266" s="206">
        <v>67538</v>
      </c>
      <c r="G266" s="206">
        <v>69913</v>
      </c>
      <c r="H266" s="206">
        <v>100354</v>
      </c>
      <c r="I266" s="206">
        <v>90815</v>
      </c>
      <c r="J266" s="206">
        <v>91263</v>
      </c>
      <c r="K266" s="206">
        <v>112599</v>
      </c>
      <c r="L266" s="206">
        <v>96353</v>
      </c>
      <c r="M266" s="206">
        <v>169321</v>
      </c>
      <c r="N266" s="206">
        <v>142429</v>
      </c>
      <c r="O266" s="206">
        <v>151333</v>
      </c>
      <c r="P266" s="206">
        <v>113140</v>
      </c>
    </row>
    <row r="267" spans="1:16" ht="15.5" thickBot="1">
      <c r="B267" s="216" t="s">
        <v>103</v>
      </c>
      <c r="C267" s="221">
        <f t="shared" ref="C267:N267" si="21">SUM(C261:C266)</f>
        <v>710605</v>
      </c>
      <c r="D267" s="221">
        <f t="shared" si="21"/>
        <v>732681</v>
      </c>
      <c r="E267" s="221">
        <f t="shared" si="21"/>
        <v>645789</v>
      </c>
      <c r="F267" s="221">
        <f t="shared" si="21"/>
        <v>690301</v>
      </c>
      <c r="G267" s="221">
        <f t="shared" si="21"/>
        <v>724661</v>
      </c>
      <c r="H267" s="221">
        <f t="shared" si="21"/>
        <v>792293</v>
      </c>
      <c r="I267" s="221">
        <f t="shared" si="21"/>
        <v>686620</v>
      </c>
      <c r="J267" s="221">
        <f t="shared" si="21"/>
        <v>726029</v>
      </c>
      <c r="K267" s="221">
        <f t="shared" si="21"/>
        <v>786871</v>
      </c>
      <c r="L267" s="221">
        <f t="shared" si="21"/>
        <v>823127</v>
      </c>
      <c r="M267" s="221">
        <f t="shared" si="21"/>
        <v>765712</v>
      </c>
      <c r="N267" s="221">
        <f t="shared" si="21"/>
        <v>779456</v>
      </c>
      <c r="O267" s="221">
        <v>826876</v>
      </c>
      <c r="P267" s="221">
        <v>816109</v>
      </c>
    </row>
    <row r="268" spans="1:16" ht="15.5" thickBot="1">
      <c r="A268" s="119" t="s">
        <v>105</v>
      </c>
      <c r="B268" s="231" t="s">
        <v>104</v>
      </c>
      <c r="C268" s="223">
        <f t="shared" ref="C268:N268" si="22">+C258+C267</f>
        <v>1397250</v>
      </c>
      <c r="D268" s="223">
        <f t="shared" si="22"/>
        <v>1388889</v>
      </c>
      <c r="E268" s="223">
        <f t="shared" si="22"/>
        <v>1367395</v>
      </c>
      <c r="F268" s="223">
        <f t="shared" si="22"/>
        <v>1361686</v>
      </c>
      <c r="G268" s="223">
        <f t="shared" si="22"/>
        <v>1396890</v>
      </c>
      <c r="H268" s="223">
        <f t="shared" si="22"/>
        <v>1436935</v>
      </c>
      <c r="I268" s="223">
        <f t="shared" si="22"/>
        <v>1432526</v>
      </c>
      <c r="J268" s="223">
        <f t="shared" si="22"/>
        <v>1378188</v>
      </c>
      <c r="K268" s="223">
        <f t="shared" si="22"/>
        <v>1443655</v>
      </c>
      <c r="L268" s="223">
        <f t="shared" si="22"/>
        <v>1452298</v>
      </c>
      <c r="M268" s="223">
        <f t="shared" si="22"/>
        <v>1519466</v>
      </c>
      <c r="N268" s="223">
        <f t="shared" si="22"/>
        <v>1442945</v>
      </c>
      <c r="O268" s="223">
        <v>1480949</v>
      </c>
      <c r="P268" s="223">
        <v>1456659</v>
      </c>
    </row>
    <row r="269" spans="1:16" ht="15.5">
      <c r="B269" s="167"/>
      <c r="C269" s="211">
        <f>+C236-C258-C267</f>
        <v>0</v>
      </c>
      <c r="D269" s="211">
        <f t="shared" ref="D269:N269" si="23">+D236-D258-D267</f>
        <v>0</v>
      </c>
      <c r="E269" s="211">
        <f t="shared" si="23"/>
        <v>0</v>
      </c>
      <c r="F269" s="211">
        <f t="shared" si="23"/>
        <v>0</v>
      </c>
      <c r="G269" s="211">
        <f t="shared" si="23"/>
        <v>0</v>
      </c>
      <c r="H269" s="211">
        <f t="shared" si="23"/>
        <v>0</v>
      </c>
      <c r="I269" s="211">
        <f t="shared" si="23"/>
        <v>0</v>
      </c>
      <c r="J269" s="211">
        <f t="shared" si="23"/>
        <v>0</v>
      </c>
      <c r="K269" s="211">
        <f t="shared" si="23"/>
        <v>0</v>
      </c>
      <c r="L269" s="211">
        <f t="shared" si="23"/>
        <v>0</v>
      </c>
      <c r="M269" s="211">
        <f t="shared" si="23"/>
        <v>0</v>
      </c>
      <c r="N269" s="211">
        <f t="shared" si="23"/>
        <v>0</v>
      </c>
      <c r="O269" s="167"/>
    </row>
    <row r="270" spans="1:16" ht="15.5">
      <c r="B270" s="167"/>
      <c r="C270" s="205">
        <f>+C205-C265</f>
        <v>0</v>
      </c>
      <c r="D270" s="205">
        <f>+D205-D265</f>
        <v>0</v>
      </c>
      <c r="E270" s="205">
        <f>+E205-E265</f>
        <v>0</v>
      </c>
      <c r="F270" s="205">
        <f>+F205+E205-F265</f>
        <v>0</v>
      </c>
      <c r="G270" s="205">
        <f>+G205+F205+E205-G265</f>
        <v>0</v>
      </c>
      <c r="H270" s="205">
        <f>+H205+G205+F205+E205-H265</f>
        <v>0</v>
      </c>
      <c r="I270" s="205">
        <f>+I205-I265</f>
        <v>0</v>
      </c>
      <c r="J270" s="205">
        <f>+J205+I205-J265</f>
        <v>0</v>
      </c>
      <c r="K270" s="205">
        <f>+K205+J205+I205-K265</f>
        <v>0</v>
      </c>
      <c r="L270" s="205">
        <f>+L205+K205+J205+I205-L265</f>
        <v>0</v>
      </c>
      <c r="M270" s="205">
        <f>+M205-M265</f>
        <v>0</v>
      </c>
      <c r="N270" s="205">
        <f>+N205+M205-N265</f>
        <v>0</v>
      </c>
      <c r="O270" s="205"/>
      <c r="P270" s="98"/>
    </row>
  </sheetData>
  <hyperlinks>
    <hyperlink ref="A1" location="Contenido!A1" display="Volver al Contenido" xr:uid="{5FE28908-7A9C-430C-B313-87BF26660E81}"/>
  </hyperlink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dimension ref="A1:AA251"/>
  <sheetViews>
    <sheetView showGridLines="0" zoomScaleNormal="100" workbookViewId="0">
      <pane xSplit="2" ySplit="7" topLeftCell="O252" activePane="bottomRight" state="frozen"/>
      <selection pane="topRight" activeCell="C1" sqref="C1"/>
      <selection pane="bottomLeft" activeCell="A8" sqref="A8"/>
      <selection pane="bottomRight" activeCell="P260" sqref="P260"/>
    </sheetView>
  </sheetViews>
  <sheetFormatPr baseColWidth="10" defaultColWidth="11.453125" defaultRowHeight="14.5"/>
  <cols>
    <col min="1" max="1" width="5.453125" customWidth="1"/>
    <col min="2" max="2" width="66.90625" customWidth="1"/>
    <col min="3" max="3" width="19" hidden="1" customWidth="1"/>
    <col min="4" max="4" width="17.54296875" hidden="1" customWidth="1"/>
    <col min="5" max="6" width="15.1796875" hidden="1" customWidth="1"/>
    <col min="7" max="7" width="17.54296875" hidden="1" customWidth="1"/>
    <col min="8" max="8" width="17.1796875" hidden="1" customWidth="1"/>
    <col min="9" max="9" width="15.1796875" hidden="1" customWidth="1"/>
    <col min="10" max="10" width="17.1796875" hidden="1" customWidth="1"/>
    <col min="11" max="11" width="16" hidden="1" customWidth="1"/>
    <col min="12" max="12" width="17.81640625" hidden="1" customWidth="1"/>
    <col min="13" max="13" width="16" hidden="1" customWidth="1"/>
    <col min="14" max="14" width="18.1796875" hidden="1" customWidth="1"/>
    <col min="15" max="15" width="18.81640625" customWidth="1"/>
    <col min="16" max="16" width="18.1796875" style="101" customWidth="1"/>
    <col min="17" max="27" width="11.453125" style="101"/>
  </cols>
  <sheetData>
    <row r="1" spans="1:27">
      <c r="A1" s="2" t="s">
        <v>17</v>
      </c>
      <c r="B1" s="106"/>
      <c r="C1" s="106"/>
      <c r="D1" s="106"/>
      <c r="E1" s="106"/>
      <c r="F1" s="106"/>
      <c r="G1" s="106"/>
      <c r="H1" s="106"/>
      <c r="I1" s="106"/>
      <c r="J1" s="106"/>
      <c r="K1" s="106"/>
      <c r="L1" s="106"/>
      <c r="M1" s="106"/>
      <c r="N1" s="106"/>
      <c r="O1" s="106"/>
    </row>
    <row r="3" spans="1:27" ht="15">
      <c r="A3" s="106"/>
      <c r="B3" s="12" t="s">
        <v>131</v>
      </c>
      <c r="C3" s="106"/>
      <c r="D3" s="106"/>
      <c r="E3" s="106"/>
      <c r="F3" s="106"/>
      <c r="G3" s="106"/>
      <c r="H3" s="106"/>
      <c r="I3" s="106"/>
      <c r="J3" s="106"/>
      <c r="K3" s="106"/>
      <c r="L3" s="106"/>
      <c r="M3" s="106"/>
      <c r="N3" s="106"/>
      <c r="O3" s="106"/>
      <c r="P3" s="140"/>
      <c r="Q3" s="140"/>
      <c r="R3" s="140"/>
      <c r="S3" s="140"/>
      <c r="T3" s="140"/>
      <c r="U3" s="140"/>
      <c r="V3" s="140"/>
      <c r="W3" s="140"/>
      <c r="X3" s="140"/>
      <c r="Y3" s="140"/>
      <c r="Z3" s="140"/>
    </row>
    <row r="4" spans="1:27" ht="15">
      <c r="A4" s="106"/>
      <c r="B4" s="14" t="s">
        <v>132</v>
      </c>
      <c r="C4" s="106"/>
      <c r="D4" s="106"/>
      <c r="E4" s="106"/>
      <c r="F4" s="106"/>
      <c r="G4" s="106"/>
      <c r="H4" s="106"/>
      <c r="I4" s="106"/>
      <c r="J4" s="106"/>
      <c r="K4" s="106"/>
      <c r="L4" s="106"/>
      <c r="M4" s="106"/>
      <c r="N4" s="106"/>
      <c r="O4" s="106"/>
    </row>
    <row r="5" spans="1:27" s="106" customFormat="1">
      <c r="P5" s="101"/>
      <c r="Q5" s="101"/>
      <c r="R5" s="101"/>
      <c r="S5" s="101"/>
      <c r="T5" s="101"/>
      <c r="U5" s="101"/>
      <c r="V5" s="101"/>
      <c r="W5" s="101"/>
      <c r="X5" s="101"/>
      <c r="Y5" s="101"/>
      <c r="Z5" s="101"/>
      <c r="AA5" s="101"/>
    </row>
    <row r="6" spans="1:27" s="106" customFormat="1">
      <c r="B6" s="641"/>
      <c r="C6" s="535" t="s">
        <v>133</v>
      </c>
      <c r="D6" s="535"/>
      <c r="E6" s="535"/>
      <c r="F6" s="535"/>
      <c r="G6" s="535"/>
      <c r="H6" s="535"/>
      <c r="I6" s="535"/>
      <c r="J6" s="535"/>
      <c r="K6" s="535"/>
      <c r="L6" s="535"/>
      <c r="M6" s="535"/>
      <c r="N6" s="535"/>
      <c r="O6" s="535"/>
      <c r="P6" s="535"/>
      <c r="Q6" s="101"/>
      <c r="R6" s="101"/>
      <c r="S6" s="101"/>
      <c r="T6" s="101"/>
      <c r="U6" s="101"/>
      <c r="V6" s="101"/>
      <c r="W6" s="101"/>
      <c r="X6" s="101"/>
      <c r="Y6" s="101"/>
      <c r="Z6" s="101"/>
      <c r="AA6" s="101"/>
    </row>
    <row r="7" spans="1:27" s="106" customFormat="1">
      <c r="B7" s="641"/>
      <c r="C7" s="478">
        <v>2016</v>
      </c>
      <c r="D7" s="120">
        <v>2017</v>
      </c>
      <c r="E7" s="120" t="s">
        <v>134</v>
      </c>
      <c r="F7" s="120" t="s">
        <v>135</v>
      </c>
      <c r="G7" s="120" t="s">
        <v>136</v>
      </c>
      <c r="H7" s="120" t="s">
        <v>137</v>
      </c>
      <c r="I7" s="120" t="s">
        <v>138</v>
      </c>
      <c r="J7" s="120" t="s">
        <v>139</v>
      </c>
      <c r="K7" s="120" t="s">
        <v>140</v>
      </c>
      <c r="L7" s="120" t="s">
        <v>141</v>
      </c>
      <c r="M7" s="120" t="s">
        <v>142</v>
      </c>
      <c r="N7" s="120" t="s">
        <v>143</v>
      </c>
      <c r="O7" s="120" t="s">
        <v>144</v>
      </c>
      <c r="P7" s="120" t="s">
        <v>955</v>
      </c>
      <c r="Q7" s="101"/>
      <c r="R7" s="101"/>
      <c r="S7" s="101"/>
      <c r="T7" s="101"/>
      <c r="U7" s="101"/>
      <c r="V7" s="101"/>
      <c r="W7" s="101"/>
      <c r="X7" s="101"/>
      <c r="Y7" s="101"/>
      <c r="Z7" s="101"/>
      <c r="AA7" s="101"/>
    </row>
    <row r="8" spans="1:27" s="106" customFormat="1">
      <c r="B8" s="104" t="s">
        <v>145</v>
      </c>
      <c r="C8" s="121">
        <v>8774335.9359499998</v>
      </c>
      <c r="D8" s="121">
        <v>3050501.9190743743</v>
      </c>
      <c r="E8" s="121">
        <v>627253</v>
      </c>
      <c r="F8" s="121">
        <v>665797</v>
      </c>
      <c r="G8" s="121">
        <v>1290219</v>
      </c>
      <c r="H8" s="121">
        <v>1108302</v>
      </c>
      <c r="I8" s="121">
        <v>846080</v>
      </c>
      <c r="J8" s="121">
        <v>1094524</v>
      </c>
      <c r="K8" s="121">
        <f>SUM(K9:K13)</f>
        <v>855963</v>
      </c>
      <c r="L8" s="604">
        <f>SUM(L9:L13)</f>
        <v>1018898</v>
      </c>
      <c r="M8" s="121">
        <v>917154</v>
      </c>
      <c r="N8" s="121">
        <v>1723910</v>
      </c>
      <c r="O8" s="121">
        <f>SUM(O9:O13)</f>
        <v>1204440</v>
      </c>
      <c r="P8" s="601">
        <f t="shared" ref="P8" si="0">SUM(P9:P13)</f>
        <v>382214</v>
      </c>
      <c r="Q8" s="101"/>
      <c r="R8" s="101"/>
      <c r="S8" s="101"/>
      <c r="T8" s="101"/>
      <c r="U8" s="101"/>
      <c r="V8" s="101"/>
      <c r="W8" s="101"/>
      <c r="X8" s="101"/>
      <c r="Y8" s="101"/>
      <c r="Z8" s="101"/>
      <c r="AA8" s="101"/>
    </row>
    <row r="9" spans="1:27" s="106" customFormat="1">
      <c r="B9" s="104" t="s">
        <v>146</v>
      </c>
      <c r="C9" s="121">
        <v>171901.93595000001</v>
      </c>
      <c r="D9" s="121">
        <v>247126</v>
      </c>
      <c r="E9" s="121">
        <v>80136</v>
      </c>
      <c r="F9" s="121">
        <v>113491</v>
      </c>
      <c r="G9" s="121">
        <v>80464</v>
      </c>
      <c r="H9" s="121">
        <v>113024</v>
      </c>
      <c r="I9" s="121">
        <v>72374</v>
      </c>
      <c r="J9" s="121">
        <v>145664</v>
      </c>
      <c r="K9" s="121">
        <v>178632</v>
      </c>
      <c r="L9" s="604">
        <v>411855</v>
      </c>
      <c r="M9" s="121">
        <v>146642</v>
      </c>
      <c r="N9" s="121">
        <v>198081</v>
      </c>
      <c r="O9" s="121">
        <v>207091</v>
      </c>
      <c r="P9" s="601">
        <v>583719</v>
      </c>
      <c r="Q9" s="101"/>
      <c r="R9" s="101"/>
      <c r="S9" s="101"/>
      <c r="T9" s="101"/>
      <c r="U9" s="101"/>
      <c r="V9" s="101"/>
      <c r="W9" s="101"/>
      <c r="X9" s="101"/>
      <c r="Y9" s="101"/>
      <c r="Z9" s="101"/>
      <c r="AA9" s="101"/>
    </row>
    <row r="10" spans="1:27" s="106" customFormat="1">
      <c r="B10" s="104" t="s">
        <v>147</v>
      </c>
      <c r="C10" s="121">
        <v>835786</v>
      </c>
      <c r="D10" s="121">
        <v>880901</v>
      </c>
      <c r="E10" s="121">
        <v>235019</v>
      </c>
      <c r="F10" s="121">
        <v>242854</v>
      </c>
      <c r="G10" s="121">
        <v>276953</v>
      </c>
      <c r="H10" s="121">
        <v>287708</v>
      </c>
      <c r="I10" s="121">
        <v>282515</v>
      </c>
      <c r="J10" s="121">
        <v>277434</v>
      </c>
      <c r="K10" s="121">
        <v>250903</v>
      </c>
      <c r="L10" s="604">
        <v>297668</v>
      </c>
      <c r="M10" s="121">
        <v>297169</v>
      </c>
      <c r="N10" s="121">
        <v>170126</v>
      </c>
      <c r="O10" s="121">
        <v>271689</v>
      </c>
      <c r="P10" s="601">
        <v>332142</v>
      </c>
      <c r="Q10" s="101"/>
      <c r="R10" s="101"/>
      <c r="S10" s="101"/>
      <c r="T10" s="101"/>
      <c r="U10" s="101"/>
      <c r="V10" s="101"/>
      <c r="W10" s="101"/>
      <c r="X10" s="101"/>
      <c r="Y10" s="101"/>
      <c r="Z10" s="101"/>
      <c r="AA10" s="101"/>
    </row>
    <row r="11" spans="1:27" s="106" customFormat="1">
      <c r="B11" s="107" t="s">
        <v>983</v>
      </c>
      <c r="C11" s="636"/>
      <c r="D11" s="636"/>
      <c r="E11" s="636"/>
      <c r="F11" s="636"/>
      <c r="G11" s="636"/>
      <c r="H11" s="636"/>
      <c r="I11" s="636"/>
      <c r="J11" s="636"/>
      <c r="K11" s="636"/>
      <c r="L11" s="637">
        <v>464490</v>
      </c>
      <c r="M11" s="636"/>
      <c r="N11" s="636"/>
      <c r="O11" s="636"/>
      <c r="P11" s="638">
        <v>152998</v>
      </c>
      <c r="Q11" s="101"/>
      <c r="R11" s="101"/>
      <c r="S11" s="101"/>
      <c r="T11" s="101"/>
      <c r="U11" s="101"/>
      <c r="V11" s="101"/>
      <c r="W11" s="101"/>
      <c r="X11" s="101"/>
      <c r="Y11" s="101"/>
      <c r="Z11" s="101"/>
      <c r="AA11" s="101"/>
    </row>
    <row r="12" spans="1:27" s="106" customFormat="1">
      <c r="B12" s="107" t="s">
        <v>148</v>
      </c>
      <c r="C12" s="636">
        <v>7743248</v>
      </c>
      <c r="D12" s="636">
        <v>1896406</v>
      </c>
      <c r="E12" s="636">
        <v>305366</v>
      </c>
      <c r="F12" s="636">
        <v>302657</v>
      </c>
      <c r="G12" s="636">
        <v>926265</v>
      </c>
      <c r="H12" s="636">
        <v>700729</v>
      </c>
      <c r="I12" s="636">
        <v>484169</v>
      </c>
      <c r="J12" s="636">
        <v>664271</v>
      </c>
      <c r="K12" s="636">
        <v>416548</v>
      </c>
      <c r="L12" s="636">
        <v>-162906</v>
      </c>
      <c r="M12" s="636">
        <v>465643</v>
      </c>
      <c r="N12" s="636">
        <v>1348221</v>
      </c>
      <c r="O12" s="636">
        <v>713957</v>
      </c>
      <c r="P12" s="636">
        <v>-694981</v>
      </c>
      <c r="Q12" s="101"/>
      <c r="R12" s="101"/>
      <c r="S12" s="101"/>
      <c r="T12" s="101"/>
      <c r="U12" s="101"/>
      <c r="V12" s="101"/>
      <c r="W12" s="101"/>
      <c r="X12" s="101"/>
      <c r="Y12" s="101"/>
      <c r="Z12" s="101"/>
      <c r="AA12" s="101"/>
    </row>
    <row r="13" spans="1:27" s="106" customFormat="1">
      <c r="B13" s="104" t="s">
        <v>149</v>
      </c>
      <c r="C13" s="121">
        <v>23400</v>
      </c>
      <c r="D13" s="121">
        <v>26068</v>
      </c>
      <c r="E13" s="121">
        <v>6732</v>
      </c>
      <c r="F13" s="121">
        <v>6795</v>
      </c>
      <c r="G13" s="121">
        <v>6537</v>
      </c>
      <c r="H13" s="121">
        <v>6841</v>
      </c>
      <c r="I13" s="121">
        <v>7022</v>
      </c>
      <c r="J13" s="121">
        <v>7155</v>
      </c>
      <c r="K13" s="121">
        <v>9880</v>
      </c>
      <c r="L13" s="604">
        <v>7791</v>
      </c>
      <c r="M13" s="121">
        <v>7700</v>
      </c>
      <c r="N13" s="121">
        <v>7482</v>
      </c>
      <c r="O13" s="121">
        <v>11703</v>
      </c>
      <c r="P13" s="601">
        <v>8336</v>
      </c>
      <c r="Q13" s="101"/>
      <c r="R13" s="101"/>
      <c r="S13" s="101"/>
      <c r="T13" s="101"/>
      <c r="U13" s="101"/>
      <c r="V13" s="101"/>
      <c r="W13" s="101"/>
      <c r="X13" s="101"/>
      <c r="Y13" s="101"/>
      <c r="Z13" s="101"/>
      <c r="AA13" s="101"/>
    </row>
    <row r="14" spans="1:27" s="106" customFormat="1">
      <c r="B14" s="479" t="s">
        <v>150</v>
      </c>
      <c r="C14" s="121">
        <v>-988720</v>
      </c>
      <c r="D14" s="121">
        <v>-349308</v>
      </c>
      <c r="E14" s="121">
        <v>-80646</v>
      </c>
      <c r="F14" s="121">
        <v>-85196</v>
      </c>
      <c r="G14" s="121">
        <v>-154868</v>
      </c>
      <c r="H14" s="121">
        <v>-136874</v>
      </c>
      <c r="I14" s="121">
        <v>-113784</v>
      </c>
      <c r="J14" s="121">
        <v>-134732</v>
      </c>
      <c r="K14" s="121">
        <v>-119137</v>
      </c>
      <c r="L14" s="121">
        <v>-115950</v>
      </c>
      <c r="M14" s="121">
        <v>-111651</v>
      </c>
      <c r="N14" s="121">
        <v>-205839</v>
      </c>
      <c r="O14" s="121">
        <v>-132865</v>
      </c>
      <c r="P14" s="121">
        <v>-80936</v>
      </c>
      <c r="Q14" s="101"/>
      <c r="R14" s="101"/>
      <c r="S14" s="101"/>
      <c r="T14" s="101"/>
      <c r="U14" s="101"/>
      <c r="V14" s="101"/>
      <c r="W14" s="101"/>
      <c r="X14" s="101"/>
      <c r="Y14" s="101"/>
      <c r="Z14" s="101"/>
      <c r="AA14" s="101"/>
    </row>
    <row r="15" spans="1:27" s="106" customFormat="1">
      <c r="B15" s="480" t="s">
        <v>151</v>
      </c>
      <c r="C15" s="139">
        <f>SUM(C9:C14)</f>
        <v>7785615.9359499998</v>
      </c>
      <c r="D15" s="139">
        <f t="shared" ref="D15:O15" si="1">SUM(D9:D14)</f>
        <v>2701193</v>
      </c>
      <c r="E15" s="139">
        <f t="shared" si="1"/>
        <v>546607</v>
      </c>
      <c r="F15" s="139">
        <f t="shared" si="1"/>
        <v>580601</v>
      </c>
      <c r="G15" s="139">
        <f t="shared" si="1"/>
        <v>1135351</v>
      </c>
      <c r="H15" s="139">
        <f t="shared" si="1"/>
        <v>971428</v>
      </c>
      <c r="I15" s="139">
        <f t="shared" si="1"/>
        <v>732296</v>
      </c>
      <c r="J15" s="139">
        <f t="shared" si="1"/>
        <v>959792</v>
      </c>
      <c r="K15" s="139">
        <f t="shared" si="1"/>
        <v>736826</v>
      </c>
      <c r="L15" s="139">
        <f>SUM(L9:L14)</f>
        <v>902948</v>
      </c>
      <c r="M15" s="139">
        <f t="shared" si="1"/>
        <v>805503</v>
      </c>
      <c r="N15" s="139">
        <f t="shared" si="1"/>
        <v>1518071</v>
      </c>
      <c r="O15" s="139">
        <f t="shared" si="1"/>
        <v>1071575</v>
      </c>
      <c r="P15" s="602">
        <f t="shared" ref="P15" si="2">SUM(P9:P14)</f>
        <v>301278</v>
      </c>
      <c r="Q15" s="101"/>
      <c r="R15" s="101"/>
      <c r="S15" s="101"/>
      <c r="T15" s="101"/>
      <c r="U15" s="101"/>
      <c r="V15" s="101"/>
      <c r="W15" s="101"/>
      <c r="X15" s="101"/>
      <c r="Y15" s="101"/>
      <c r="Z15" s="101"/>
      <c r="AA15" s="101"/>
    </row>
    <row r="16" spans="1:27" s="106" customFormat="1">
      <c r="B16" s="479" t="s">
        <v>152</v>
      </c>
      <c r="C16" s="121">
        <f>SUM(C17:C21)</f>
        <v>-448802</v>
      </c>
      <c r="D16" s="121">
        <f t="shared" ref="D16:O16" si="3">SUM(D17:D21)</f>
        <v>-723671.99031999998</v>
      </c>
      <c r="E16" s="121">
        <f t="shared" si="3"/>
        <v>-190804</v>
      </c>
      <c r="F16" s="121">
        <f t="shared" si="3"/>
        <v>-229809</v>
      </c>
      <c r="G16" s="121">
        <f t="shared" si="3"/>
        <v>-196145</v>
      </c>
      <c r="H16" s="121">
        <f t="shared" si="3"/>
        <v>-275125</v>
      </c>
      <c r="I16" s="121">
        <f t="shared" si="3"/>
        <v>-202375</v>
      </c>
      <c r="J16" s="121">
        <f t="shared" si="3"/>
        <v>-309539</v>
      </c>
      <c r="K16" s="121">
        <f t="shared" si="3"/>
        <v>-325485</v>
      </c>
      <c r="L16" s="121">
        <f>SUM(L17:L22)</f>
        <v>-336604</v>
      </c>
      <c r="M16" s="121">
        <f t="shared" si="3"/>
        <v>-268335</v>
      </c>
      <c r="N16" s="121">
        <f t="shared" si="3"/>
        <v>-321436</v>
      </c>
      <c r="O16" s="121">
        <f t="shared" si="3"/>
        <v>-375755</v>
      </c>
      <c r="P16" s="601">
        <f>SUM(P17:P22)</f>
        <v>1053645</v>
      </c>
      <c r="Q16" s="101"/>
      <c r="R16" s="101"/>
      <c r="S16" s="101"/>
      <c r="T16" s="101"/>
      <c r="U16" s="101"/>
      <c r="V16" s="101"/>
      <c r="W16" s="101"/>
      <c r="X16" s="101"/>
      <c r="Y16" s="101"/>
      <c r="Z16" s="101"/>
      <c r="AA16" s="101"/>
    </row>
    <row r="17" spans="2:27" s="106" customFormat="1">
      <c r="B17" s="104" t="s">
        <v>153</v>
      </c>
      <c r="C17" s="121">
        <v>-295948</v>
      </c>
      <c r="D17" s="121">
        <v>-315320</v>
      </c>
      <c r="E17" s="121">
        <v>-81033</v>
      </c>
      <c r="F17" s="121">
        <v>-84181</v>
      </c>
      <c r="G17" s="121">
        <v>-82624</v>
      </c>
      <c r="H17" s="121">
        <v>-87689</v>
      </c>
      <c r="I17" s="121">
        <v>-86137</v>
      </c>
      <c r="J17" s="121">
        <v>-89075</v>
      </c>
      <c r="K17" s="121">
        <v>-90124</v>
      </c>
      <c r="L17" s="121">
        <v>-82017</v>
      </c>
      <c r="M17" s="121">
        <v>-77351</v>
      </c>
      <c r="N17" s="121">
        <v>-80005</v>
      </c>
      <c r="O17" s="121">
        <v>-82944</v>
      </c>
      <c r="P17" s="121">
        <v>-100926</v>
      </c>
      <c r="Q17" s="101"/>
      <c r="R17" s="101"/>
      <c r="S17" s="101"/>
      <c r="T17" s="101"/>
      <c r="U17" s="101"/>
      <c r="V17" s="101"/>
      <c r="W17" s="101"/>
      <c r="X17" s="101"/>
      <c r="Y17" s="101"/>
      <c r="Z17" s="101"/>
      <c r="AA17" s="101"/>
    </row>
    <row r="18" spans="2:27" s="106" customFormat="1">
      <c r="B18" s="104" t="s">
        <v>154</v>
      </c>
      <c r="C18" s="121">
        <v>-86643</v>
      </c>
      <c r="D18" s="121">
        <v>-186476</v>
      </c>
      <c r="E18" s="121">
        <v>-60873</v>
      </c>
      <c r="F18" s="121">
        <v>-79603</v>
      </c>
      <c r="G18" s="121">
        <v>-40385</v>
      </c>
      <c r="H18" s="121">
        <v>-69667</v>
      </c>
      <c r="I18" s="121">
        <v>-47151</v>
      </c>
      <c r="J18" s="121">
        <v>-94527</v>
      </c>
      <c r="K18" s="121">
        <v>-119044</v>
      </c>
      <c r="L18" s="121">
        <v>-127574</v>
      </c>
      <c r="M18" s="121">
        <v>-103860</v>
      </c>
      <c r="N18" s="121">
        <v>-146909</v>
      </c>
      <c r="O18" s="121">
        <v>-100144</v>
      </c>
      <c r="P18" s="121">
        <v>-104994</v>
      </c>
      <c r="Q18" s="101"/>
      <c r="R18" s="101"/>
      <c r="S18" s="101"/>
      <c r="T18" s="101"/>
      <c r="U18" s="101"/>
      <c r="V18" s="101"/>
      <c r="W18" s="101"/>
      <c r="X18" s="101"/>
      <c r="Y18" s="101"/>
      <c r="Z18" s="101"/>
      <c r="AA18" s="101"/>
    </row>
    <row r="19" spans="2:27" s="106" customFormat="1">
      <c r="B19" s="104" t="s">
        <v>155</v>
      </c>
      <c r="C19" s="121"/>
      <c r="D19" s="121">
        <v>-173818.99032000001</v>
      </c>
      <c r="E19" s="121">
        <v>-37990</v>
      </c>
      <c r="F19" s="121">
        <v>-53464</v>
      </c>
      <c r="G19" s="121">
        <v>-59688</v>
      </c>
      <c r="H19" s="121">
        <v>-90811</v>
      </c>
      <c r="I19" s="121">
        <v>-48025</v>
      </c>
      <c r="J19" s="121">
        <v>-93523</v>
      </c>
      <c r="K19" s="121">
        <v>-92669</v>
      </c>
      <c r="L19" s="121">
        <v>-82129</v>
      </c>
      <c r="M19" s="121">
        <v>-63413</v>
      </c>
      <c r="N19" s="121">
        <v>-71989</v>
      </c>
      <c r="O19" s="121">
        <v>-121380</v>
      </c>
      <c r="P19" s="121">
        <v>-155094</v>
      </c>
      <c r="Q19" s="101"/>
      <c r="R19" s="101"/>
      <c r="S19" s="101"/>
      <c r="T19" s="101"/>
      <c r="U19" s="101"/>
      <c r="V19" s="101"/>
      <c r="W19" s="101"/>
      <c r="X19" s="101"/>
      <c r="Y19" s="101"/>
      <c r="Z19" s="101"/>
      <c r="AA19" s="101"/>
    </row>
    <row r="20" spans="2:27" s="106" customFormat="1">
      <c r="B20" s="104" t="s">
        <v>156</v>
      </c>
      <c r="C20" s="121" t="s">
        <v>157</v>
      </c>
      <c r="D20" s="121">
        <v>-9626</v>
      </c>
      <c r="E20" s="121"/>
      <c r="F20" s="121">
        <v>-2232</v>
      </c>
      <c r="G20" s="121">
        <v>-2261</v>
      </c>
      <c r="H20" s="121">
        <v>-2486</v>
      </c>
      <c r="I20" s="121">
        <v>-5242</v>
      </c>
      <c r="J20" s="121">
        <v>-5160</v>
      </c>
      <c r="K20" s="121">
        <v>-5014</v>
      </c>
      <c r="L20" s="121">
        <v>-4547</v>
      </c>
      <c r="M20" s="121">
        <v>-4468</v>
      </c>
      <c r="N20" s="121">
        <v>-4697</v>
      </c>
      <c r="O20" s="121">
        <v>-5121</v>
      </c>
      <c r="P20" s="121">
        <v>-5505</v>
      </c>
      <c r="Q20" s="101"/>
      <c r="R20" s="101"/>
      <c r="S20" s="101"/>
      <c r="T20" s="101"/>
      <c r="U20" s="101"/>
      <c r="V20" s="101"/>
      <c r="W20" s="101"/>
      <c r="X20" s="101"/>
      <c r="Y20" s="101"/>
      <c r="Z20" s="101"/>
      <c r="AA20" s="101"/>
    </row>
    <row r="21" spans="2:27" s="106" customFormat="1">
      <c r="B21" s="104" t="s">
        <v>149</v>
      </c>
      <c r="C21" s="121">
        <v>-66211</v>
      </c>
      <c r="D21" s="121">
        <v>-38431</v>
      </c>
      <c r="E21" s="121">
        <v>-10908</v>
      </c>
      <c r="F21" s="121">
        <v>-10329</v>
      </c>
      <c r="G21" s="121">
        <v>-11187</v>
      </c>
      <c r="H21" s="121">
        <v>-24472</v>
      </c>
      <c r="I21" s="121">
        <v>-15820</v>
      </c>
      <c r="J21" s="121">
        <v>-27254</v>
      </c>
      <c r="K21" s="121">
        <v>-18634</v>
      </c>
      <c r="L21" s="121">
        <v>-13630</v>
      </c>
      <c r="M21" s="121">
        <v>-19243</v>
      </c>
      <c r="N21" s="121">
        <v>-17836</v>
      </c>
      <c r="O21" s="121">
        <v>-66166</v>
      </c>
      <c r="P21" s="121">
        <v>-57458</v>
      </c>
      <c r="Q21" s="101"/>
      <c r="R21" s="101"/>
      <c r="S21" s="101"/>
      <c r="T21" s="101"/>
      <c r="U21" s="101"/>
      <c r="V21" s="101"/>
      <c r="W21" s="101"/>
      <c r="X21" s="101"/>
      <c r="Y21" s="101"/>
      <c r="Z21" s="101"/>
      <c r="AA21" s="101"/>
    </row>
    <row r="22" spans="2:27" s="106" customFormat="1">
      <c r="B22" s="104" t="s">
        <v>984</v>
      </c>
      <c r="C22" s="121"/>
      <c r="D22" s="121"/>
      <c r="E22" s="121"/>
      <c r="F22" s="121"/>
      <c r="G22" s="121"/>
      <c r="H22" s="121"/>
      <c r="I22" s="121"/>
      <c r="J22" s="121"/>
      <c r="K22" s="121"/>
      <c r="L22" s="121">
        <v>-26707</v>
      </c>
      <c r="M22" s="121"/>
      <c r="N22" s="121"/>
      <c r="O22" s="121"/>
      <c r="P22" s="601">
        <v>1477622</v>
      </c>
      <c r="Q22" s="101"/>
      <c r="R22" s="101"/>
      <c r="S22" s="101"/>
      <c r="T22" s="101"/>
      <c r="U22" s="101"/>
      <c r="V22" s="101"/>
      <c r="W22" s="101"/>
      <c r="X22" s="101"/>
      <c r="Y22" s="101"/>
      <c r="Z22" s="101"/>
      <c r="AA22" s="101"/>
    </row>
    <row r="23" spans="2:27" s="106" customFormat="1">
      <c r="B23" s="480" t="s">
        <v>158</v>
      </c>
      <c r="C23" s="139">
        <f>SUM(C15:C16)</f>
        <v>7336813.9359499998</v>
      </c>
      <c r="D23" s="139">
        <f>SUM(D15:D16)</f>
        <v>1977521.0096800001</v>
      </c>
      <c r="E23" s="139">
        <f t="shared" ref="E23:O23" si="4">SUM(E15:E16)</f>
        <v>355803</v>
      </c>
      <c r="F23" s="139">
        <f t="shared" si="4"/>
        <v>350792</v>
      </c>
      <c r="G23" s="139">
        <f t="shared" si="4"/>
        <v>939206</v>
      </c>
      <c r="H23" s="139">
        <f t="shared" si="4"/>
        <v>696303</v>
      </c>
      <c r="I23" s="139">
        <f t="shared" si="4"/>
        <v>529921</v>
      </c>
      <c r="J23" s="139">
        <f t="shared" si="4"/>
        <v>650253</v>
      </c>
      <c r="K23" s="139">
        <f t="shared" si="4"/>
        <v>411341</v>
      </c>
      <c r="L23" s="139">
        <f>SUM(L15:L16)</f>
        <v>566344</v>
      </c>
      <c r="M23" s="139">
        <f t="shared" si="4"/>
        <v>537168</v>
      </c>
      <c r="N23" s="139">
        <f t="shared" si="4"/>
        <v>1196635</v>
      </c>
      <c r="O23" s="139">
        <f t="shared" si="4"/>
        <v>695820</v>
      </c>
      <c r="P23" s="602">
        <f>SUM(P15:P16)</f>
        <v>1354923</v>
      </c>
      <c r="Q23" s="101"/>
      <c r="R23" s="101"/>
      <c r="S23" s="101"/>
      <c r="T23" s="101"/>
      <c r="U23" s="101"/>
      <c r="V23" s="101"/>
      <c r="W23" s="101"/>
      <c r="X23" s="101"/>
      <c r="Y23" s="101"/>
      <c r="Z23" s="101"/>
      <c r="AA23" s="101"/>
    </row>
    <row r="24" spans="2:27" s="106" customFormat="1">
      <c r="B24" s="479" t="s">
        <v>159</v>
      </c>
      <c r="C24" s="121">
        <f>SUM(C25:C29)</f>
        <v>-109929</v>
      </c>
      <c r="D24" s="121">
        <f t="shared" ref="D24:O24" si="5">SUM(D25:D29)</f>
        <v>-66216</v>
      </c>
      <c r="E24" s="121">
        <f t="shared" si="5"/>
        <v>-35293</v>
      </c>
      <c r="F24" s="121">
        <f t="shared" si="5"/>
        <v>-25692</v>
      </c>
      <c r="G24" s="121">
        <f t="shared" si="5"/>
        <v>-49331</v>
      </c>
      <c r="H24" s="121">
        <f t="shared" si="5"/>
        <v>-31898</v>
      </c>
      <c r="I24" s="121">
        <f t="shared" si="5"/>
        <v>-54876</v>
      </c>
      <c r="J24" s="121">
        <f t="shared" si="5"/>
        <v>-49160</v>
      </c>
      <c r="K24" s="121">
        <f t="shared" si="5"/>
        <v>-34802</v>
      </c>
      <c r="L24" s="121">
        <f t="shared" si="5"/>
        <v>-46421</v>
      </c>
      <c r="M24" s="121">
        <f t="shared" si="5"/>
        <v>-49311</v>
      </c>
      <c r="N24" s="121">
        <f t="shared" si="5"/>
        <v>-27825</v>
      </c>
      <c r="O24" s="121">
        <f t="shared" si="5"/>
        <v>-54557</v>
      </c>
      <c r="P24" s="121">
        <f t="shared" ref="P24" si="6">SUM(P25:P29)</f>
        <v>-77482</v>
      </c>
      <c r="Q24" s="101"/>
      <c r="R24" s="101"/>
      <c r="S24" s="101"/>
      <c r="T24" s="101"/>
      <c r="U24" s="101"/>
      <c r="V24" s="101"/>
      <c r="W24" s="101"/>
      <c r="X24" s="101"/>
      <c r="Y24" s="101"/>
      <c r="Z24" s="101"/>
      <c r="AA24" s="101"/>
    </row>
    <row r="25" spans="2:27" s="106" customFormat="1">
      <c r="B25" s="104" t="s">
        <v>160</v>
      </c>
      <c r="C25" s="121">
        <v>68032</v>
      </c>
      <c r="D25" s="121">
        <v>43907</v>
      </c>
      <c r="E25" s="121">
        <v>10929</v>
      </c>
      <c r="F25" s="121">
        <v>18347</v>
      </c>
      <c r="G25" s="121">
        <v>19329</v>
      </c>
      <c r="H25" s="121">
        <v>25950</v>
      </c>
      <c r="I25" s="121">
        <v>14183</v>
      </c>
      <c r="J25" s="121">
        <v>18601</v>
      </c>
      <c r="K25" s="121">
        <v>19911</v>
      </c>
      <c r="L25" s="121">
        <v>13050</v>
      </c>
      <c r="M25" s="121">
        <v>21983</v>
      </c>
      <c r="N25" s="121">
        <v>10446</v>
      </c>
      <c r="O25" s="121">
        <v>8539</v>
      </c>
      <c r="P25" s="601">
        <v>8279</v>
      </c>
      <c r="Q25" s="101"/>
      <c r="R25" s="101"/>
      <c r="S25" s="101"/>
      <c r="T25" s="101"/>
      <c r="U25" s="101"/>
      <c r="V25" s="101"/>
      <c r="W25" s="101"/>
      <c r="X25" s="101"/>
      <c r="Y25" s="101"/>
      <c r="Z25" s="101"/>
      <c r="AA25" s="101"/>
    </row>
    <row r="26" spans="2:27" s="106" customFormat="1">
      <c r="B26" s="104" t="s">
        <v>161</v>
      </c>
      <c r="C26" s="121">
        <v>-33902</v>
      </c>
      <c r="D26" s="121">
        <v>-31989</v>
      </c>
      <c r="E26" s="121">
        <v>-11252</v>
      </c>
      <c r="F26" s="121">
        <v>-6447</v>
      </c>
      <c r="G26" s="121">
        <v>-17390</v>
      </c>
      <c r="H26" s="121">
        <v>-10500</v>
      </c>
      <c r="I26" s="121">
        <v>-15154</v>
      </c>
      <c r="J26" s="121">
        <v>-17631</v>
      </c>
      <c r="K26" s="121">
        <v>-6225</v>
      </c>
      <c r="L26" s="121">
        <v>-7350</v>
      </c>
      <c r="M26" s="121">
        <v>-26159</v>
      </c>
      <c r="N26" s="121">
        <v>9032</v>
      </c>
      <c r="O26" s="121">
        <v>-15182</v>
      </c>
      <c r="P26" s="121">
        <v>-42922</v>
      </c>
      <c r="Q26" s="101"/>
      <c r="R26" s="101"/>
      <c r="S26" s="101"/>
      <c r="T26" s="101"/>
      <c r="U26" s="101"/>
      <c r="V26" s="101"/>
      <c r="W26" s="101"/>
      <c r="X26" s="101"/>
      <c r="Y26" s="101"/>
      <c r="Z26" s="101"/>
      <c r="AA26" s="101"/>
    </row>
    <row r="27" spans="2:27" s="106" customFormat="1">
      <c r="B27" s="104" t="s">
        <v>162</v>
      </c>
      <c r="C27" s="121" t="s">
        <v>157</v>
      </c>
      <c r="D27" s="121">
        <v>-10483</v>
      </c>
      <c r="E27" s="121"/>
      <c r="F27" s="121">
        <v>-580</v>
      </c>
      <c r="G27" s="121">
        <v>-599</v>
      </c>
      <c r="H27" s="121">
        <v>-554</v>
      </c>
      <c r="I27" s="121">
        <v>-205</v>
      </c>
      <c r="J27" s="121">
        <v>-622</v>
      </c>
      <c r="K27" s="121">
        <v>-626</v>
      </c>
      <c r="L27" s="121">
        <v>-667</v>
      </c>
      <c r="M27" s="121">
        <v>-418</v>
      </c>
      <c r="N27" s="121">
        <v>-656</v>
      </c>
      <c r="O27" s="121">
        <v>-613</v>
      </c>
      <c r="P27" s="121">
        <v>-622</v>
      </c>
      <c r="Q27" s="101"/>
      <c r="R27" s="101"/>
      <c r="S27" s="101"/>
      <c r="T27" s="101"/>
      <c r="U27" s="101"/>
      <c r="V27" s="101"/>
      <c r="W27" s="101"/>
      <c r="X27" s="101"/>
      <c r="Y27" s="101"/>
      <c r="Z27" s="101"/>
      <c r="AA27" s="101"/>
    </row>
    <row r="28" spans="2:27" s="106" customFormat="1">
      <c r="B28" s="104" t="s">
        <v>163</v>
      </c>
      <c r="C28" s="121">
        <v>-143799</v>
      </c>
      <c r="D28" s="121">
        <v>-111504</v>
      </c>
      <c r="E28" s="121">
        <v>-32327</v>
      </c>
      <c r="F28" s="121">
        <v>-35052</v>
      </c>
      <c r="G28" s="121">
        <v>-40182</v>
      </c>
      <c r="H28" s="121">
        <v>-39491</v>
      </c>
      <c r="I28" s="121">
        <v>-36827</v>
      </c>
      <c r="J28" s="121">
        <v>-36411</v>
      </c>
      <c r="K28" s="121">
        <v>-37561</v>
      </c>
      <c r="L28" s="121">
        <v>-36423</v>
      </c>
      <c r="M28" s="121">
        <v>-37261</v>
      </c>
      <c r="N28" s="121">
        <v>-41114</v>
      </c>
      <c r="O28" s="121">
        <v>-46828</v>
      </c>
      <c r="P28" s="121">
        <v>-43062</v>
      </c>
      <c r="Q28" s="101"/>
      <c r="R28" s="101"/>
      <c r="S28" s="101"/>
      <c r="T28" s="101"/>
      <c r="U28" s="101"/>
      <c r="V28" s="101"/>
      <c r="W28" s="101"/>
      <c r="X28" s="101"/>
      <c r="Y28" s="101"/>
      <c r="Z28" s="101"/>
      <c r="AA28" s="101"/>
    </row>
    <row r="29" spans="2:27" s="106" customFormat="1">
      <c r="B29" s="479" t="s">
        <v>149</v>
      </c>
      <c r="C29" s="121">
        <v>-260</v>
      </c>
      <c r="D29" s="121">
        <v>43853</v>
      </c>
      <c r="E29" s="121">
        <v>-2643</v>
      </c>
      <c r="F29" s="121">
        <v>-1960</v>
      </c>
      <c r="G29" s="121">
        <v>-10489</v>
      </c>
      <c r="H29" s="121">
        <v>-7303</v>
      </c>
      <c r="I29" s="121">
        <v>-16873</v>
      </c>
      <c r="J29" s="121">
        <v>-13097</v>
      </c>
      <c r="K29" s="121">
        <v>-10301</v>
      </c>
      <c r="L29" s="121">
        <v>-15031</v>
      </c>
      <c r="M29" s="121">
        <v>-7456</v>
      </c>
      <c r="N29" s="121">
        <v>-5533</v>
      </c>
      <c r="O29" s="121">
        <v>-473</v>
      </c>
      <c r="P29" s="601">
        <v>845</v>
      </c>
      <c r="Q29" s="101"/>
      <c r="R29" s="101"/>
      <c r="S29" s="101"/>
      <c r="T29" s="101"/>
      <c r="U29" s="101"/>
      <c r="V29" s="101"/>
      <c r="W29" s="101"/>
      <c r="X29" s="101"/>
      <c r="Y29" s="101"/>
      <c r="Z29" s="101"/>
      <c r="AA29" s="101"/>
    </row>
    <row r="30" spans="2:27" s="106" customFormat="1">
      <c r="B30" s="480" t="s">
        <v>164</v>
      </c>
      <c r="C30" s="139">
        <f>SUM(C23:C24)</f>
        <v>7226884.9359499998</v>
      </c>
      <c r="D30" s="139">
        <f>SUM(D23:D24)</f>
        <v>1911305.0096800001</v>
      </c>
      <c r="E30" s="139">
        <f t="shared" ref="E30:O30" si="7">SUM(E23:E24)</f>
        <v>320510</v>
      </c>
      <c r="F30" s="139">
        <f t="shared" si="7"/>
        <v>325100</v>
      </c>
      <c r="G30" s="139">
        <f t="shared" si="7"/>
        <v>889875</v>
      </c>
      <c r="H30" s="139">
        <f t="shared" si="7"/>
        <v>664405</v>
      </c>
      <c r="I30" s="139">
        <f t="shared" si="7"/>
        <v>475045</v>
      </c>
      <c r="J30" s="139">
        <f t="shared" si="7"/>
        <v>601093</v>
      </c>
      <c r="K30" s="139">
        <f t="shared" si="7"/>
        <v>376539</v>
      </c>
      <c r="L30" s="139">
        <f t="shared" si="7"/>
        <v>519923</v>
      </c>
      <c r="M30" s="139">
        <f t="shared" si="7"/>
        <v>487857</v>
      </c>
      <c r="N30" s="139">
        <f t="shared" si="7"/>
        <v>1168810</v>
      </c>
      <c r="O30" s="139">
        <f t="shared" si="7"/>
        <v>641263</v>
      </c>
      <c r="P30" s="602">
        <f t="shared" ref="P30" si="8">SUM(P23:P24)</f>
        <v>1277441</v>
      </c>
      <c r="Q30" s="101"/>
      <c r="R30" s="101"/>
      <c r="S30" s="101"/>
      <c r="T30" s="101"/>
      <c r="U30" s="101"/>
      <c r="V30" s="101"/>
      <c r="W30" s="101"/>
      <c r="X30" s="101"/>
      <c r="Y30" s="101"/>
      <c r="Z30" s="101"/>
      <c r="AA30" s="101"/>
    </row>
    <row r="31" spans="2:27" s="106" customFormat="1">
      <c r="B31" s="104" t="s">
        <v>165</v>
      </c>
      <c r="C31" s="121">
        <v>267706.06404999999</v>
      </c>
      <c r="D31" s="121">
        <v>124806.38085220339</v>
      </c>
      <c r="E31" s="121">
        <v>20872</v>
      </c>
      <c r="F31" s="121">
        <v>26757</v>
      </c>
      <c r="G31" s="121">
        <v>95427</v>
      </c>
      <c r="H31" s="121">
        <v>63830</v>
      </c>
      <c r="I31" s="121">
        <v>34028</v>
      </c>
      <c r="J31" s="121">
        <v>47699</v>
      </c>
      <c r="K31" s="121">
        <v>47941</v>
      </c>
      <c r="L31" s="121">
        <v>50120</v>
      </c>
      <c r="M31" s="121">
        <v>62516</v>
      </c>
      <c r="N31" s="121">
        <v>-95475</v>
      </c>
      <c r="O31" s="121">
        <v>32657</v>
      </c>
      <c r="P31" s="601">
        <v>472827</v>
      </c>
      <c r="Q31" s="101"/>
      <c r="R31" s="101"/>
      <c r="S31" s="101"/>
      <c r="T31" s="101"/>
      <c r="U31" s="101"/>
      <c r="V31" s="101"/>
      <c r="W31" s="101"/>
      <c r="X31" s="101"/>
      <c r="Y31" s="101"/>
      <c r="Z31" s="101"/>
      <c r="AA31" s="101"/>
    </row>
    <row r="32" spans="2:27" s="106" customFormat="1">
      <c r="B32" s="104" t="s">
        <v>166</v>
      </c>
      <c r="C32" s="121">
        <v>-27939</v>
      </c>
      <c r="D32" s="121">
        <v>-55006</v>
      </c>
      <c r="E32" s="121">
        <v>4722</v>
      </c>
      <c r="F32" s="121">
        <v>-32</v>
      </c>
      <c r="G32" s="121">
        <v>-24446</v>
      </c>
      <c r="H32" s="121">
        <v>-14980</v>
      </c>
      <c r="I32" s="121">
        <v>191</v>
      </c>
      <c r="J32" s="121">
        <v>2569</v>
      </c>
      <c r="K32" s="121">
        <v>872</v>
      </c>
      <c r="L32" s="121">
        <v>-107</v>
      </c>
      <c r="M32" s="121">
        <v>4662</v>
      </c>
      <c r="N32" s="121">
        <v>146652</v>
      </c>
      <c r="O32" s="121">
        <v>-4511</v>
      </c>
      <c r="P32" s="601">
        <v>23368</v>
      </c>
      <c r="Q32" s="101"/>
      <c r="R32" s="101"/>
      <c r="S32" s="101"/>
      <c r="T32" s="101"/>
      <c r="U32" s="101"/>
      <c r="V32" s="101"/>
      <c r="W32" s="101"/>
      <c r="X32" s="101"/>
      <c r="Y32" s="101"/>
      <c r="Z32" s="101"/>
      <c r="AA32" s="101"/>
    </row>
    <row r="33" spans="2:27" s="106" customFormat="1">
      <c r="B33" s="480" t="s">
        <v>167</v>
      </c>
      <c r="C33" s="139">
        <f t="shared" ref="C33:O33" si="9">SUM(C30:C32)</f>
        <v>7466652</v>
      </c>
      <c r="D33" s="139">
        <f t="shared" si="9"/>
        <v>1981105.3905322035</v>
      </c>
      <c r="E33" s="139">
        <f t="shared" si="9"/>
        <v>346104</v>
      </c>
      <c r="F33" s="139">
        <f t="shared" si="9"/>
        <v>351825</v>
      </c>
      <c r="G33" s="139">
        <f t="shared" si="9"/>
        <v>960856</v>
      </c>
      <c r="H33" s="139">
        <f t="shared" si="9"/>
        <v>713255</v>
      </c>
      <c r="I33" s="139">
        <f t="shared" si="9"/>
        <v>509264</v>
      </c>
      <c r="J33" s="139">
        <f t="shared" si="9"/>
        <v>651361</v>
      </c>
      <c r="K33" s="139">
        <f t="shared" si="9"/>
        <v>425352</v>
      </c>
      <c r="L33" s="139">
        <f>SUM(L30:L32)</f>
        <v>569936</v>
      </c>
      <c r="M33" s="139">
        <f t="shared" si="9"/>
        <v>555035</v>
      </c>
      <c r="N33" s="139">
        <f t="shared" si="9"/>
        <v>1219987</v>
      </c>
      <c r="O33" s="139">
        <f t="shared" si="9"/>
        <v>669409</v>
      </c>
      <c r="P33" s="602">
        <f t="shared" ref="P33" si="10">SUM(P30:P32)</f>
        <v>1773636</v>
      </c>
      <c r="Q33" s="101"/>
      <c r="R33" s="101"/>
      <c r="S33" s="101"/>
      <c r="T33" s="101"/>
      <c r="U33" s="101"/>
      <c r="V33" s="101"/>
      <c r="W33" s="101"/>
      <c r="X33" s="101"/>
      <c r="Y33" s="101"/>
      <c r="Z33" s="101"/>
      <c r="AA33" s="101"/>
    </row>
    <row r="34" spans="2:27" s="106" customFormat="1">
      <c r="B34" s="479" t="s">
        <v>168</v>
      </c>
      <c r="C34" s="121">
        <f>SUM(C35:C36)</f>
        <v>-2333912</v>
      </c>
      <c r="D34" s="121">
        <f t="shared" ref="D34:O34" si="11">SUM(D35:D36)</f>
        <v>-595645</v>
      </c>
      <c r="E34" s="121">
        <f t="shared" si="11"/>
        <v>-105696</v>
      </c>
      <c r="F34" s="121">
        <f t="shared" si="11"/>
        <v>-103759</v>
      </c>
      <c r="G34" s="121">
        <f t="shared" si="11"/>
        <v>-234270</v>
      </c>
      <c r="H34" s="121">
        <f t="shared" si="11"/>
        <v>3714</v>
      </c>
      <c r="I34" s="121">
        <f t="shared" si="11"/>
        <v>-151873</v>
      </c>
      <c r="J34" s="121">
        <f t="shared" si="11"/>
        <v>-188680</v>
      </c>
      <c r="K34" s="121">
        <f t="shared" si="11"/>
        <v>14067</v>
      </c>
      <c r="L34" s="121">
        <f t="shared" si="11"/>
        <v>-49976</v>
      </c>
      <c r="M34" s="121">
        <f t="shared" si="11"/>
        <v>-147084</v>
      </c>
      <c r="N34" s="121">
        <f t="shared" si="11"/>
        <v>-339481</v>
      </c>
      <c r="O34" s="121">
        <f t="shared" si="11"/>
        <v>-173636</v>
      </c>
      <c r="P34" s="121">
        <f t="shared" ref="P34" si="12">SUM(P35:P36)</f>
        <v>-175216</v>
      </c>
      <c r="Q34" s="101"/>
      <c r="R34" s="101"/>
      <c r="S34" s="101"/>
      <c r="T34" s="101"/>
      <c r="U34" s="101"/>
      <c r="V34" s="101"/>
      <c r="W34" s="101"/>
      <c r="X34" s="101"/>
      <c r="Y34" s="101"/>
      <c r="Z34" s="101"/>
      <c r="AA34" s="101"/>
    </row>
    <row r="35" spans="2:27" s="106" customFormat="1">
      <c r="B35" s="104" t="s">
        <v>169</v>
      </c>
      <c r="C35" s="121">
        <v>-79301</v>
      </c>
      <c r="D35" s="121">
        <v>-354491</v>
      </c>
      <c r="E35" s="121">
        <v>-176614</v>
      </c>
      <c r="F35" s="121">
        <v>-167890</v>
      </c>
      <c r="G35" s="121">
        <v>-152616</v>
      </c>
      <c r="H35" s="121">
        <v>89697</v>
      </c>
      <c r="I35" s="121">
        <v>-114844</v>
      </c>
      <c r="J35" s="121">
        <v>-132273</v>
      </c>
      <c r="K35" s="121">
        <v>4830</v>
      </c>
      <c r="L35" s="121">
        <v>-34509</v>
      </c>
      <c r="M35" s="121">
        <v>-77594</v>
      </c>
      <c r="N35" s="121">
        <v>-69687</v>
      </c>
      <c r="O35" s="121">
        <v>-234607</v>
      </c>
      <c r="P35" s="121">
        <v>-34067</v>
      </c>
      <c r="Q35" s="101"/>
      <c r="R35" s="101"/>
      <c r="S35" s="101"/>
      <c r="T35" s="101"/>
      <c r="U35" s="101"/>
      <c r="V35" s="101"/>
      <c r="W35" s="101"/>
      <c r="X35" s="101"/>
      <c r="Y35" s="101"/>
      <c r="Z35" s="101"/>
      <c r="AA35" s="101"/>
    </row>
    <row r="36" spans="2:27" s="106" customFormat="1">
      <c r="B36" s="104" t="s">
        <v>170</v>
      </c>
      <c r="C36" s="121">
        <v>-2254611</v>
      </c>
      <c r="D36" s="121">
        <v>-241154</v>
      </c>
      <c r="E36" s="121">
        <v>70918</v>
      </c>
      <c r="F36" s="121">
        <v>64131</v>
      </c>
      <c r="G36" s="121">
        <v>-81654</v>
      </c>
      <c r="H36" s="121">
        <v>-85983</v>
      </c>
      <c r="I36" s="121">
        <v>-37029</v>
      </c>
      <c r="J36" s="121">
        <v>-56407</v>
      </c>
      <c r="K36" s="121">
        <v>9237</v>
      </c>
      <c r="L36" s="121">
        <v>-15467</v>
      </c>
      <c r="M36" s="121">
        <v>-69490</v>
      </c>
      <c r="N36" s="121">
        <v>-269794</v>
      </c>
      <c r="O36" s="121">
        <v>60971</v>
      </c>
      <c r="P36" s="121">
        <v>-141149</v>
      </c>
      <c r="Q36" s="101"/>
      <c r="R36" s="101"/>
      <c r="S36" s="101"/>
      <c r="T36" s="101"/>
      <c r="U36" s="101"/>
      <c r="V36" s="101"/>
      <c r="W36" s="101"/>
      <c r="X36" s="101"/>
      <c r="Y36" s="101"/>
      <c r="Z36" s="101"/>
      <c r="AA36" s="101"/>
    </row>
    <row r="37" spans="2:27" s="106" customFormat="1">
      <c r="B37" s="480" t="s">
        <v>171</v>
      </c>
      <c r="C37" s="139">
        <v>7404.8</v>
      </c>
      <c r="D37" s="139">
        <v>2059.5</v>
      </c>
      <c r="E37" s="139" t="s">
        <v>172</v>
      </c>
      <c r="F37" s="139" t="s">
        <v>173</v>
      </c>
      <c r="G37" s="139">
        <v>1013079</v>
      </c>
      <c r="H37" s="139">
        <v>748271</v>
      </c>
      <c r="I37" s="139">
        <v>570014</v>
      </c>
      <c r="J37" s="139">
        <v>706313</v>
      </c>
      <c r="K37" s="139">
        <v>465799</v>
      </c>
      <c r="L37" s="139">
        <v>621536</v>
      </c>
      <c r="M37" s="139">
        <v>609446</v>
      </c>
      <c r="N37" s="139">
        <v>1253141</v>
      </c>
      <c r="O37" s="629" t="s">
        <v>989</v>
      </c>
      <c r="P37" s="630" t="s">
        <v>990</v>
      </c>
      <c r="Q37" s="101"/>
      <c r="R37" s="101"/>
      <c r="S37" s="101"/>
      <c r="T37" s="101"/>
      <c r="U37" s="101"/>
      <c r="V37" s="101"/>
      <c r="W37" s="101"/>
      <c r="X37" s="101"/>
      <c r="Y37" s="101"/>
      <c r="Z37" s="101"/>
      <c r="AA37" s="101"/>
    </row>
    <row r="38" spans="2:27" s="106" customFormat="1">
      <c r="B38" s="480" t="s">
        <v>174</v>
      </c>
      <c r="C38" s="139">
        <f t="shared" ref="C38:O38" si="13">SUM(C33:C34)</f>
        <v>5132740</v>
      </c>
      <c r="D38" s="139">
        <f t="shared" si="13"/>
        <v>1385460.3905322035</v>
      </c>
      <c r="E38" s="139">
        <f t="shared" si="13"/>
        <v>240408</v>
      </c>
      <c r="F38" s="139">
        <f t="shared" si="13"/>
        <v>248066</v>
      </c>
      <c r="G38" s="139">
        <f t="shared" si="13"/>
        <v>726586</v>
      </c>
      <c r="H38" s="139">
        <f t="shared" si="13"/>
        <v>716969</v>
      </c>
      <c r="I38" s="139">
        <f t="shared" si="13"/>
        <v>357391</v>
      </c>
      <c r="J38" s="139">
        <f t="shared" si="13"/>
        <v>462681</v>
      </c>
      <c r="K38" s="139">
        <f t="shared" si="13"/>
        <v>439419</v>
      </c>
      <c r="L38" s="139">
        <f t="shared" si="13"/>
        <v>519960</v>
      </c>
      <c r="M38" s="139">
        <f t="shared" si="13"/>
        <v>407951</v>
      </c>
      <c r="N38" s="139">
        <f t="shared" si="13"/>
        <v>880506</v>
      </c>
      <c r="O38" s="139">
        <f t="shared" si="13"/>
        <v>495773</v>
      </c>
      <c r="P38" s="602">
        <f>SUM(P33:P34)</f>
        <v>1598420</v>
      </c>
      <c r="Q38" s="101"/>
      <c r="R38" s="101"/>
      <c r="S38" s="101"/>
      <c r="T38" s="101"/>
      <c r="U38" s="101"/>
      <c r="V38" s="101"/>
      <c r="W38" s="101"/>
      <c r="X38" s="101"/>
      <c r="Y38" s="101"/>
      <c r="Z38" s="101"/>
      <c r="AA38" s="101"/>
    </row>
    <row r="39" spans="2:27" s="106" customFormat="1">
      <c r="B39" s="104" t="s">
        <v>175</v>
      </c>
      <c r="C39" s="121">
        <v>-17022</v>
      </c>
      <c r="D39" s="121">
        <v>-19947.994313528317</v>
      </c>
      <c r="E39" s="121">
        <v>-3460</v>
      </c>
      <c r="F39" s="121">
        <v>-3285</v>
      </c>
      <c r="G39" s="121">
        <v>-3419</v>
      </c>
      <c r="H39" s="121">
        <v>-3413</v>
      </c>
      <c r="I39" s="121">
        <v>-3879</v>
      </c>
      <c r="J39" s="121">
        <v>-4367</v>
      </c>
      <c r="K39" s="121">
        <v>-4342</v>
      </c>
      <c r="L39" s="121">
        <v>-4232</v>
      </c>
      <c r="M39" s="121">
        <v>-15497</v>
      </c>
      <c r="N39" s="121">
        <v>-1667</v>
      </c>
      <c r="O39" s="121">
        <v>-2143</v>
      </c>
      <c r="P39" s="121">
        <v>-1840</v>
      </c>
      <c r="Q39" s="101"/>
      <c r="R39" s="101"/>
      <c r="S39" s="101"/>
      <c r="T39" s="101"/>
      <c r="U39" s="101"/>
      <c r="V39" s="101"/>
      <c r="W39" s="101"/>
      <c r="X39" s="101"/>
      <c r="Y39" s="101"/>
      <c r="Z39" s="101"/>
      <c r="AA39" s="101"/>
    </row>
    <row r="40" spans="2:27">
      <c r="B40" s="480" t="s">
        <v>176</v>
      </c>
      <c r="C40" s="139">
        <f>SUM(C38:C39)</f>
        <v>5115718</v>
      </c>
      <c r="D40" s="139">
        <f t="shared" ref="D40:O40" si="14">SUM(D38:D39)</f>
        <v>1365512.3962186752</v>
      </c>
      <c r="E40" s="139">
        <f t="shared" si="14"/>
        <v>236948</v>
      </c>
      <c r="F40" s="139">
        <f t="shared" si="14"/>
        <v>244781</v>
      </c>
      <c r="G40" s="139">
        <f t="shared" si="14"/>
        <v>723167</v>
      </c>
      <c r="H40" s="139">
        <f t="shared" si="14"/>
        <v>713556</v>
      </c>
      <c r="I40" s="139">
        <f t="shared" si="14"/>
        <v>353512</v>
      </c>
      <c r="J40" s="139">
        <f t="shared" si="14"/>
        <v>458314</v>
      </c>
      <c r="K40" s="139">
        <f t="shared" si="14"/>
        <v>435077</v>
      </c>
      <c r="L40" s="139">
        <f t="shared" si="14"/>
        <v>515728</v>
      </c>
      <c r="M40" s="139">
        <f t="shared" si="14"/>
        <v>392454</v>
      </c>
      <c r="N40" s="139">
        <f t="shared" si="14"/>
        <v>878839</v>
      </c>
      <c r="O40" s="139">
        <f t="shared" si="14"/>
        <v>493630</v>
      </c>
      <c r="P40" s="602">
        <f>SUM(P38:P39)</f>
        <v>1596580</v>
      </c>
    </row>
    <row r="41" spans="2:27">
      <c r="B41" s="479"/>
      <c r="C41" s="481"/>
      <c r="D41" s="481"/>
      <c r="E41" s="481"/>
      <c r="F41" s="481"/>
      <c r="G41" s="481"/>
      <c r="H41" s="481"/>
      <c r="I41" s="481"/>
      <c r="J41" s="481"/>
      <c r="K41" s="481"/>
      <c r="L41" s="481"/>
      <c r="M41" s="481"/>
      <c r="N41" s="481"/>
      <c r="O41" s="481"/>
      <c r="P41" s="603"/>
    </row>
    <row r="42" spans="2:27">
      <c r="B42" s="479"/>
      <c r="C42" s="481"/>
      <c r="D42" s="481"/>
      <c r="E42" s="481"/>
      <c r="F42" s="481"/>
      <c r="G42" s="481"/>
      <c r="H42" s="481"/>
      <c r="I42" s="481"/>
      <c r="J42" s="481"/>
      <c r="K42" s="481"/>
      <c r="L42" s="481"/>
      <c r="M42" s="481"/>
      <c r="N42" s="481"/>
      <c r="O42" s="481"/>
      <c r="P42" s="117"/>
    </row>
    <row r="43" spans="2:27">
      <c r="B43" s="106"/>
      <c r="C43" s="106"/>
      <c r="D43" s="106"/>
      <c r="E43" s="106"/>
      <c r="F43" s="106"/>
      <c r="G43" s="106"/>
      <c r="H43" s="106"/>
      <c r="I43" s="106"/>
      <c r="J43" s="106"/>
      <c r="K43" s="106"/>
      <c r="L43" s="106"/>
      <c r="M43" s="106"/>
      <c r="N43" s="106"/>
      <c r="O43" s="106"/>
    </row>
    <row r="44" spans="2:27" ht="15">
      <c r="B44" s="12" t="s">
        <v>177</v>
      </c>
      <c r="C44" s="106"/>
      <c r="D44" s="106"/>
      <c r="E44" s="106"/>
      <c r="F44" s="106"/>
      <c r="G44" s="106"/>
      <c r="H44" s="106"/>
      <c r="I44" s="106"/>
      <c r="J44" s="106"/>
      <c r="K44" s="106"/>
      <c r="L44" s="106"/>
      <c r="M44" s="106"/>
      <c r="N44" s="106"/>
      <c r="O44" s="106"/>
    </row>
    <row r="45" spans="2:27" ht="15">
      <c r="B45" s="14" t="s">
        <v>132</v>
      </c>
      <c r="C45" s="106"/>
      <c r="D45" s="106"/>
      <c r="E45" s="106"/>
      <c r="F45" s="106"/>
      <c r="G45" s="106"/>
      <c r="H45" s="106"/>
      <c r="I45" s="106"/>
      <c r="J45" s="106"/>
      <c r="K45" s="106"/>
      <c r="L45" s="106"/>
      <c r="M45" s="106"/>
      <c r="N45" s="106"/>
      <c r="O45" s="106"/>
    </row>
    <row r="46" spans="2:27" s="101" customFormat="1">
      <c r="B46" s="106"/>
      <c r="C46" s="106"/>
      <c r="D46" s="106"/>
      <c r="E46" s="106"/>
      <c r="F46" s="106"/>
      <c r="G46" s="106"/>
      <c r="H46" s="106"/>
      <c r="I46" s="106"/>
      <c r="J46" s="106"/>
      <c r="K46" s="106"/>
      <c r="L46" s="106"/>
      <c r="M46" s="106"/>
      <c r="N46" s="106"/>
      <c r="O46" s="106"/>
    </row>
    <row r="47" spans="2:27" s="106" customFormat="1">
      <c r="B47" s="639" t="s">
        <v>178</v>
      </c>
      <c r="C47" s="535" t="s">
        <v>133</v>
      </c>
      <c r="D47" s="535"/>
      <c r="E47" s="535"/>
      <c r="F47" s="535"/>
      <c r="G47" s="535"/>
      <c r="H47" s="535"/>
      <c r="I47" s="535"/>
      <c r="J47" s="535"/>
      <c r="K47" s="535"/>
      <c r="L47" s="535"/>
      <c r="M47" s="535"/>
      <c r="N47" s="535"/>
      <c r="O47" s="535"/>
      <c r="P47" s="535"/>
      <c r="Q47" s="101"/>
      <c r="R47" s="101"/>
      <c r="S47" s="101"/>
      <c r="T47" s="101"/>
      <c r="U47" s="101"/>
      <c r="V47" s="101"/>
      <c r="W47" s="101"/>
      <c r="X47" s="101"/>
      <c r="Y47" s="101"/>
      <c r="Z47" s="101"/>
      <c r="AA47" s="101"/>
    </row>
    <row r="48" spans="2:27" s="106" customFormat="1">
      <c r="B48" s="639"/>
      <c r="C48" s="120">
        <v>2016</v>
      </c>
      <c r="D48" s="120">
        <v>2017</v>
      </c>
      <c r="E48" s="120" t="s">
        <v>134</v>
      </c>
      <c r="F48" s="120" t="s">
        <v>135</v>
      </c>
      <c r="G48" s="120" t="s">
        <v>136</v>
      </c>
      <c r="H48" s="120" t="s">
        <v>137</v>
      </c>
      <c r="I48" s="120" t="s">
        <v>138</v>
      </c>
      <c r="J48" s="120" t="s">
        <v>139</v>
      </c>
      <c r="K48" s="120" t="s">
        <v>140</v>
      </c>
      <c r="L48" s="120" t="s">
        <v>141</v>
      </c>
      <c r="M48" s="120" t="s">
        <v>142</v>
      </c>
      <c r="N48" s="120" t="s">
        <v>143</v>
      </c>
      <c r="O48" s="120" t="s">
        <v>144</v>
      </c>
      <c r="P48" s="120" t="s">
        <v>955</v>
      </c>
      <c r="Q48" s="101"/>
      <c r="R48" s="101"/>
      <c r="S48" s="101"/>
      <c r="T48" s="101"/>
      <c r="U48" s="101"/>
      <c r="V48" s="101"/>
      <c r="W48" s="101"/>
      <c r="X48" s="101"/>
      <c r="Y48" s="101"/>
      <c r="Z48" s="101"/>
      <c r="AA48" s="101"/>
    </row>
    <row r="49" spans="2:27" s="106" customFormat="1">
      <c r="B49" s="482" t="s">
        <v>179</v>
      </c>
      <c r="C49" s="483"/>
      <c r="D49" s="483"/>
      <c r="E49" s="483"/>
      <c r="F49" s="482"/>
      <c r="G49" s="483"/>
      <c r="H49" s="483"/>
      <c r="I49" s="483"/>
      <c r="J49" s="483"/>
      <c r="K49" s="483"/>
      <c r="L49" s="483"/>
      <c r="M49" s="483"/>
      <c r="N49" s="483"/>
      <c r="O49" s="483"/>
      <c r="P49" s="101"/>
      <c r="Q49" s="101"/>
      <c r="R49" s="101"/>
      <c r="S49" s="101"/>
      <c r="T49" s="101"/>
      <c r="U49" s="101"/>
      <c r="V49" s="101"/>
      <c r="W49" s="101"/>
      <c r="X49" s="101"/>
      <c r="Y49" s="101"/>
      <c r="Z49" s="101"/>
      <c r="AA49" s="101"/>
    </row>
    <row r="50" spans="2:27" s="106" customFormat="1">
      <c r="B50" s="104" t="s">
        <v>180</v>
      </c>
      <c r="C50" s="121">
        <v>4524</v>
      </c>
      <c r="D50" s="121">
        <v>6585</v>
      </c>
      <c r="E50" s="121">
        <v>11749</v>
      </c>
      <c r="F50" s="121">
        <v>7059</v>
      </c>
      <c r="G50" s="121">
        <v>12736</v>
      </c>
      <c r="H50" s="121">
        <v>16740</v>
      </c>
      <c r="I50" s="121">
        <v>17968</v>
      </c>
      <c r="J50" s="121">
        <v>14039</v>
      </c>
      <c r="K50" s="121">
        <v>7110</v>
      </c>
      <c r="L50" s="121">
        <v>595971</v>
      </c>
      <c r="M50" s="121">
        <v>757278</v>
      </c>
      <c r="N50" s="121">
        <v>1320153</v>
      </c>
      <c r="O50" s="121">
        <v>799542</v>
      </c>
      <c r="P50" s="601">
        <v>2067337</v>
      </c>
      <c r="Q50" s="101"/>
      <c r="R50" s="101"/>
      <c r="S50" s="101"/>
      <c r="T50" s="101"/>
      <c r="U50" s="101"/>
      <c r="V50" s="101"/>
      <c r="W50" s="101"/>
      <c r="X50" s="101"/>
      <c r="Y50" s="101"/>
      <c r="Z50" s="101"/>
      <c r="AA50" s="101"/>
    </row>
    <row r="51" spans="2:27" s="106" customFormat="1">
      <c r="B51" s="104" t="s">
        <v>181</v>
      </c>
      <c r="C51" s="121">
        <v>336138</v>
      </c>
      <c r="D51" s="121">
        <v>610066</v>
      </c>
      <c r="E51" s="121">
        <v>716226</v>
      </c>
      <c r="F51" s="121">
        <v>843828</v>
      </c>
      <c r="G51" s="121">
        <v>1591227</v>
      </c>
      <c r="H51" s="121">
        <v>680909</v>
      </c>
      <c r="I51" s="121">
        <v>1087284</v>
      </c>
      <c r="J51" s="121">
        <v>1330308</v>
      </c>
      <c r="K51" s="121">
        <v>1197427</v>
      </c>
      <c r="L51" s="121">
        <v>2068611</v>
      </c>
      <c r="M51" s="121">
        <v>511984</v>
      </c>
      <c r="N51" s="121">
        <v>565480</v>
      </c>
      <c r="O51" s="121">
        <v>541218</v>
      </c>
      <c r="P51" s="601">
        <v>453557</v>
      </c>
      <c r="Q51" s="101"/>
      <c r="R51" s="101"/>
      <c r="S51" s="101"/>
      <c r="T51" s="101"/>
      <c r="U51" s="101"/>
      <c r="V51" s="101"/>
      <c r="W51" s="101"/>
      <c r="X51" s="101"/>
      <c r="Y51" s="101"/>
      <c r="Z51" s="101"/>
      <c r="AA51" s="101"/>
    </row>
    <row r="52" spans="2:27" s="106" customFormat="1">
      <c r="B52" s="104" t="s">
        <v>182</v>
      </c>
      <c r="C52" s="121">
        <v>1221016</v>
      </c>
      <c r="D52" s="121">
        <v>1924928</v>
      </c>
      <c r="E52" s="121">
        <v>1913172.7178499999</v>
      </c>
      <c r="F52" s="121">
        <v>1916407</v>
      </c>
      <c r="G52" s="121">
        <v>2041938</v>
      </c>
      <c r="H52" s="121">
        <v>2086298</v>
      </c>
      <c r="I52" s="121">
        <v>1956862</v>
      </c>
      <c r="J52" s="121">
        <v>1983261</v>
      </c>
      <c r="K52" s="121">
        <v>2038412</v>
      </c>
      <c r="L52" s="121">
        <v>2061882</v>
      </c>
      <c r="M52" s="121">
        <v>2082903</v>
      </c>
      <c r="N52" s="121">
        <v>2598707</v>
      </c>
      <c r="O52" s="121">
        <v>2728926</v>
      </c>
      <c r="P52" s="601">
        <v>2804373</v>
      </c>
      <c r="Q52" s="101"/>
      <c r="R52" s="101"/>
      <c r="S52" s="101"/>
      <c r="T52" s="101"/>
      <c r="U52" s="101"/>
      <c r="V52" s="101"/>
      <c r="W52" s="101"/>
      <c r="X52" s="101"/>
      <c r="Y52" s="101"/>
      <c r="Z52" s="101"/>
      <c r="AA52" s="101"/>
    </row>
    <row r="53" spans="2:27" s="106" customFormat="1">
      <c r="B53" s="104" t="s">
        <v>183</v>
      </c>
      <c r="C53" s="121">
        <v>37723</v>
      </c>
      <c r="D53" s="121">
        <v>37639</v>
      </c>
      <c r="E53" s="121">
        <v>38357</v>
      </c>
      <c r="F53" s="121">
        <v>35204</v>
      </c>
      <c r="G53" s="121">
        <v>34907</v>
      </c>
      <c r="H53" s="121">
        <v>39173</v>
      </c>
      <c r="I53" s="121">
        <v>37516</v>
      </c>
      <c r="J53" s="121">
        <v>34742</v>
      </c>
      <c r="K53" s="121">
        <v>34550</v>
      </c>
      <c r="L53" s="121">
        <v>103818</v>
      </c>
      <c r="M53" s="121">
        <v>63747</v>
      </c>
      <c r="N53" s="121">
        <v>34337</v>
      </c>
      <c r="O53" s="121">
        <v>41637</v>
      </c>
      <c r="P53" s="601">
        <v>45297</v>
      </c>
      <c r="Q53" s="101"/>
      <c r="R53" s="101"/>
      <c r="S53" s="101"/>
      <c r="T53" s="101"/>
      <c r="U53" s="101"/>
      <c r="V53" s="101"/>
      <c r="W53" s="101"/>
      <c r="X53" s="101"/>
      <c r="Y53" s="101"/>
      <c r="Z53" s="101"/>
      <c r="AA53" s="101"/>
    </row>
    <row r="54" spans="2:27" s="106" customFormat="1">
      <c r="B54" s="104" t="s">
        <v>184</v>
      </c>
      <c r="C54" s="121">
        <v>8563</v>
      </c>
      <c r="D54" s="121">
        <v>14162</v>
      </c>
      <c r="E54" s="121">
        <v>132735</v>
      </c>
      <c r="F54" s="121">
        <v>216638</v>
      </c>
      <c r="G54" s="121">
        <v>315452</v>
      </c>
      <c r="H54" s="121">
        <v>29521</v>
      </c>
      <c r="I54" s="121">
        <v>84201</v>
      </c>
      <c r="J54" s="121">
        <v>169403</v>
      </c>
      <c r="K54" s="121">
        <v>215694</v>
      </c>
      <c r="L54" s="121">
        <v>32335</v>
      </c>
      <c r="M54" s="121">
        <v>43483</v>
      </c>
      <c r="N54" s="121">
        <v>84600</v>
      </c>
      <c r="O54" s="121">
        <v>210886</v>
      </c>
      <c r="P54" s="601">
        <v>28807</v>
      </c>
      <c r="Q54" s="101"/>
      <c r="R54" s="101"/>
      <c r="S54" s="101"/>
      <c r="T54" s="101"/>
      <c r="U54" s="101"/>
      <c r="V54" s="101"/>
      <c r="W54" s="101"/>
      <c r="X54" s="101"/>
      <c r="Y54" s="101"/>
      <c r="Z54" s="101"/>
      <c r="AA54" s="101"/>
    </row>
    <row r="55" spans="2:27" s="106" customFormat="1">
      <c r="B55" s="104" t="s">
        <v>186</v>
      </c>
      <c r="C55" s="121">
        <v>0</v>
      </c>
      <c r="D55" s="121">
        <v>2611</v>
      </c>
      <c r="E55" s="121">
        <v>0</v>
      </c>
      <c r="F55" s="121">
        <v>0</v>
      </c>
      <c r="G55" s="121">
        <v>0</v>
      </c>
      <c r="H55" s="121">
        <v>0</v>
      </c>
      <c r="I55" s="121">
        <v>0</v>
      </c>
      <c r="J55" s="121">
        <v>0</v>
      </c>
      <c r="K55" s="121">
        <v>67372</v>
      </c>
      <c r="L55" s="121">
        <v>19202</v>
      </c>
      <c r="M55" s="121">
        <v>228664</v>
      </c>
      <c r="N55" s="121">
        <v>255557</v>
      </c>
      <c r="O55" s="121">
        <v>14138</v>
      </c>
      <c r="P55" s="601">
        <v>9790</v>
      </c>
      <c r="Q55" s="101"/>
      <c r="R55" s="101"/>
      <c r="S55" s="101"/>
      <c r="T55" s="101"/>
      <c r="U55" s="101"/>
      <c r="V55" s="101"/>
      <c r="W55" s="101"/>
      <c r="X55" s="101"/>
      <c r="Y55" s="101"/>
      <c r="Z55" s="101"/>
      <c r="AA55" s="101"/>
    </row>
    <row r="56" spans="2:27" s="106" customFormat="1">
      <c r="B56" s="104" t="s">
        <v>185</v>
      </c>
      <c r="C56" s="121" t="s">
        <v>157</v>
      </c>
      <c r="D56" s="121">
        <v>902.90506000000005</v>
      </c>
      <c r="E56" s="121">
        <v>490.49568999999974</v>
      </c>
      <c r="F56" s="121">
        <v>825</v>
      </c>
      <c r="G56" s="121">
        <v>423</v>
      </c>
      <c r="H56" s="121">
        <v>323</v>
      </c>
      <c r="I56" s="121">
        <v>4276</v>
      </c>
      <c r="J56" s="121">
        <v>9056</v>
      </c>
      <c r="K56" s="121">
        <v>9265</v>
      </c>
      <c r="L56" s="121">
        <v>703</v>
      </c>
      <c r="M56" s="121">
        <v>917</v>
      </c>
      <c r="N56" s="121">
        <v>1013</v>
      </c>
      <c r="O56" s="121">
        <v>580</v>
      </c>
      <c r="P56" s="601">
        <v>14994</v>
      </c>
      <c r="Q56" s="101"/>
      <c r="R56" s="101"/>
      <c r="S56" s="101"/>
      <c r="T56" s="101"/>
      <c r="U56" s="101"/>
      <c r="V56" s="101"/>
      <c r="W56" s="101"/>
      <c r="X56" s="101"/>
      <c r="Y56" s="101"/>
      <c r="Z56" s="101"/>
      <c r="AA56" s="101"/>
    </row>
    <row r="57" spans="2:27">
      <c r="B57" s="104" t="s">
        <v>187</v>
      </c>
      <c r="C57" s="121">
        <v>10303</v>
      </c>
      <c r="D57" s="121">
        <v>4607</v>
      </c>
      <c r="E57" s="121">
        <v>40927</v>
      </c>
      <c r="F57" s="121">
        <v>22245</v>
      </c>
      <c r="G57" s="121">
        <v>13145</v>
      </c>
      <c r="H57" s="121">
        <v>8384</v>
      </c>
      <c r="I57" s="121">
        <v>34841</v>
      </c>
      <c r="J57" s="121">
        <v>24862</v>
      </c>
      <c r="K57" s="121">
        <v>14657</v>
      </c>
      <c r="L57" s="121">
        <v>4677</v>
      </c>
      <c r="M57" s="121">
        <v>33212</v>
      </c>
      <c r="N57" s="121">
        <v>24292</v>
      </c>
      <c r="O57" s="121">
        <v>15324</v>
      </c>
      <c r="P57" s="601">
        <v>6400</v>
      </c>
    </row>
    <row r="58" spans="2:27">
      <c r="B58" s="104" t="s">
        <v>188</v>
      </c>
      <c r="C58" s="121" t="s">
        <v>157</v>
      </c>
      <c r="D58" s="121">
        <v>1141</v>
      </c>
      <c r="E58" s="121">
        <v>0</v>
      </c>
      <c r="F58" s="121">
        <v>0</v>
      </c>
      <c r="G58" s="121">
        <v>1211</v>
      </c>
      <c r="H58" s="121">
        <v>1787</v>
      </c>
      <c r="I58" s="121">
        <v>1814</v>
      </c>
      <c r="J58" s="121">
        <v>1833</v>
      </c>
      <c r="K58" s="121">
        <v>1862</v>
      </c>
      <c r="L58" s="121">
        <v>1876</v>
      </c>
      <c r="M58" s="121">
        <v>1887</v>
      </c>
      <c r="N58" s="121">
        <v>1894</v>
      </c>
      <c r="O58" s="121">
        <v>1892</v>
      </c>
      <c r="P58" s="601">
        <v>1808</v>
      </c>
    </row>
    <row r="59" spans="2:27" s="106" customFormat="1" ht="14.15" customHeight="1">
      <c r="B59" s="104" t="s">
        <v>189</v>
      </c>
      <c r="C59" s="121">
        <v>62077</v>
      </c>
      <c r="D59" s="121">
        <v>41067</v>
      </c>
      <c r="E59" s="121">
        <v>59156</v>
      </c>
      <c r="F59" s="121">
        <v>78695</v>
      </c>
      <c r="G59" s="121">
        <v>46824</v>
      </c>
      <c r="H59" s="121">
        <v>36509</v>
      </c>
      <c r="I59" s="121">
        <v>31529</v>
      </c>
      <c r="J59" s="121">
        <v>30564</v>
      </c>
      <c r="K59" s="121">
        <v>28009</v>
      </c>
      <c r="L59" s="121">
        <v>44373</v>
      </c>
      <c r="M59" s="121">
        <v>46416</v>
      </c>
      <c r="N59" s="121">
        <v>80603</v>
      </c>
      <c r="O59" s="121">
        <v>79333</v>
      </c>
      <c r="P59" s="601">
        <v>75495</v>
      </c>
      <c r="Q59" s="101"/>
      <c r="R59" s="101"/>
      <c r="S59" s="101"/>
      <c r="T59" s="101"/>
      <c r="U59" s="101"/>
      <c r="V59" s="101"/>
      <c r="W59" s="101"/>
      <c r="X59" s="101"/>
      <c r="Y59" s="101"/>
      <c r="Z59" s="101"/>
      <c r="AA59" s="101"/>
    </row>
    <row r="60" spans="2:27" s="106" customFormat="1" ht="14.15" customHeight="1">
      <c r="B60" s="484" t="s">
        <v>190</v>
      </c>
      <c r="C60" s="485">
        <f t="shared" ref="C60:O60" si="15">SUM(C50:C59)</f>
        <v>1680344</v>
      </c>
      <c r="D60" s="485">
        <f t="shared" si="15"/>
        <v>2643708.9050599998</v>
      </c>
      <c r="E60" s="485">
        <f t="shared" si="15"/>
        <v>2912813.2135399994</v>
      </c>
      <c r="F60" s="485">
        <f t="shared" si="15"/>
        <v>3120901</v>
      </c>
      <c r="G60" s="485">
        <f t="shared" si="15"/>
        <v>4057863</v>
      </c>
      <c r="H60" s="485">
        <f t="shared" si="15"/>
        <v>2899644</v>
      </c>
      <c r="I60" s="485">
        <f t="shared" si="15"/>
        <v>3256291</v>
      </c>
      <c r="J60" s="485">
        <f t="shared" si="15"/>
        <v>3598068</v>
      </c>
      <c r="K60" s="485">
        <f t="shared" si="15"/>
        <v>3614358</v>
      </c>
      <c r="L60" s="485">
        <f t="shared" si="15"/>
        <v>4933448</v>
      </c>
      <c r="M60" s="485">
        <f t="shared" si="15"/>
        <v>3770491</v>
      </c>
      <c r="N60" s="485">
        <f t="shared" si="15"/>
        <v>4966636</v>
      </c>
      <c r="O60" s="485">
        <f t="shared" si="15"/>
        <v>4433476</v>
      </c>
      <c r="P60" s="605">
        <f t="shared" ref="P60" si="16">SUM(P50:P59)</f>
        <v>5507858</v>
      </c>
      <c r="Q60" s="101"/>
      <c r="R60" s="101"/>
      <c r="S60" s="101"/>
      <c r="T60" s="101"/>
      <c r="U60" s="101"/>
      <c r="V60" s="101"/>
      <c r="W60" s="101"/>
      <c r="X60" s="101"/>
      <c r="Y60" s="101"/>
      <c r="Z60" s="101"/>
      <c r="AA60" s="101"/>
    </row>
    <row r="61" spans="2:27" s="106" customFormat="1">
      <c r="B61" s="486" t="s">
        <v>191</v>
      </c>
      <c r="C61" s="122"/>
      <c r="D61" s="122"/>
      <c r="E61" s="122"/>
      <c r="F61" s="122"/>
      <c r="G61" s="122"/>
      <c r="H61" s="122"/>
      <c r="I61" s="122"/>
      <c r="J61" s="122"/>
      <c r="K61" s="122"/>
      <c r="L61" s="122"/>
      <c r="M61" s="122"/>
      <c r="N61" s="122"/>
      <c r="O61" s="122"/>
      <c r="P61" s="606"/>
      <c r="Q61" s="101"/>
      <c r="R61" s="101"/>
      <c r="S61" s="101"/>
      <c r="T61" s="101"/>
      <c r="U61" s="101"/>
      <c r="V61" s="101"/>
      <c r="W61" s="101"/>
      <c r="X61" s="101"/>
      <c r="Y61" s="101"/>
      <c r="Z61" s="101"/>
      <c r="AA61" s="101"/>
    </row>
    <row r="62" spans="2:27" s="106" customFormat="1">
      <c r="B62" s="104" t="s">
        <v>192</v>
      </c>
      <c r="C62" s="121"/>
      <c r="D62" s="121"/>
      <c r="E62" s="121"/>
      <c r="F62" s="121"/>
      <c r="G62" s="121"/>
      <c r="H62" s="121"/>
      <c r="I62" s="121"/>
      <c r="J62" s="121"/>
      <c r="K62" s="121"/>
      <c r="L62" s="121"/>
      <c r="M62" s="121"/>
      <c r="N62" s="121"/>
      <c r="O62" s="121"/>
      <c r="P62" s="601"/>
      <c r="Q62" s="101"/>
      <c r="R62" s="101"/>
      <c r="S62" s="101"/>
      <c r="T62" s="101"/>
      <c r="U62" s="101"/>
      <c r="V62" s="101"/>
      <c r="W62" s="101"/>
      <c r="X62" s="101"/>
      <c r="Y62" s="101"/>
      <c r="Z62" s="101"/>
      <c r="AA62" s="101"/>
    </row>
    <row r="63" spans="2:27" s="106" customFormat="1">
      <c r="B63" s="104" t="s">
        <v>188</v>
      </c>
      <c r="C63" s="121" t="s">
        <v>157</v>
      </c>
      <c r="D63" s="121">
        <v>35674.210180000002</v>
      </c>
      <c r="E63" s="121">
        <v>41726</v>
      </c>
      <c r="F63" s="121">
        <v>42460</v>
      </c>
      <c r="G63" s="121">
        <v>43818</v>
      </c>
      <c r="H63" s="121">
        <v>42268</v>
      </c>
      <c r="I63" s="121">
        <v>44888</v>
      </c>
      <c r="J63" s="121">
        <v>47771</v>
      </c>
      <c r="K63" s="121">
        <v>47245</v>
      </c>
      <c r="L63" s="121">
        <v>46515</v>
      </c>
      <c r="M63" s="121">
        <v>46649</v>
      </c>
      <c r="N63" s="121">
        <v>46926</v>
      </c>
      <c r="O63" s="121">
        <v>46981</v>
      </c>
      <c r="P63" s="601">
        <v>46903</v>
      </c>
      <c r="Q63" s="101"/>
      <c r="R63" s="101"/>
      <c r="S63" s="101"/>
      <c r="T63" s="101"/>
      <c r="U63" s="101"/>
      <c r="V63" s="101"/>
      <c r="W63" s="101"/>
      <c r="X63" s="101"/>
      <c r="Y63" s="101"/>
      <c r="Z63" s="101"/>
      <c r="AA63" s="101"/>
    </row>
    <row r="64" spans="2:27" s="106" customFormat="1">
      <c r="B64" s="104" t="s">
        <v>193</v>
      </c>
      <c r="C64" s="121">
        <v>10225808</v>
      </c>
      <c r="D64" s="121">
        <v>11213952</v>
      </c>
      <c r="E64" s="121">
        <v>11033751.786459999</v>
      </c>
      <c r="F64" s="121">
        <v>10865644</v>
      </c>
      <c r="G64" s="121">
        <v>11270412</v>
      </c>
      <c r="H64" s="121">
        <v>12047558</v>
      </c>
      <c r="I64" s="121">
        <v>12222686</v>
      </c>
      <c r="J64" s="121">
        <v>12500583</v>
      </c>
      <c r="K64" s="121">
        <v>12474048</v>
      </c>
      <c r="L64" s="121">
        <v>12599152</v>
      </c>
      <c r="M64" s="121">
        <v>12668940</v>
      </c>
      <c r="N64" s="121">
        <v>13075952</v>
      </c>
      <c r="O64" s="121">
        <v>13254427</v>
      </c>
      <c r="P64" s="601">
        <v>14118454</v>
      </c>
      <c r="Q64" s="101"/>
      <c r="R64" s="101"/>
      <c r="S64" s="101"/>
      <c r="T64" s="101"/>
      <c r="U64" s="101"/>
      <c r="V64" s="101"/>
      <c r="W64" s="101"/>
      <c r="X64" s="101"/>
      <c r="Y64" s="101"/>
      <c r="Z64" s="101"/>
      <c r="AA64" s="101"/>
    </row>
    <row r="65" spans="2:27" s="106" customFormat="1">
      <c r="B65" s="104" t="s">
        <v>194</v>
      </c>
      <c r="C65" s="121">
        <v>1150358</v>
      </c>
      <c r="D65" s="121">
        <v>1312791</v>
      </c>
      <c r="E65" s="121">
        <v>1363119</v>
      </c>
      <c r="F65" s="121">
        <v>1409142</v>
      </c>
      <c r="G65" s="121">
        <v>1425474</v>
      </c>
      <c r="H65" s="121">
        <v>1426083</v>
      </c>
      <c r="I65" s="121">
        <v>1426613</v>
      </c>
      <c r="J65" s="121">
        <v>1473391</v>
      </c>
      <c r="K65" s="121">
        <v>1518151</v>
      </c>
      <c r="L65" s="121">
        <v>1576332</v>
      </c>
      <c r="M65" s="121">
        <v>1620971</v>
      </c>
      <c r="N65" s="121">
        <v>1668555</v>
      </c>
      <c r="O65" s="121">
        <v>1724394</v>
      </c>
      <c r="P65" s="601">
        <v>1778999</v>
      </c>
      <c r="Q65" s="101"/>
      <c r="R65" s="101"/>
      <c r="S65" s="101"/>
      <c r="T65" s="101"/>
      <c r="U65" s="101"/>
      <c r="V65" s="101"/>
      <c r="W65" s="101"/>
      <c r="X65" s="101"/>
      <c r="Y65" s="101"/>
      <c r="Z65" s="101"/>
      <c r="AA65" s="101"/>
    </row>
    <row r="66" spans="2:27" s="106" customFormat="1">
      <c r="B66" s="104" t="s">
        <v>195</v>
      </c>
      <c r="C66" s="121">
        <v>0</v>
      </c>
      <c r="D66" s="121">
        <v>0</v>
      </c>
      <c r="E66" s="121">
        <v>0</v>
      </c>
      <c r="F66" s="121">
        <v>0</v>
      </c>
      <c r="G66" s="121">
        <v>0</v>
      </c>
      <c r="H66" s="121">
        <v>0</v>
      </c>
      <c r="I66" s="121">
        <v>0</v>
      </c>
      <c r="J66" s="121">
        <v>0</v>
      </c>
      <c r="K66" s="121">
        <v>0</v>
      </c>
      <c r="L66" s="121">
        <v>0</v>
      </c>
      <c r="M66" s="121">
        <v>0</v>
      </c>
      <c r="N66" s="121">
        <v>0</v>
      </c>
      <c r="O66" s="121">
        <v>0</v>
      </c>
      <c r="P66" s="601" t="s">
        <v>157</v>
      </c>
      <c r="Q66" s="101"/>
      <c r="R66" s="101"/>
      <c r="S66" s="101"/>
      <c r="T66" s="101"/>
      <c r="U66" s="101"/>
      <c r="V66" s="101"/>
      <c r="W66" s="101"/>
      <c r="X66" s="101"/>
      <c r="Y66" s="101"/>
      <c r="Z66" s="101"/>
      <c r="AA66" s="101"/>
    </row>
    <row r="67" spans="2:27" s="106" customFormat="1">
      <c r="B67" s="104" t="s">
        <v>196</v>
      </c>
      <c r="C67" s="121">
        <v>0</v>
      </c>
      <c r="D67" s="121">
        <v>0</v>
      </c>
      <c r="E67" s="121">
        <v>0</v>
      </c>
      <c r="F67" s="121">
        <v>0</v>
      </c>
      <c r="G67" s="121">
        <v>0</v>
      </c>
      <c r="H67" s="121">
        <v>9037</v>
      </c>
      <c r="I67" s="121">
        <v>7665</v>
      </c>
      <c r="J67" s="121">
        <v>11872</v>
      </c>
      <c r="K67" s="121">
        <v>7861</v>
      </c>
      <c r="L67" s="121">
        <v>1144</v>
      </c>
      <c r="M67" s="121">
        <v>0</v>
      </c>
      <c r="N67" s="121">
        <v>0</v>
      </c>
      <c r="O67" s="121">
        <v>0</v>
      </c>
      <c r="P67" s="601">
        <v>0</v>
      </c>
      <c r="Q67" s="101"/>
      <c r="R67" s="101"/>
      <c r="S67" s="101"/>
      <c r="T67" s="101"/>
      <c r="U67" s="101"/>
      <c r="V67" s="101"/>
      <c r="W67" s="101"/>
      <c r="X67" s="101"/>
      <c r="Y67" s="101"/>
      <c r="Z67" s="101"/>
      <c r="AA67" s="101"/>
    </row>
    <row r="68" spans="2:27" s="106" customFormat="1">
      <c r="B68" s="104" t="s">
        <v>197</v>
      </c>
      <c r="C68" s="121">
        <v>70175</v>
      </c>
      <c r="D68" s="121">
        <v>66414</v>
      </c>
      <c r="E68" s="121">
        <v>66571</v>
      </c>
      <c r="F68" s="121">
        <v>65070</v>
      </c>
      <c r="G68" s="121">
        <v>66816</v>
      </c>
      <c r="H68" s="121">
        <v>66987</v>
      </c>
      <c r="I68" s="121">
        <v>64874</v>
      </c>
      <c r="J68" s="121">
        <v>64007</v>
      </c>
      <c r="K68" s="121">
        <v>58867</v>
      </c>
      <c r="L68" s="121">
        <v>52886</v>
      </c>
      <c r="M68" s="121">
        <v>51597</v>
      </c>
      <c r="N68" s="121">
        <v>49133</v>
      </c>
      <c r="O68" s="121">
        <v>41575</v>
      </c>
      <c r="P68" s="601">
        <v>44119</v>
      </c>
      <c r="Q68" s="101"/>
      <c r="R68" s="101"/>
      <c r="S68" s="101"/>
      <c r="T68" s="101"/>
      <c r="U68" s="101"/>
      <c r="V68" s="101"/>
      <c r="W68" s="101"/>
      <c r="X68" s="101"/>
      <c r="Y68" s="101"/>
      <c r="Z68" s="101"/>
      <c r="AA68" s="101"/>
    </row>
    <row r="69" spans="2:27" s="106" customFormat="1">
      <c r="B69" s="104" t="s">
        <v>183</v>
      </c>
      <c r="C69" s="121">
        <v>32512</v>
      </c>
      <c r="D69" s="121">
        <v>37034</v>
      </c>
      <c r="E69" s="121">
        <v>22968</v>
      </c>
      <c r="F69" s="121">
        <v>18250</v>
      </c>
      <c r="G69" s="121">
        <v>18055</v>
      </c>
      <c r="H69" s="121">
        <v>13551</v>
      </c>
      <c r="I69" s="121">
        <v>11798</v>
      </c>
      <c r="J69" s="121">
        <v>11909</v>
      </c>
      <c r="K69" s="121">
        <v>14771</v>
      </c>
      <c r="L69" s="121">
        <v>13005</v>
      </c>
      <c r="M69" s="121">
        <v>23089</v>
      </c>
      <c r="N69" s="121">
        <v>16835</v>
      </c>
      <c r="O69" s="121">
        <v>11210</v>
      </c>
      <c r="P69" s="601">
        <v>9997</v>
      </c>
      <c r="Q69" s="101"/>
      <c r="R69" s="101"/>
      <c r="S69" s="101"/>
      <c r="T69" s="101"/>
      <c r="U69" s="101"/>
      <c r="V69" s="101"/>
      <c r="W69" s="101"/>
      <c r="X69" s="101"/>
      <c r="Y69" s="101"/>
      <c r="Z69" s="101"/>
      <c r="AA69" s="101"/>
    </row>
    <row r="70" spans="2:27" s="106" customFormat="1">
      <c r="B70" s="104" t="s">
        <v>198</v>
      </c>
      <c r="C70" s="121">
        <v>0</v>
      </c>
      <c r="D70" s="121">
        <v>0</v>
      </c>
      <c r="E70" s="121">
        <v>0</v>
      </c>
      <c r="F70" s="121">
        <v>0</v>
      </c>
      <c r="G70" s="121">
        <v>0</v>
      </c>
      <c r="H70" s="121">
        <v>105444</v>
      </c>
      <c r="I70" s="121">
        <v>105444</v>
      </c>
      <c r="J70" s="121">
        <v>105444</v>
      </c>
      <c r="K70" s="121">
        <v>105444</v>
      </c>
      <c r="L70" s="121">
        <v>43024</v>
      </c>
      <c r="M70" s="121">
        <v>43024</v>
      </c>
      <c r="N70" s="121">
        <v>43024</v>
      </c>
      <c r="O70" s="121">
        <v>43024</v>
      </c>
      <c r="P70" s="601">
        <v>0</v>
      </c>
      <c r="Q70" s="101"/>
      <c r="R70" s="101"/>
      <c r="S70" s="101"/>
      <c r="T70" s="101"/>
      <c r="U70" s="101"/>
      <c r="V70" s="101"/>
      <c r="W70" s="101"/>
      <c r="X70" s="101"/>
      <c r="Y70" s="101"/>
      <c r="Z70" s="101"/>
      <c r="AA70" s="101"/>
    </row>
    <row r="71" spans="2:27" s="106" customFormat="1">
      <c r="B71" s="104" t="s">
        <v>186</v>
      </c>
      <c r="C71" s="121">
        <v>0</v>
      </c>
      <c r="D71" s="121">
        <v>0</v>
      </c>
      <c r="E71" s="121">
        <v>0</v>
      </c>
      <c r="F71" s="121">
        <v>0</v>
      </c>
      <c r="G71" s="121">
        <v>11861</v>
      </c>
      <c r="H71" s="121">
        <v>2643</v>
      </c>
      <c r="I71" s="121">
        <v>10771</v>
      </c>
      <c r="J71" s="121">
        <v>0</v>
      </c>
      <c r="K71" s="121">
        <v>1962</v>
      </c>
      <c r="L71" s="121">
        <v>0</v>
      </c>
      <c r="M71" s="121">
        <v>3068</v>
      </c>
      <c r="N71" s="121">
        <v>3546</v>
      </c>
      <c r="O71" s="121">
        <v>4056</v>
      </c>
      <c r="P71" s="601">
        <v>226</v>
      </c>
      <c r="Q71" s="101"/>
      <c r="R71" s="101"/>
      <c r="S71" s="101"/>
      <c r="T71" s="101"/>
      <c r="U71" s="101"/>
      <c r="V71" s="101"/>
      <c r="W71" s="101"/>
      <c r="X71" s="101"/>
      <c r="Y71" s="101"/>
      <c r="Z71" s="101"/>
      <c r="AA71" s="101"/>
    </row>
    <row r="72" spans="2:27" s="106" customFormat="1">
      <c r="B72" s="104" t="s">
        <v>149</v>
      </c>
      <c r="C72" s="121">
        <v>13572</v>
      </c>
      <c r="D72" s="121">
        <v>1513</v>
      </c>
      <c r="E72" s="121">
        <v>1502</v>
      </c>
      <c r="F72" s="121">
        <v>12493</v>
      </c>
      <c r="G72" s="121">
        <v>12490</v>
      </c>
      <c r="H72" s="121">
        <v>25236</v>
      </c>
      <c r="I72" s="121">
        <v>26954</v>
      </c>
      <c r="J72" s="121">
        <v>28724</v>
      </c>
      <c r="K72" s="121">
        <v>32895</v>
      </c>
      <c r="L72" s="121">
        <v>24011</v>
      </c>
      <c r="M72" s="121">
        <v>25926</v>
      </c>
      <c r="N72" s="121">
        <v>108900</v>
      </c>
      <c r="O72" s="121">
        <v>108905</v>
      </c>
      <c r="P72" s="601">
        <v>110310</v>
      </c>
      <c r="Q72" s="101"/>
      <c r="R72" s="101"/>
      <c r="S72" s="101"/>
      <c r="T72" s="101"/>
      <c r="U72" s="101"/>
      <c r="V72" s="101"/>
      <c r="W72" s="101"/>
      <c r="X72" s="101"/>
      <c r="Y72" s="101"/>
      <c r="Z72" s="101"/>
      <c r="AA72" s="101"/>
    </row>
    <row r="73" spans="2:27" s="106" customFormat="1">
      <c r="B73" s="104" t="s">
        <v>199</v>
      </c>
      <c r="C73" s="121">
        <v>1826930</v>
      </c>
      <c r="D73" s="121">
        <v>1880845</v>
      </c>
      <c r="E73" s="121">
        <v>1915916</v>
      </c>
      <c r="F73" s="121">
        <v>1943473</v>
      </c>
      <c r="G73" s="121">
        <v>1944839</v>
      </c>
      <c r="H73" s="121">
        <v>1848092</v>
      </c>
      <c r="I73" s="121">
        <v>1917881</v>
      </c>
      <c r="J73" s="121">
        <v>1966285</v>
      </c>
      <c r="K73" s="121">
        <v>2037978</v>
      </c>
      <c r="L73" s="121">
        <v>2198004</v>
      </c>
      <c r="M73" s="121">
        <v>2360020</v>
      </c>
      <c r="N73" s="121">
        <v>2334045</v>
      </c>
      <c r="O73" s="121">
        <v>2384120</v>
      </c>
      <c r="P73" s="601">
        <v>2858002</v>
      </c>
      <c r="Q73" s="101"/>
      <c r="R73" s="101"/>
      <c r="S73" s="101"/>
      <c r="T73" s="101"/>
      <c r="U73" s="101"/>
      <c r="V73" s="101"/>
      <c r="W73" s="101"/>
      <c r="X73" s="101"/>
      <c r="Y73" s="101"/>
      <c r="Z73" s="101"/>
      <c r="AA73" s="101"/>
    </row>
    <row r="74" spans="2:27">
      <c r="B74" s="104" t="s">
        <v>200</v>
      </c>
      <c r="C74" s="121">
        <v>25457.256999999987</v>
      </c>
      <c r="D74" s="121">
        <v>22879.430109999994</v>
      </c>
      <c r="E74" s="121">
        <v>23656</v>
      </c>
      <c r="F74" s="121">
        <v>22868</v>
      </c>
      <c r="G74" s="121">
        <v>23870</v>
      </c>
      <c r="H74" s="121">
        <v>25539</v>
      </c>
      <c r="I74" s="121">
        <v>45400</v>
      </c>
      <c r="J74" s="121">
        <v>73791</v>
      </c>
      <c r="K74" s="121">
        <v>75697</v>
      </c>
      <c r="L74" s="121">
        <v>86377</v>
      </c>
      <c r="M74" s="121">
        <v>93465</v>
      </c>
      <c r="N74" s="121">
        <v>92414</v>
      </c>
      <c r="O74" s="121">
        <v>91002</v>
      </c>
      <c r="P74" s="601">
        <v>92991</v>
      </c>
    </row>
    <row r="75" spans="2:27">
      <c r="B75" s="104" t="s">
        <v>201</v>
      </c>
      <c r="C75" s="121">
        <v>41843.266820000004</v>
      </c>
      <c r="D75" s="121">
        <v>37361.569890000006</v>
      </c>
      <c r="E75" s="121">
        <v>35535</v>
      </c>
      <c r="F75" s="121">
        <v>34404</v>
      </c>
      <c r="G75" s="121">
        <v>31630</v>
      </c>
      <c r="H75" s="121">
        <v>30142</v>
      </c>
      <c r="I75" s="121">
        <v>28136</v>
      </c>
      <c r="J75" s="121">
        <v>26692</v>
      </c>
      <c r="K75" s="121">
        <v>25069</v>
      </c>
      <c r="L75" s="121">
        <v>25196</v>
      </c>
      <c r="M75" s="121">
        <v>24227</v>
      </c>
      <c r="N75" s="121">
        <v>25603</v>
      </c>
      <c r="O75" s="121">
        <v>25377</v>
      </c>
      <c r="P75" s="601">
        <v>24499</v>
      </c>
    </row>
    <row r="76" spans="2:27">
      <c r="B76" s="484" t="s">
        <v>202</v>
      </c>
      <c r="C76" s="485">
        <f>SUM(C73:C75,C63:C72)</f>
        <v>13386655.52382</v>
      </c>
      <c r="D76" s="485">
        <f>SUM(D73:D75,D63:D72)</f>
        <v>14608464.210179999</v>
      </c>
      <c r="E76" s="485">
        <f t="shared" ref="E76:P76" si="17">SUM(E73:E75,E63:E72)</f>
        <v>14504744.786459999</v>
      </c>
      <c r="F76" s="485">
        <f t="shared" si="17"/>
        <v>14413804</v>
      </c>
      <c r="G76" s="485">
        <f t="shared" si="17"/>
        <v>14849265</v>
      </c>
      <c r="H76" s="485">
        <f t="shared" si="17"/>
        <v>15642580</v>
      </c>
      <c r="I76" s="485">
        <f t="shared" si="17"/>
        <v>15913110</v>
      </c>
      <c r="J76" s="485">
        <f t="shared" si="17"/>
        <v>16310469</v>
      </c>
      <c r="K76" s="485">
        <f t="shared" si="17"/>
        <v>16399988</v>
      </c>
      <c r="L76" s="485">
        <f t="shared" si="17"/>
        <v>16665646</v>
      </c>
      <c r="M76" s="485">
        <f t="shared" si="17"/>
        <v>16960976</v>
      </c>
      <c r="N76" s="485">
        <f t="shared" si="17"/>
        <v>17464933</v>
      </c>
      <c r="O76" s="485">
        <f t="shared" si="17"/>
        <v>17735071</v>
      </c>
      <c r="P76" s="605">
        <f t="shared" si="17"/>
        <v>19084500</v>
      </c>
    </row>
    <row r="77" spans="2:27">
      <c r="B77" s="484" t="s">
        <v>203</v>
      </c>
      <c r="C77" s="485">
        <f>SUM(C76+C60)</f>
        <v>15066999.52382</v>
      </c>
      <c r="D77" s="485">
        <f>SUM(D76+D60)</f>
        <v>17252173.11524</v>
      </c>
      <c r="E77" s="485">
        <f t="shared" ref="E77:P77" si="18">SUM(E76+E60)</f>
        <v>17417558</v>
      </c>
      <c r="F77" s="485">
        <f t="shared" si="18"/>
        <v>17534705</v>
      </c>
      <c r="G77" s="485">
        <f t="shared" si="18"/>
        <v>18907128</v>
      </c>
      <c r="H77" s="485">
        <f t="shared" si="18"/>
        <v>18542224</v>
      </c>
      <c r="I77" s="485">
        <f t="shared" si="18"/>
        <v>19169401</v>
      </c>
      <c r="J77" s="485">
        <f t="shared" si="18"/>
        <v>19908537</v>
      </c>
      <c r="K77" s="485">
        <f t="shared" si="18"/>
        <v>20014346</v>
      </c>
      <c r="L77" s="485">
        <f t="shared" si="18"/>
        <v>21599094</v>
      </c>
      <c r="M77" s="485">
        <f t="shared" si="18"/>
        <v>20731467</v>
      </c>
      <c r="N77" s="485">
        <f t="shared" si="18"/>
        <v>22431569</v>
      </c>
      <c r="O77" s="485">
        <f t="shared" si="18"/>
        <v>22168547</v>
      </c>
      <c r="P77" s="605">
        <f t="shared" si="18"/>
        <v>24592358</v>
      </c>
    </row>
    <row r="78" spans="2:27" s="101" customFormat="1">
      <c r="B78" s="106"/>
      <c r="C78" s="487"/>
      <c r="D78" s="487"/>
      <c r="E78" s="487"/>
      <c r="F78" s="119"/>
      <c r="G78" s="119"/>
      <c r="H78" s="119"/>
      <c r="I78" s="119"/>
      <c r="J78" s="119"/>
      <c r="K78" s="119"/>
      <c r="L78" s="119"/>
      <c r="M78" s="119"/>
      <c r="N78" s="119"/>
      <c r="O78" s="119"/>
    </row>
    <row r="79" spans="2:27" s="106" customFormat="1">
      <c r="B79" s="488" t="s">
        <v>204</v>
      </c>
      <c r="C79" s="489"/>
      <c r="D79" s="490"/>
      <c r="E79" s="490"/>
      <c r="F79" s="490"/>
      <c r="G79" s="490"/>
      <c r="H79" s="490"/>
      <c r="I79" s="490"/>
      <c r="J79" s="490"/>
      <c r="K79" s="490"/>
      <c r="L79" s="490"/>
      <c r="M79" s="490"/>
      <c r="N79" s="490"/>
      <c r="O79" s="490"/>
      <c r="P79" s="607"/>
      <c r="Q79" s="101"/>
      <c r="R79" s="101"/>
      <c r="S79" s="101"/>
      <c r="T79" s="101"/>
      <c r="U79" s="101"/>
      <c r="V79" s="101"/>
      <c r="W79" s="101"/>
      <c r="X79" s="101"/>
      <c r="Y79" s="101"/>
      <c r="Z79" s="101"/>
      <c r="AA79" s="101"/>
    </row>
    <row r="80" spans="2:27" s="106" customFormat="1">
      <c r="B80" s="488" t="s">
        <v>205</v>
      </c>
      <c r="C80" s="489"/>
      <c r="D80" s="490"/>
      <c r="E80" s="490"/>
      <c r="F80" s="490"/>
      <c r="G80" s="490"/>
      <c r="H80" s="490"/>
      <c r="I80" s="490"/>
      <c r="J80" s="490"/>
      <c r="K80" s="490"/>
      <c r="L80" s="490"/>
      <c r="M80" s="490"/>
      <c r="N80" s="490"/>
      <c r="O80" s="490"/>
      <c r="P80" s="607"/>
      <c r="Q80" s="101"/>
      <c r="R80" s="101"/>
      <c r="S80" s="101"/>
      <c r="T80" s="101"/>
      <c r="U80" s="101"/>
      <c r="V80" s="101"/>
      <c r="W80" s="101"/>
      <c r="X80" s="101"/>
      <c r="Y80" s="101"/>
      <c r="Z80" s="101"/>
      <c r="AA80" s="101"/>
    </row>
    <row r="81" spans="2:27" s="106" customFormat="1">
      <c r="B81" s="482" t="s">
        <v>179</v>
      </c>
      <c r="C81" s="483"/>
      <c r="D81" s="483"/>
      <c r="E81" s="483"/>
      <c r="F81" s="482"/>
      <c r="G81" s="482"/>
      <c r="H81" s="482"/>
      <c r="I81" s="482"/>
      <c r="J81" s="482"/>
      <c r="K81" s="482"/>
      <c r="L81" s="482"/>
      <c r="M81" s="482"/>
      <c r="N81" s="482"/>
      <c r="O81" s="482"/>
      <c r="P81" s="608"/>
      <c r="Q81" s="101"/>
      <c r="R81" s="101"/>
      <c r="S81" s="101"/>
      <c r="T81" s="101"/>
      <c r="U81" s="101"/>
      <c r="V81" s="101"/>
      <c r="W81" s="101"/>
      <c r="X81" s="101"/>
      <c r="Y81" s="101"/>
      <c r="Z81" s="101"/>
      <c r="AA81" s="101"/>
    </row>
    <row r="82" spans="2:27" s="106" customFormat="1">
      <c r="B82" s="104" t="s">
        <v>206</v>
      </c>
      <c r="C82" s="121">
        <v>71679</v>
      </c>
      <c r="D82" s="121">
        <v>268588</v>
      </c>
      <c r="E82" s="121">
        <v>261786</v>
      </c>
      <c r="F82" s="121">
        <v>287106</v>
      </c>
      <c r="G82" s="121">
        <v>98254</v>
      </c>
      <c r="H82" s="121">
        <v>334067</v>
      </c>
      <c r="I82" s="121">
        <v>344159</v>
      </c>
      <c r="J82" s="121">
        <v>337582</v>
      </c>
      <c r="K82" s="121">
        <v>981588</v>
      </c>
      <c r="L82" s="121">
        <v>709928</v>
      </c>
      <c r="M82" s="121">
        <v>886355</v>
      </c>
      <c r="N82" s="121">
        <v>919444</v>
      </c>
      <c r="O82" s="121">
        <v>96334</v>
      </c>
      <c r="P82" s="601">
        <v>94628</v>
      </c>
      <c r="Q82" s="101"/>
      <c r="R82" s="101"/>
      <c r="S82" s="101"/>
      <c r="T82" s="101"/>
      <c r="U82" s="101"/>
      <c r="V82" s="101"/>
      <c r="W82" s="101"/>
      <c r="X82" s="101"/>
      <c r="Y82" s="101"/>
      <c r="Z82" s="101"/>
      <c r="AA82" s="101"/>
    </row>
    <row r="83" spans="2:27" s="106" customFormat="1">
      <c r="B83" s="104" t="s">
        <v>207</v>
      </c>
      <c r="C83" s="121">
        <v>192368</v>
      </c>
      <c r="D83" s="121">
        <v>182852</v>
      </c>
      <c r="E83" s="121">
        <v>183773</v>
      </c>
      <c r="F83" s="121">
        <v>183474</v>
      </c>
      <c r="G83" s="121">
        <v>197107</v>
      </c>
      <c r="H83" s="121">
        <v>23707</v>
      </c>
      <c r="I83" s="121">
        <v>22436</v>
      </c>
      <c r="J83" s="121">
        <v>15931</v>
      </c>
      <c r="K83" s="121">
        <v>26097</v>
      </c>
      <c r="L83" s="121">
        <v>367508</v>
      </c>
      <c r="M83" s="121">
        <v>371913</v>
      </c>
      <c r="N83" s="121">
        <v>363141</v>
      </c>
      <c r="O83" s="121">
        <v>542316</v>
      </c>
      <c r="P83" s="601">
        <v>217948</v>
      </c>
      <c r="Q83" s="101"/>
      <c r="R83" s="101"/>
      <c r="S83" s="101"/>
      <c r="T83" s="101"/>
      <c r="U83" s="101"/>
      <c r="V83" s="101"/>
      <c r="W83" s="101"/>
      <c r="X83" s="101"/>
      <c r="Y83" s="101"/>
      <c r="Z83" s="101"/>
      <c r="AA83" s="101"/>
    </row>
    <row r="84" spans="2:27" s="106" customFormat="1">
      <c r="B84" s="104" t="s">
        <v>208</v>
      </c>
      <c r="C84" s="121">
        <v>0</v>
      </c>
      <c r="D84" s="121">
        <v>0</v>
      </c>
      <c r="E84" s="121">
        <v>0</v>
      </c>
      <c r="F84" s="121">
        <v>0</v>
      </c>
      <c r="G84" s="121">
        <v>0</v>
      </c>
      <c r="H84" s="121">
        <v>0</v>
      </c>
      <c r="I84" s="121">
        <v>0</v>
      </c>
      <c r="J84" s="121">
        <v>7693</v>
      </c>
      <c r="K84" s="121">
        <v>0</v>
      </c>
      <c r="L84" s="121">
        <v>0</v>
      </c>
      <c r="M84" s="121">
        <v>0</v>
      </c>
      <c r="N84" s="121">
        <v>0</v>
      </c>
      <c r="O84" s="121">
        <v>10601</v>
      </c>
      <c r="P84" s="601">
        <v>8795</v>
      </c>
      <c r="Q84" s="101"/>
      <c r="R84" s="101"/>
      <c r="S84" s="101"/>
      <c r="T84" s="101"/>
      <c r="U84" s="101"/>
      <c r="V84" s="101"/>
      <c r="W84" s="101"/>
      <c r="X84" s="101"/>
      <c r="Y84" s="101"/>
      <c r="Z84" s="101"/>
      <c r="AA84" s="101"/>
    </row>
    <row r="85" spans="2:27" s="106" customFormat="1">
      <c r="B85" s="104" t="s">
        <v>186</v>
      </c>
      <c r="C85" s="121">
        <v>0</v>
      </c>
      <c r="D85" s="121">
        <v>0</v>
      </c>
      <c r="E85" s="121">
        <v>0</v>
      </c>
      <c r="F85" s="121">
        <v>0</v>
      </c>
      <c r="G85" s="121">
        <v>0</v>
      </c>
      <c r="H85" s="121">
        <v>0</v>
      </c>
      <c r="I85" s="121">
        <v>10565</v>
      </c>
      <c r="J85" s="121">
        <v>0</v>
      </c>
      <c r="K85" s="121">
        <v>9772</v>
      </c>
      <c r="L85" s="121">
        <v>9948</v>
      </c>
      <c r="M85" s="121">
        <v>9456</v>
      </c>
      <c r="N85" s="121">
        <v>11179</v>
      </c>
      <c r="O85" s="121">
        <v>0</v>
      </c>
      <c r="P85" s="609" t="s">
        <v>157</v>
      </c>
      <c r="Q85" s="101"/>
      <c r="R85" s="101"/>
      <c r="S85" s="101"/>
      <c r="T85" s="101"/>
      <c r="U85" s="101"/>
      <c r="V85" s="101"/>
      <c r="W85" s="101"/>
      <c r="X85" s="101"/>
      <c r="Y85" s="101"/>
      <c r="Z85" s="101"/>
      <c r="AA85" s="101"/>
    </row>
    <row r="86" spans="2:27" s="106" customFormat="1">
      <c r="B86" s="104" t="s">
        <v>209</v>
      </c>
      <c r="C86" s="121">
        <v>41482</v>
      </c>
      <c r="D86" s="121">
        <v>69923</v>
      </c>
      <c r="E86" s="121">
        <v>49255</v>
      </c>
      <c r="F86" s="121">
        <v>58806</v>
      </c>
      <c r="G86" s="121">
        <v>68022</v>
      </c>
      <c r="H86" s="121">
        <v>88358</v>
      </c>
      <c r="I86" s="121">
        <v>72276</v>
      </c>
      <c r="J86" s="121">
        <v>70721</v>
      </c>
      <c r="K86" s="121">
        <v>72057</v>
      </c>
      <c r="L86" s="121">
        <v>167774</v>
      </c>
      <c r="M86" s="121">
        <v>167858</v>
      </c>
      <c r="N86" s="121">
        <v>139217</v>
      </c>
      <c r="O86" s="121">
        <v>112304</v>
      </c>
      <c r="P86" s="601">
        <v>153346</v>
      </c>
      <c r="Q86" s="101"/>
      <c r="R86" s="101"/>
      <c r="S86" s="101"/>
      <c r="T86" s="101"/>
      <c r="U86" s="101"/>
      <c r="V86" s="101"/>
      <c r="W86" s="101"/>
      <c r="X86" s="101"/>
      <c r="Y86" s="101"/>
      <c r="Z86" s="101"/>
      <c r="AA86" s="101"/>
    </row>
    <row r="87" spans="2:27" s="106" customFormat="1">
      <c r="B87" s="104" t="s">
        <v>210</v>
      </c>
      <c r="C87" s="121">
        <v>30053</v>
      </c>
      <c r="D87" s="121">
        <v>90502</v>
      </c>
      <c r="E87" s="121">
        <v>224543</v>
      </c>
      <c r="F87" s="121">
        <v>389278</v>
      </c>
      <c r="G87" s="121">
        <v>540175</v>
      </c>
      <c r="H87" s="121">
        <v>54382</v>
      </c>
      <c r="I87" s="121">
        <v>163259</v>
      </c>
      <c r="J87" s="121">
        <v>293111</v>
      </c>
      <c r="K87" s="121">
        <v>287386</v>
      </c>
      <c r="L87" s="121">
        <v>92106</v>
      </c>
      <c r="M87" s="121">
        <v>127657</v>
      </c>
      <c r="N87" s="121">
        <v>262320</v>
      </c>
      <c r="O87" s="121">
        <v>478040</v>
      </c>
      <c r="P87" s="601">
        <v>255614</v>
      </c>
      <c r="Q87" s="101"/>
      <c r="R87" s="101"/>
      <c r="S87" s="101"/>
      <c r="T87" s="101"/>
      <c r="U87" s="101"/>
      <c r="V87" s="101"/>
      <c r="W87" s="101"/>
      <c r="X87" s="101"/>
      <c r="Y87" s="101"/>
      <c r="Z87" s="101"/>
      <c r="AA87" s="101"/>
    </row>
    <row r="88" spans="2:27" s="106" customFormat="1">
      <c r="B88" s="104" t="s">
        <v>211</v>
      </c>
      <c r="C88" s="121">
        <v>17540</v>
      </c>
      <c r="D88" s="121">
        <v>57997</v>
      </c>
      <c r="E88" s="121">
        <v>0</v>
      </c>
      <c r="F88" s="121">
        <v>0</v>
      </c>
      <c r="G88" s="121">
        <v>0</v>
      </c>
      <c r="H88" s="121">
        <v>0</v>
      </c>
      <c r="I88" s="121">
        <v>0</v>
      </c>
      <c r="J88" s="121">
        <v>0</v>
      </c>
      <c r="K88" s="121">
        <v>0</v>
      </c>
      <c r="L88" s="121">
        <v>0</v>
      </c>
      <c r="M88" s="121">
        <v>0</v>
      </c>
      <c r="N88" s="121">
        <v>0</v>
      </c>
      <c r="O88" s="121">
        <v>0</v>
      </c>
      <c r="P88" s="601"/>
      <c r="Q88" s="101"/>
      <c r="R88" s="101"/>
      <c r="S88" s="101"/>
      <c r="T88" s="101"/>
      <c r="U88" s="101"/>
      <c r="V88" s="101"/>
      <c r="W88" s="101"/>
      <c r="X88" s="101"/>
      <c r="Y88" s="101"/>
      <c r="Z88" s="101"/>
      <c r="AA88" s="101"/>
    </row>
    <row r="89" spans="2:27" s="106" customFormat="1">
      <c r="B89" s="104" t="s">
        <v>212</v>
      </c>
      <c r="C89" s="121">
        <v>12751</v>
      </c>
      <c r="D89" s="121">
        <v>16550</v>
      </c>
      <c r="E89" s="121">
        <v>32399</v>
      </c>
      <c r="F89" s="121">
        <v>39059</v>
      </c>
      <c r="G89" s="121">
        <v>39260</v>
      </c>
      <c r="H89" s="121">
        <v>40262</v>
      </c>
      <c r="I89" s="121">
        <v>39302</v>
      </c>
      <c r="J89" s="121">
        <v>44878</v>
      </c>
      <c r="K89" s="121">
        <v>45687</v>
      </c>
      <c r="L89" s="121">
        <v>48336</v>
      </c>
      <c r="M89" s="121">
        <v>48970</v>
      </c>
      <c r="N89" s="121">
        <v>52653</v>
      </c>
      <c r="O89" s="121">
        <v>52518</v>
      </c>
      <c r="P89" s="601">
        <v>49457</v>
      </c>
      <c r="Q89" s="101"/>
      <c r="R89" s="101"/>
      <c r="S89" s="101"/>
      <c r="T89" s="101"/>
      <c r="U89" s="101"/>
      <c r="V89" s="101"/>
      <c r="W89" s="101"/>
      <c r="X89" s="101"/>
      <c r="Y89" s="101"/>
      <c r="Z89" s="101"/>
      <c r="AA89" s="101"/>
    </row>
    <row r="90" spans="2:27" s="106" customFormat="1">
      <c r="B90" s="104" t="s">
        <v>213</v>
      </c>
      <c r="C90" s="121">
        <v>139946</v>
      </c>
      <c r="D90" s="121">
        <v>3112</v>
      </c>
      <c r="E90" s="121">
        <v>3111</v>
      </c>
      <c r="F90" s="121">
        <v>5159</v>
      </c>
      <c r="G90" s="121">
        <v>5137</v>
      </c>
      <c r="H90" s="121">
        <v>7835</v>
      </c>
      <c r="I90" s="121">
        <v>7831</v>
      </c>
      <c r="J90" s="121">
        <v>7798</v>
      </c>
      <c r="K90" s="121">
        <v>8411</v>
      </c>
      <c r="L90" s="121">
        <v>102079</v>
      </c>
      <c r="M90" s="121">
        <v>9731</v>
      </c>
      <c r="N90" s="121">
        <v>10102</v>
      </c>
      <c r="O90" s="121">
        <v>10406</v>
      </c>
      <c r="P90" s="601">
        <v>500513</v>
      </c>
      <c r="Q90" s="101"/>
      <c r="R90" s="101"/>
      <c r="S90" s="101"/>
      <c r="T90" s="101"/>
      <c r="U90" s="101"/>
      <c r="V90" s="101"/>
      <c r="W90" s="101"/>
      <c r="X90" s="101"/>
      <c r="Y90" s="101"/>
      <c r="Z90" s="101"/>
      <c r="AA90" s="101"/>
    </row>
    <row r="91" spans="2:27" s="106" customFormat="1">
      <c r="B91" s="104" t="s">
        <v>214</v>
      </c>
      <c r="C91" s="121">
        <v>33610</v>
      </c>
      <c r="D91" s="121">
        <v>36344</v>
      </c>
      <c r="E91" s="121">
        <v>29714</v>
      </c>
      <c r="F91" s="121">
        <v>40457</v>
      </c>
      <c r="G91" s="121">
        <v>42515</v>
      </c>
      <c r="H91" s="121">
        <v>37047</v>
      </c>
      <c r="I91" s="121">
        <v>29156</v>
      </c>
      <c r="J91" s="121">
        <v>38239</v>
      </c>
      <c r="K91" s="121">
        <v>41182</v>
      </c>
      <c r="L91" s="121">
        <v>33341</v>
      </c>
      <c r="M91" s="121">
        <v>26512</v>
      </c>
      <c r="N91" s="121">
        <v>37797</v>
      </c>
      <c r="O91" s="121">
        <v>48833</v>
      </c>
      <c r="P91" s="601">
        <v>45094</v>
      </c>
      <c r="Q91" s="101"/>
      <c r="R91" s="101"/>
      <c r="S91" s="101"/>
      <c r="T91" s="101"/>
      <c r="U91" s="101"/>
      <c r="V91" s="101"/>
      <c r="W91" s="101"/>
      <c r="X91" s="101"/>
      <c r="Y91" s="101"/>
      <c r="Z91" s="101"/>
      <c r="AA91" s="101"/>
    </row>
    <row r="92" spans="2:27">
      <c r="B92" s="104" t="s">
        <v>215</v>
      </c>
      <c r="C92" s="121">
        <v>5495</v>
      </c>
      <c r="D92" s="121">
        <v>2056</v>
      </c>
      <c r="E92" s="121">
        <v>3309</v>
      </c>
      <c r="F92" s="121">
        <v>4655</v>
      </c>
      <c r="G92" s="121">
        <v>3579</v>
      </c>
      <c r="H92" s="121">
        <v>4250</v>
      </c>
      <c r="I92" s="121">
        <v>5103</v>
      </c>
      <c r="J92" s="121">
        <v>4157</v>
      </c>
      <c r="K92" s="121">
        <v>3782</v>
      </c>
      <c r="L92" s="121">
        <v>2173</v>
      </c>
      <c r="M92" s="121">
        <v>2176</v>
      </c>
      <c r="N92" s="121">
        <v>2730</v>
      </c>
      <c r="O92" s="121">
        <v>868</v>
      </c>
      <c r="P92" s="601">
        <v>871</v>
      </c>
    </row>
    <row r="93" spans="2:27" ht="14.15" customHeight="1">
      <c r="B93" s="104" t="s">
        <v>216</v>
      </c>
      <c r="C93" s="121">
        <v>0</v>
      </c>
      <c r="D93" s="121">
        <v>0</v>
      </c>
      <c r="E93" s="121">
        <v>0</v>
      </c>
      <c r="F93" s="121">
        <v>0</v>
      </c>
      <c r="G93" s="121">
        <v>1860</v>
      </c>
      <c r="H93" s="121">
        <v>2480</v>
      </c>
      <c r="I93" s="121">
        <v>2480</v>
      </c>
      <c r="J93" s="121">
        <v>2480</v>
      </c>
      <c r="K93" s="121">
        <v>2480</v>
      </c>
      <c r="L93" s="121">
        <v>2480</v>
      </c>
      <c r="M93" s="121">
        <v>2480</v>
      </c>
      <c r="N93" s="121">
        <v>2480</v>
      </c>
      <c r="O93" s="121">
        <v>2480</v>
      </c>
      <c r="P93" s="601">
        <v>2480</v>
      </c>
    </row>
    <row r="94" spans="2:27" s="106" customFormat="1">
      <c r="B94" s="104" t="s">
        <v>149</v>
      </c>
      <c r="C94" s="121">
        <v>53047</v>
      </c>
      <c r="D94" s="121">
        <v>61180</v>
      </c>
      <c r="E94" s="121">
        <v>57876.328179999997</v>
      </c>
      <c r="F94" s="121">
        <v>16385</v>
      </c>
      <c r="G94" s="121">
        <v>13852</v>
      </c>
      <c r="H94" s="121">
        <v>34310</v>
      </c>
      <c r="I94" s="121">
        <v>27472</v>
      </c>
      <c r="J94" s="121">
        <v>56345</v>
      </c>
      <c r="K94" s="121">
        <v>70150</v>
      </c>
      <c r="L94" s="121">
        <v>80152</v>
      </c>
      <c r="M94" s="121">
        <v>55374</v>
      </c>
      <c r="N94" s="121">
        <v>34641</v>
      </c>
      <c r="O94" s="121">
        <v>45567</v>
      </c>
      <c r="P94" s="601">
        <v>43751</v>
      </c>
      <c r="Q94" s="101"/>
      <c r="R94" s="101"/>
      <c r="S94" s="101"/>
      <c r="T94" s="101"/>
      <c r="U94" s="101"/>
      <c r="V94" s="101"/>
      <c r="W94" s="101"/>
      <c r="X94" s="101"/>
      <c r="Y94" s="101"/>
      <c r="Z94" s="101"/>
      <c r="AA94" s="101"/>
    </row>
    <row r="95" spans="2:27" s="106" customFormat="1">
      <c r="B95" s="484"/>
      <c r="C95" s="485">
        <f>SUM(C82:C94)</f>
        <v>597971</v>
      </c>
      <c r="D95" s="485">
        <f>SUM(D82:D94)</f>
        <v>789104</v>
      </c>
      <c r="E95" s="485">
        <f t="shared" ref="E95:M95" si="19">SUM(E82:E94)</f>
        <v>845766.32817999995</v>
      </c>
      <c r="F95" s="485">
        <f t="shared" si="19"/>
        <v>1024379</v>
      </c>
      <c r="G95" s="485">
        <f t="shared" si="19"/>
        <v>1009761</v>
      </c>
      <c r="H95" s="485">
        <f t="shared" si="19"/>
        <v>626698</v>
      </c>
      <c r="I95" s="485">
        <f t="shared" si="19"/>
        <v>724039</v>
      </c>
      <c r="J95" s="485">
        <f t="shared" si="19"/>
        <v>878935</v>
      </c>
      <c r="K95" s="485">
        <f>SUM(K82:K94)</f>
        <v>1548592</v>
      </c>
      <c r="L95" s="485">
        <f t="shared" si="19"/>
        <v>1615825</v>
      </c>
      <c r="M95" s="485">
        <f t="shared" si="19"/>
        <v>1708482</v>
      </c>
      <c r="N95" s="485">
        <f>SUM(N82:N94)</f>
        <v>1835704</v>
      </c>
      <c r="O95" s="485">
        <f>SUM(O82:O94)</f>
        <v>1400267</v>
      </c>
      <c r="P95" s="605">
        <f>SUM(P82:P94)</f>
        <v>1372497</v>
      </c>
      <c r="Q95" s="101"/>
      <c r="R95" s="101"/>
      <c r="S95" s="101"/>
      <c r="T95" s="101"/>
      <c r="U95" s="101"/>
      <c r="V95" s="101"/>
      <c r="W95" s="101"/>
      <c r="X95" s="101"/>
      <c r="Y95" s="101"/>
      <c r="Z95" s="101"/>
      <c r="AA95" s="101"/>
    </row>
    <row r="96" spans="2:27" s="106" customFormat="1">
      <c r="B96" s="486" t="s">
        <v>191</v>
      </c>
      <c r="C96" s="122"/>
      <c r="D96" s="122"/>
      <c r="E96" s="122"/>
      <c r="F96" s="486"/>
      <c r="G96" s="486"/>
      <c r="H96" s="486"/>
      <c r="I96" s="486"/>
      <c r="J96" s="486"/>
      <c r="K96" s="486"/>
      <c r="L96" s="486"/>
      <c r="M96" s="486"/>
      <c r="N96" s="486"/>
      <c r="O96" s="486"/>
      <c r="P96" s="606"/>
      <c r="Q96" s="101"/>
      <c r="R96" s="101"/>
      <c r="S96" s="101"/>
      <c r="T96" s="101"/>
      <c r="U96" s="101"/>
      <c r="V96" s="101"/>
      <c r="W96" s="101"/>
      <c r="X96" s="101"/>
      <c r="Y96" s="101"/>
      <c r="Z96" s="101"/>
      <c r="AA96" s="101"/>
    </row>
    <row r="97" spans="2:27" s="106" customFormat="1">
      <c r="B97" s="104" t="s">
        <v>206</v>
      </c>
      <c r="C97" s="121">
        <v>432472</v>
      </c>
      <c r="D97" s="121">
        <v>690541</v>
      </c>
      <c r="E97" s="121">
        <v>677182</v>
      </c>
      <c r="F97" s="121">
        <v>657248</v>
      </c>
      <c r="G97" s="121">
        <v>1258364</v>
      </c>
      <c r="H97" s="121">
        <v>1215689</v>
      </c>
      <c r="I97" s="121">
        <v>1273554</v>
      </c>
      <c r="J97" s="121">
        <v>1264267</v>
      </c>
      <c r="K97" s="121">
        <v>660197</v>
      </c>
      <c r="L97" s="121">
        <v>637448</v>
      </c>
      <c r="M97" s="121">
        <v>620011</v>
      </c>
      <c r="N97" s="121">
        <v>1248161</v>
      </c>
      <c r="O97" s="121">
        <v>1228231</v>
      </c>
      <c r="P97" s="601">
        <v>1208301</v>
      </c>
      <c r="Q97" s="101"/>
      <c r="R97" s="101"/>
      <c r="S97" s="101"/>
      <c r="T97" s="101"/>
      <c r="U97" s="101"/>
      <c r="V97" s="101"/>
      <c r="W97" s="101"/>
      <c r="X97" s="101"/>
      <c r="Y97" s="101"/>
      <c r="Z97" s="101"/>
      <c r="AA97" s="101"/>
    </row>
    <row r="98" spans="2:27" s="106" customFormat="1">
      <c r="B98" s="104" t="s">
        <v>207</v>
      </c>
      <c r="C98" s="121">
        <v>313931</v>
      </c>
      <c r="D98" s="121">
        <v>801007</v>
      </c>
      <c r="E98" s="121">
        <v>806204</v>
      </c>
      <c r="F98" s="121">
        <v>1420052</v>
      </c>
      <c r="G98" s="121">
        <v>1437775</v>
      </c>
      <c r="H98" s="121">
        <v>1441504</v>
      </c>
      <c r="I98" s="121">
        <v>1457692</v>
      </c>
      <c r="J98" s="121">
        <v>1475140</v>
      </c>
      <c r="K98" s="121">
        <v>1480445</v>
      </c>
      <c r="L98" s="121">
        <v>1528971</v>
      </c>
      <c r="M98" s="121">
        <v>1554166</v>
      </c>
      <c r="N98" s="121">
        <v>1545549</v>
      </c>
      <c r="O98" s="121">
        <v>1392099</v>
      </c>
      <c r="P98" s="601">
        <v>2961318</v>
      </c>
      <c r="Q98" s="101"/>
      <c r="R98" s="101"/>
      <c r="S98" s="101"/>
      <c r="T98" s="101"/>
      <c r="U98" s="101"/>
      <c r="V98" s="101"/>
      <c r="W98" s="101"/>
      <c r="X98" s="101"/>
      <c r="Y98" s="101"/>
      <c r="Z98" s="101"/>
      <c r="AA98" s="101"/>
    </row>
    <row r="99" spans="2:27" s="106" customFormat="1">
      <c r="B99" s="104" t="s">
        <v>208</v>
      </c>
      <c r="C99" s="121">
        <v>0</v>
      </c>
      <c r="D99" s="121">
        <v>0</v>
      </c>
      <c r="E99" s="121">
        <v>0</v>
      </c>
      <c r="F99" s="121">
        <v>0</v>
      </c>
      <c r="G99" s="121">
        <v>0</v>
      </c>
      <c r="H99" s="121">
        <v>0</v>
      </c>
      <c r="I99" s="121">
        <v>0</v>
      </c>
      <c r="J99" s="121">
        <v>42872</v>
      </c>
      <c r="K99" s="121">
        <v>42449</v>
      </c>
      <c r="L99" s="121">
        <v>39948</v>
      </c>
      <c r="M99" s="121">
        <v>47616</v>
      </c>
      <c r="N99" s="121">
        <v>45547</v>
      </c>
      <c r="O99" s="121">
        <v>46627</v>
      </c>
      <c r="P99" s="601">
        <v>44742</v>
      </c>
      <c r="Q99" s="101"/>
      <c r="R99" s="101"/>
      <c r="S99" s="101"/>
      <c r="T99" s="101"/>
      <c r="U99" s="101"/>
      <c r="V99" s="101"/>
      <c r="W99" s="101"/>
      <c r="X99" s="101"/>
      <c r="Y99" s="101"/>
      <c r="Z99" s="101"/>
      <c r="AA99" s="101"/>
    </row>
    <row r="100" spans="2:27" s="106" customFormat="1">
      <c r="B100" s="104" t="s">
        <v>186</v>
      </c>
      <c r="C100" s="121">
        <v>0</v>
      </c>
      <c r="D100" s="121">
        <v>0</v>
      </c>
      <c r="E100" s="121">
        <v>0</v>
      </c>
      <c r="F100" s="121">
        <v>0</v>
      </c>
      <c r="G100" s="121">
        <v>0</v>
      </c>
      <c r="H100" s="121">
        <v>0</v>
      </c>
      <c r="I100" s="121">
        <v>9984</v>
      </c>
      <c r="J100" s="121">
        <v>2760</v>
      </c>
      <c r="K100" s="121">
        <v>0</v>
      </c>
      <c r="L100" s="121">
        <v>135</v>
      </c>
      <c r="M100" s="121">
        <v>0</v>
      </c>
      <c r="N100" s="121">
        <v>0</v>
      </c>
      <c r="O100" s="121">
        <v>0</v>
      </c>
      <c r="P100" s="601" t="s">
        <v>157</v>
      </c>
      <c r="Q100" s="101"/>
      <c r="R100" s="101"/>
      <c r="S100" s="101"/>
      <c r="T100" s="101"/>
      <c r="U100" s="101"/>
      <c r="V100" s="101"/>
      <c r="W100" s="101"/>
      <c r="X100" s="101"/>
      <c r="Y100" s="101"/>
      <c r="Z100" s="101"/>
      <c r="AA100" s="101"/>
    </row>
    <row r="101" spans="2:27" s="106" customFormat="1">
      <c r="B101" s="104" t="s">
        <v>985</v>
      </c>
      <c r="C101" s="121"/>
      <c r="D101" s="121"/>
      <c r="E101" s="121"/>
      <c r="F101" s="121"/>
      <c r="G101" s="121"/>
      <c r="H101" s="121"/>
      <c r="I101" s="121"/>
      <c r="J101" s="121"/>
      <c r="K101" s="121"/>
      <c r="L101" s="121"/>
      <c r="M101" s="121"/>
      <c r="N101" s="121"/>
      <c r="O101" s="121"/>
      <c r="P101" s="601">
        <v>381977</v>
      </c>
      <c r="Q101" s="101"/>
      <c r="R101" s="101"/>
      <c r="S101" s="101"/>
      <c r="T101" s="101"/>
      <c r="U101" s="101"/>
      <c r="V101" s="101"/>
      <c r="W101" s="101"/>
      <c r="X101" s="101"/>
      <c r="Y101" s="101"/>
      <c r="Z101" s="101"/>
      <c r="AA101" s="101"/>
    </row>
    <row r="102" spans="2:27" s="106" customFormat="1">
      <c r="B102" s="104" t="s">
        <v>211</v>
      </c>
      <c r="C102" s="121">
        <v>119857</v>
      </c>
      <c r="D102" s="121">
        <v>0</v>
      </c>
      <c r="E102" s="121">
        <v>0</v>
      </c>
      <c r="F102" s="121">
        <v>0</v>
      </c>
      <c r="G102" s="121">
        <v>102672</v>
      </c>
      <c r="H102" s="121">
        <v>0</v>
      </c>
      <c r="I102" s="121">
        <v>0</v>
      </c>
      <c r="J102" s="121">
        <v>0</v>
      </c>
      <c r="K102" s="121">
        <v>0</v>
      </c>
      <c r="L102" s="121">
        <v>0</v>
      </c>
      <c r="M102" s="121">
        <v>0</v>
      </c>
      <c r="N102" s="121">
        <v>0</v>
      </c>
      <c r="O102" s="121">
        <v>0</v>
      </c>
      <c r="P102" s="601">
        <v>0</v>
      </c>
      <c r="Q102" s="101"/>
      <c r="R102" s="101"/>
      <c r="S102" s="101"/>
      <c r="T102" s="101"/>
      <c r="U102" s="101"/>
      <c r="V102" s="101"/>
      <c r="W102" s="101"/>
      <c r="X102" s="101"/>
      <c r="Y102" s="101"/>
      <c r="Z102" s="101"/>
      <c r="AA102" s="101"/>
    </row>
    <row r="103" spans="2:27" s="106" customFormat="1">
      <c r="B103" s="104" t="s">
        <v>217</v>
      </c>
      <c r="C103" s="121">
        <v>989445</v>
      </c>
      <c r="D103" s="121">
        <v>1147381</v>
      </c>
      <c r="E103" s="121">
        <v>1124479</v>
      </c>
      <c r="F103" s="121">
        <v>1104911</v>
      </c>
      <c r="G103" s="121">
        <v>2343209</v>
      </c>
      <c r="H103" s="121">
        <v>1176566</v>
      </c>
      <c r="I103" s="121">
        <v>1177627</v>
      </c>
      <c r="J103" s="121">
        <v>1197183</v>
      </c>
      <c r="K103" s="121">
        <v>1192371</v>
      </c>
      <c r="L103" s="121">
        <v>1185323</v>
      </c>
      <c r="M103" s="121">
        <v>1179839</v>
      </c>
      <c r="N103" s="121">
        <v>1264433</v>
      </c>
      <c r="O103" s="121">
        <v>1256820</v>
      </c>
      <c r="P103" s="601">
        <v>1316722</v>
      </c>
      <c r="Q103" s="101"/>
      <c r="R103" s="101"/>
      <c r="S103" s="101"/>
      <c r="T103" s="101"/>
      <c r="U103" s="101"/>
      <c r="V103" s="101"/>
      <c r="W103" s="101"/>
      <c r="X103" s="101"/>
      <c r="Y103" s="101"/>
      <c r="Z103" s="101"/>
      <c r="AA103" s="101"/>
    </row>
    <row r="104" spans="2:27" s="106" customFormat="1">
      <c r="B104" s="104" t="s">
        <v>196</v>
      </c>
      <c r="C104" s="121">
        <v>2106603</v>
      </c>
      <c r="D104" s="121">
        <v>2418125</v>
      </c>
      <c r="E104" s="121">
        <v>2347207</v>
      </c>
      <c r="F104" s="121">
        <v>2283080</v>
      </c>
      <c r="G104" s="121">
        <v>1125728</v>
      </c>
      <c r="H104" s="121">
        <v>2603438</v>
      </c>
      <c r="I104" s="121">
        <v>2638945</v>
      </c>
      <c r="J104" s="121">
        <v>2699617</v>
      </c>
      <c r="K104" s="121">
        <v>2686190</v>
      </c>
      <c r="L104" s="121">
        <v>2673970</v>
      </c>
      <c r="M104" s="121">
        <v>2742928</v>
      </c>
      <c r="N104" s="121">
        <v>3012528</v>
      </c>
      <c r="O104" s="121">
        <v>2951233</v>
      </c>
      <c r="P104" s="601">
        <v>2952855</v>
      </c>
      <c r="Q104" s="101"/>
      <c r="R104" s="101"/>
      <c r="S104" s="101"/>
      <c r="T104" s="101"/>
      <c r="U104" s="101"/>
      <c r="V104" s="101"/>
      <c r="W104" s="101"/>
      <c r="X104" s="101"/>
      <c r="Y104" s="101"/>
      <c r="Z104" s="101"/>
      <c r="AA104" s="101"/>
    </row>
    <row r="105" spans="2:27" s="106" customFormat="1">
      <c r="B105" s="104" t="s">
        <v>212</v>
      </c>
      <c r="C105" s="121">
        <v>32509</v>
      </c>
      <c r="D105" s="121">
        <v>54250</v>
      </c>
      <c r="E105" s="121">
        <v>40848</v>
      </c>
      <c r="F105" s="121">
        <v>42962</v>
      </c>
      <c r="G105" s="121">
        <v>20333</v>
      </c>
      <c r="H105" s="121">
        <v>35925</v>
      </c>
      <c r="I105" s="121">
        <v>39380</v>
      </c>
      <c r="J105" s="121">
        <v>37756</v>
      </c>
      <c r="K105" s="121">
        <v>41836</v>
      </c>
      <c r="L105" s="121">
        <v>41236</v>
      </c>
      <c r="M105" s="121">
        <v>34179</v>
      </c>
      <c r="N105" s="121">
        <v>40742</v>
      </c>
      <c r="O105" s="121">
        <v>42419</v>
      </c>
      <c r="P105" s="601">
        <v>48065</v>
      </c>
      <c r="Q105" s="101"/>
      <c r="R105" s="101"/>
      <c r="S105" s="101"/>
      <c r="T105" s="101"/>
      <c r="U105" s="101"/>
      <c r="V105" s="101"/>
      <c r="W105" s="101"/>
      <c r="X105" s="101"/>
      <c r="Y105" s="101"/>
      <c r="Z105" s="101"/>
      <c r="AA105" s="101"/>
    </row>
    <row r="106" spans="2:27">
      <c r="B106" s="104" t="s">
        <v>214</v>
      </c>
      <c r="C106" s="121">
        <v>153035</v>
      </c>
      <c r="D106" s="121">
        <v>121553</v>
      </c>
      <c r="E106" s="121">
        <v>125321</v>
      </c>
      <c r="F106" s="121">
        <v>113686</v>
      </c>
      <c r="G106" s="121">
        <v>34827</v>
      </c>
      <c r="H106" s="121">
        <v>90708</v>
      </c>
      <c r="I106" s="121">
        <v>91036</v>
      </c>
      <c r="J106" s="121">
        <v>92755</v>
      </c>
      <c r="K106" s="121">
        <v>86780</v>
      </c>
      <c r="L106" s="121">
        <v>62367</v>
      </c>
      <c r="M106" s="121">
        <v>59509</v>
      </c>
      <c r="N106" s="121">
        <v>58816</v>
      </c>
      <c r="O106" s="121">
        <v>83168</v>
      </c>
      <c r="P106" s="601">
        <v>88682</v>
      </c>
    </row>
    <row r="107" spans="2:27" ht="18" customHeight="1">
      <c r="B107" s="104" t="s">
        <v>218</v>
      </c>
      <c r="C107" s="121">
        <v>0</v>
      </c>
      <c r="D107" s="121">
        <v>24053</v>
      </c>
      <c r="E107" s="121">
        <v>0</v>
      </c>
      <c r="F107" s="121">
        <v>0</v>
      </c>
      <c r="G107" s="121">
        <v>0</v>
      </c>
      <c r="H107" s="121">
        <v>19093</v>
      </c>
      <c r="I107" s="121">
        <v>18473</v>
      </c>
      <c r="J107" s="121">
        <v>17853</v>
      </c>
      <c r="K107" s="121">
        <v>17232</v>
      </c>
      <c r="L107" s="121">
        <v>16612</v>
      </c>
      <c r="M107" s="121">
        <v>15992</v>
      </c>
      <c r="N107" s="121">
        <v>15372</v>
      </c>
      <c r="O107" s="121">
        <v>14752</v>
      </c>
      <c r="P107" s="601">
        <v>14132</v>
      </c>
    </row>
    <row r="108" spans="2:27" s="106" customFormat="1">
      <c r="B108" s="104" t="s">
        <v>149</v>
      </c>
      <c r="C108" s="121">
        <v>24053</v>
      </c>
      <c r="D108" s="121">
        <v>6503</v>
      </c>
      <c r="E108" s="121">
        <v>27454.67182</v>
      </c>
      <c r="F108" s="121">
        <v>53841</v>
      </c>
      <c r="G108" s="121">
        <v>34532</v>
      </c>
      <c r="H108" s="121">
        <v>33078</v>
      </c>
      <c r="I108" s="121">
        <v>33602</v>
      </c>
      <c r="J108" s="121">
        <v>34572</v>
      </c>
      <c r="K108" s="121">
        <v>35152</v>
      </c>
      <c r="L108" s="121">
        <v>35652</v>
      </c>
      <c r="M108" s="121">
        <v>46714</v>
      </c>
      <c r="N108" s="121">
        <v>48201</v>
      </c>
      <c r="O108" s="121">
        <v>93739</v>
      </c>
      <c r="P108" s="601">
        <v>77625</v>
      </c>
      <c r="Q108" s="101"/>
      <c r="R108" s="101"/>
      <c r="S108" s="101"/>
      <c r="T108" s="101"/>
      <c r="U108" s="101"/>
      <c r="V108" s="101"/>
      <c r="W108" s="101"/>
      <c r="X108" s="101"/>
      <c r="Y108" s="101"/>
      <c r="Z108" s="101"/>
      <c r="AA108" s="101"/>
    </row>
    <row r="109" spans="2:27" ht="22" customHeight="1">
      <c r="B109" s="484" t="s">
        <v>219</v>
      </c>
      <c r="C109" s="485">
        <f>SUM(C97:C108)</f>
        <v>4171905</v>
      </c>
      <c r="D109" s="485">
        <f>SUM(D97:D108)</f>
        <v>5263413</v>
      </c>
      <c r="E109" s="485">
        <f t="shared" ref="E109:M109" si="20">SUM(E97:E108)</f>
        <v>5148695.6718199998</v>
      </c>
      <c r="F109" s="491">
        <f t="shared" si="20"/>
        <v>5675780</v>
      </c>
      <c r="G109" s="491">
        <f t="shared" si="20"/>
        <v>6357440</v>
      </c>
      <c r="H109" s="491">
        <f t="shared" si="20"/>
        <v>6616001</v>
      </c>
      <c r="I109" s="491">
        <f t="shared" si="20"/>
        <v>6740293</v>
      </c>
      <c r="J109" s="491">
        <f t="shared" si="20"/>
        <v>6864775</v>
      </c>
      <c r="K109" s="491">
        <f>SUM(K97:K108)</f>
        <v>6242652</v>
      </c>
      <c r="L109" s="491">
        <f t="shared" si="20"/>
        <v>6221662</v>
      </c>
      <c r="M109" s="491">
        <f t="shared" si="20"/>
        <v>6300954</v>
      </c>
      <c r="N109" s="491">
        <f>SUM(N97:N108)</f>
        <v>7279349</v>
      </c>
      <c r="O109" s="491">
        <f>SUM(O97:O108)</f>
        <v>7109088</v>
      </c>
      <c r="P109" s="605">
        <f>SUM(P97:P108)</f>
        <v>9094419</v>
      </c>
    </row>
    <row r="110" spans="2:27">
      <c r="B110" s="106"/>
      <c r="C110" s="119"/>
      <c r="D110" s="119"/>
      <c r="E110" s="487"/>
      <c r="F110" s="106"/>
      <c r="G110" s="106"/>
      <c r="H110" s="106"/>
      <c r="I110" s="106"/>
      <c r="J110" s="106"/>
      <c r="K110" s="106"/>
      <c r="L110" s="106"/>
      <c r="M110" s="106"/>
      <c r="N110" s="106"/>
      <c r="O110" s="106"/>
    </row>
    <row r="111" spans="2:27" s="106" customFormat="1">
      <c r="B111" s="104" t="s">
        <v>175</v>
      </c>
      <c r="C111" s="121">
        <v>178733</v>
      </c>
      <c r="D111" s="121">
        <v>214939</v>
      </c>
      <c r="E111" s="121">
        <v>201431</v>
      </c>
      <c r="F111" s="121">
        <v>212706</v>
      </c>
      <c r="G111" s="121">
        <v>226286</v>
      </c>
      <c r="H111" s="121">
        <v>230878</v>
      </c>
      <c r="I111" s="121">
        <v>282713</v>
      </c>
      <c r="J111" s="121">
        <v>287177</v>
      </c>
      <c r="K111" s="121">
        <v>273453</v>
      </c>
      <c r="L111" s="121">
        <v>1967288</v>
      </c>
      <c r="M111" s="121">
        <v>502442</v>
      </c>
      <c r="N111" s="121">
        <v>369210</v>
      </c>
      <c r="O111" s="121">
        <v>327872</v>
      </c>
      <c r="P111" s="601" t="s">
        <v>157</v>
      </c>
      <c r="Q111" s="101"/>
      <c r="R111" s="101"/>
      <c r="S111" s="101"/>
      <c r="T111" s="101"/>
      <c r="U111" s="101"/>
      <c r="V111" s="101"/>
      <c r="W111" s="101"/>
      <c r="X111" s="101"/>
      <c r="Y111" s="101"/>
      <c r="Z111" s="101"/>
      <c r="AA111" s="101"/>
    </row>
    <row r="112" spans="2:27" s="106" customFormat="1">
      <c r="B112" s="492"/>
      <c r="C112" s="493"/>
      <c r="D112" s="493"/>
      <c r="E112" s="494"/>
      <c r="F112" s="493"/>
      <c r="G112" s="493"/>
      <c r="H112" s="493"/>
      <c r="I112" s="492"/>
      <c r="J112" s="493"/>
      <c r="K112" s="493"/>
      <c r="L112" s="493"/>
      <c r="M112" s="493"/>
      <c r="N112" s="493"/>
      <c r="O112" s="493"/>
      <c r="P112" s="610"/>
      <c r="Q112" s="101"/>
      <c r="R112" s="101"/>
      <c r="S112" s="101"/>
      <c r="T112" s="101"/>
      <c r="U112" s="101"/>
      <c r="V112" s="101"/>
      <c r="W112" s="101"/>
      <c r="X112" s="101"/>
      <c r="Y112" s="101"/>
      <c r="Z112" s="101"/>
      <c r="AA112" s="101"/>
    </row>
    <row r="113" spans="1:27" s="106" customFormat="1">
      <c r="B113" s="486" t="s">
        <v>220</v>
      </c>
      <c r="C113" s="122"/>
      <c r="D113" s="122"/>
      <c r="E113" s="122"/>
      <c r="F113" s="122"/>
      <c r="G113" s="122"/>
      <c r="H113" s="122"/>
      <c r="I113" s="486"/>
      <c r="J113" s="122"/>
      <c r="K113" s="122"/>
      <c r="L113" s="122"/>
      <c r="M113" s="122"/>
      <c r="N113" s="122"/>
      <c r="O113" s="122"/>
      <c r="P113" s="606"/>
      <c r="Q113" s="101"/>
      <c r="R113" s="101"/>
      <c r="S113" s="101"/>
      <c r="T113" s="101"/>
      <c r="U113" s="101"/>
      <c r="V113" s="101"/>
      <c r="W113" s="101"/>
      <c r="X113" s="101"/>
      <c r="Y113" s="101"/>
      <c r="Z113" s="101"/>
      <c r="AA113" s="101"/>
    </row>
    <row r="114" spans="1:27" s="106" customFormat="1">
      <c r="B114" s="104" t="s">
        <v>221</v>
      </c>
      <c r="C114" s="121">
        <v>2372437</v>
      </c>
      <c r="D114" s="121">
        <v>3590020</v>
      </c>
      <c r="E114" s="121">
        <v>3590020</v>
      </c>
      <c r="F114" s="121">
        <v>3590020</v>
      </c>
      <c r="G114" s="121">
        <v>3590020</v>
      </c>
      <c r="H114" s="121">
        <v>3590020</v>
      </c>
      <c r="I114" s="121">
        <v>3590020</v>
      </c>
      <c r="J114" s="121">
        <v>3590020</v>
      </c>
      <c r="K114" s="121">
        <v>3590020</v>
      </c>
      <c r="L114" s="121">
        <v>3590020</v>
      </c>
      <c r="M114" s="121">
        <v>3590020</v>
      </c>
      <c r="N114" s="121">
        <v>3590020</v>
      </c>
      <c r="O114" s="121">
        <v>3590020</v>
      </c>
      <c r="P114" s="601">
        <v>3590020</v>
      </c>
      <c r="Q114" s="101"/>
      <c r="R114" s="101"/>
      <c r="S114" s="101"/>
      <c r="T114" s="101"/>
      <c r="U114" s="101"/>
      <c r="V114" s="101"/>
      <c r="W114" s="101"/>
      <c r="X114" s="101"/>
      <c r="Y114" s="101"/>
      <c r="Z114" s="101"/>
      <c r="AA114" s="101"/>
    </row>
    <row r="115" spans="1:27" s="106" customFormat="1">
      <c r="B115" s="104" t="s">
        <v>222</v>
      </c>
      <c r="C115" s="121">
        <v>1217583</v>
      </c>
      <c r="D115" s="121">
        <v>666</v>
      </c>
      <c r="E115" s="121">
        <v>666</v>
      </c>
      <c r="F115" s="121">
        <v>666</v>
      </c>
      <c r="G115" s="121">
        <v>666</v>
      </c>
      <c r="H115" s="121">
        <v>666</v>
      </c>
      <c r="I115" s="121">
        <v>666</v>
      </c>
      <c r="J115" s="121">
        <v>666</v>
      </c>
      <c r="K115" s="121">
        <v>666</v>
      </c>
      <c r="L115" s="121">
        <v>666</v>
      </c>
      <c r="M115" s="121">
        <v>666</v>
      </c>
      <c r="N115" s="121">
        <v>666</v>
      </c>
      <c r="O115" s="121">
        <v>666</v>
      </c>
      <c r="P115" s="601">
        <v>666</v>
      </c>
      <c r="Q115" s="101"/>
      <c r="R115" s="101"/>
      <c r="S115" s="101"/>
      <c r="T115" s="101"/>
      <c r="U115" s="101"/>
      <c r="V115" s="101"/>
      <c r="W115" s="101"/>
      <c r="X115" s="101"/>
      <c r="Y115" s="101"/>
      <c r="Z115" s="101"/>
      <c r="AA115" s="101"/>
    </row>
    <row r="116" spans="1:27" s="106" customFormat="1">
      <c r="B116" s="104" t="s">
        <v>223</v>
      </c>
      <c r="C116" s="121">
        <v>6527704</v>
      </c>
      <c r="D116" s="121">
        <v>7394031</v>
      </c>
      <c r="E116" s="121">
        <v>7394031</v>
      </c>
      <c r="F116" s="121">
        <v>6549032</v>
      </c>
      <c r="G116" s="121">
        <v>6549032</v>
      </c>
      <c r="H116" s="121">
        <v>7404769</v>
      </c>
      <c r="I116" s="121">
        <v>7404769</v>
      </c>
      <c r="J116" s="121">
        <v>7404769</v>
      </c>
      <c r="K116" s="121">
        <v>7404769</v>
      </c>
      <c r="L116" s="121">
        <v>8172442</v>
      </c>
      <c r="M116" s="121">
        <v>8172442</v>
      </c>
      <c r="N116" s="121">
        <v>8172442</v>
      </c>
      <c r="O116" s="121">
        <v>8172442</v>
      </c>
      <c r="P116" s="601">
        <v>9863692</v>
      </c>
      <c r="Q116" s="101"/>
      <c r="R116" s="101"/>
      <c r="S116" s="101"/>
      <c r="T116" s="101"/>
      <c r="U116" s="101"/>
      <c r="V116" s="101"/>
      <c r="W116" s="101"/>
      <c r="X116" s="101"/>
      <c r="Y116" s="101"/>
      <c r="Z116" s="101"/>
      <c r="AA116" s="101"/>
    </row>
    <row r="117" spans="1:27" s="106" customFormat="1">
      <c r="B117" s="104" t="s">
        <v>986</v>
      </c>
      <c r="C117" s="121"/>
      <c r="D117" s="121"/>
      <c r="E117" s="121"/>
      <c r="F117" s="121"/>
      <c r="G117" s="121"/>
      <c r="H117" s="121"/>
      <c r="I117" s="121"/>
      <c r="J117" s="121"/>
      <c r="K117" s="121"/>
      <c r="L117" s="121"/>
      <c r="M117" s="121"/>
      <c r="N117" s="121"/>
      <c r="O117" s="121"/>
      <c r="P117" s="121">
        <v>-364659</v>
      </c>
      <c r="Q117" s="101"/>
      <c r="R117" s="101"/>
      <c r="S117" s="101"/>
      <c r="T117" s="101"/>
      <c r="U117" s="101"/>
      <c r="V117" s="101"/>
      <c r="W117" s="101"/>
      <c r="X117" s="101"/>
      <c r="Y117" s="101"/>
      <c r="Z117" s="101"/>
      <c r="AA117" s="101"/>
    </row>
    <row r="118" spans="1:27" s="106" customFormat="1">
      <c r="B118" s="104" t="s">
        <v>224</v>
      </c>
      <c r="C118" s="121">
        <v>0</v>
      </c>
      <c r="D118" s="121">
        <v>0</v>
      </c>
      <c r="E118" s="121">
        <v>236948</v>
      </c>
      <c r="F118" s="121">
        <v>482122</v>
      </c>
      <c r="G118" s="121">
        <v>1173923</v>
      </c>
      <c r="H118" s="121">
        <v>73192</v>
      </c>
      <c r="I118" s="121">
        <v>73389</v>
      </c>
      <c r="J118" s="121">
        <v>70369</v>
      </c>
      <c r="K118" s="121">
        <v>77405</v>
      </c>
      <c r="L118" s="121">
        <v>31191</v>
      </c>
      <c r="M118" s="121">
        <v>63630</v>
      </c>
      <c r="N118" s="121">
        <v>62841</v>
      </c>
      <c r="O118" s="121">
        <v>53225</v>
      </c>
      <c r="P118" s="601">
        <v>140114</v>
      </c>
      <c r="Q118" s="101"/>
      <c r="R118" s="101"/>
      <c r="S118" s="101"/>
      <c r="T118" s="101"/>
      <c r="U118" s="101"/>
      <c r="V118" s="101"/>
      <c r="W118" s="101"/>
      <c r="X118" s="101"/>
      <c r="Y118" s="101"/>
      <c r="Z118" s="101"/>
      <c r="AA118" s="101"/>
    </row>
    <row r="119" spans="1:27">
      <c r="B119" s="104" t="s">
        <v>225</v>
      </c>
      <c r="C119" s="121">
        <v>0</v>
      </c>
      <c r="D119" s="121">
        <v>0</v>
      </c>
      <c r="E119" s="121">
        <v>0</v>
      </c>
      <c r="F119" s="121">
        <v>0</v>
      </c>
      <c r="G119" s="121">
        <v>0</v>
      </c>
      <c r="H119" s="121">
        <v>0</v>
      </c>
      <c r="I119" s="121">
        <v>353512</v>
      </c>
      <c r="J119" s="121">
        <v>811826</v>
      </c>
      <c r="K119" s="121">
        <v>876789</v>
      </c>
      <c r="L119" s="121">
        <v>0</v>
      </c>
      <c r="M119" s="121">
        <v>392831</v>
      </c>
      <c r="N119" s="121">
        <v>1121337</v>
      </c>
      <c r="O119" s="121">
        <v>1514967</v>
      </c>
      <c r="P119" s="601">
        <v>524450</v>
      </c>
    </row>
    <row r="120" spans="1:27">
      <c r="B120" s="104" t="s">
        <v>226</v>
      </c>
      <c r="C120" s="121">
        <v>666</v>
      </c>
      <c r="D120" s="121">
        <v>0</v>
      </c>
      <c r="E120" s="121">
        <v>0</v>
      </c>
      <c r="F120" s="121">
        <v>0</v>
      </c>
      <c r="G120" s="121">
        <v>0</v>
      </c>
      <c r="H120" s="121">
        <v>0</v>
      </c>
      <c r="I120" s="121">
        <v>0</v>
      </c>
      <c r="J120" s="121">
        <v>0</v>
      </c>
      <c r="K120" s="121">
        <v>0</v>
      </c>
      <c r="L120" s="121">
        <v>0</v>
      </c>
      <c r="M120" s="121">
        <v>0</v>
      </c>
      <c r="N120" s="121">
        <v>0</v>
      </c>
      <c r="O120" s="121">
        <v>0</v>
      </c>
      <c r="P120" s="601" t="s">
        <v>157</v>
      </c>
    </row>
    <row r="121" spans="1:27">
      <c r="B121" s="484" t="s">
        <v>227</v>
      </c>
      <c r="C121" s="495">
        <f t="shared" ref="C121:O121" si="21">SUM(C111:C120)</f>
        <v>10297123</v>
      </c>
      <c r="D121" s="495">
        <f t="shared" si="21"/>
        <v>11199656</v>
      </c>
      <c r="E121" s="495">
        <f t="shared" si="21"/>
        <v>11423096</v>
      </c>
      <c r="F121" s="495">
        <f t="shared" si="21"/>
        <v>10834546</v>
      </c>
      <c r="G121" s="495">
        <f t="shared" si="21"/>
        <v>11539927</v>
      </c>
      <c r="H121" s="495">
        <f t="shared" si="21"/>
        <v>11299525</v>
      </c>
      <c r="I121" s="495">
        <f t="shared" si="21"/>
        <v>11705069</v>
      </c>
      <c r="J121" s="495">
        <f t="shared" si="21"/>
        <v>12164827</v>
      </c>
      <c r="K121" s="495">
        <f t="shared" si="21"/>
        <v>12223102</v>
      </c>
      <c r="L121" s="495">
        <f>SUM(L114:L120)</f>
        <v>11794319</v>
      </c>
      <c r="M121" s="495">
        <f t="shared" si="21"/>
        <v>12722031</v>
      </c>
      <c r="N121" s="495">
        <f t="shared" si="21"/>
        <v>13316516</v>
      </c>
      <c r="O121" s="495">
        <f t="shared" si="21"/>
        <v>13659192</v>
      </c>
      <c r="P121" s="605">
        <f>SUM(P114:P120)</f>
        <v>13754283</v>
      </c>
    </row>
    <row r="122" spans="1:27" s="106" customFormat="1">
      <c r="A122" s="506"/>
      <c r="B122" s="628" t="s">
        <v>988</v>
      </c>
      <c r="C122" s="611"/>
      <c r="D122" s="611"/>
      <c r="E122" s="611"/>
      <c r="F122" s="611"/>
      <c r="G122" s="611"/>
      <c r="H122" s="611"/>
      <c r="I122" s="611"/>
      <c r="J122" s="611"/>
      <c r="K122" s="611"/>
      <c r="L122" s="121">
        <v>1967288</v>
      </c>
      <c r="M122" s="611"/>
      <c r="N122" s="611"/>
      <c r="O122" s="612"/>
      <c r="P122" s="498">
        <v>371159</v>
      </c>
      <c r="Q122" s="101"/>
      <c r="S122" s="101"/>
      <c r="T122" s="101"/>
      <c r="U122" s="101"/>
      <c r="V122" s="101"/>
      <c r="W122" s="101"/>
      <c r="X122" s="101"/>
      <c r="Y122" s="101"/>
      <c r="Z122" s="101"/>
      <c r="AA122" s="101"/>
    </row>
    <row r="123" spans="1:27">
      <c r="B123" s="484" t="s">
        <v>228</v>
      </c>
      <c r="C123" s="495">
        <f>SUM(C121+C109+C95)</f>
        <v>15066999</v>
      </c>
      <c r="D123" s="495">
        <f>SUM(D121+D109+D95)</f>
        <v>17252173</v>
      </c>
      <c r="E123" s="495">
        <f t="shared" ref="E123:O123" si="22">SUM(E121+E109+E95)</f>
        <v>17417558</v>
      </c>
      <c r="F123" s="495">
        <f t="shared" si="22"/>
        <v>17534705</v>
      </c>
      <c r="G123" s="495">
        <f t="shared" si="22"/>
        <v>18907128</v>
      </c>
      <c r="H123" s="495">
        <f t="shared" si="22"/>
        <v>18542224</v>
      </c>
      <c r="I123" s="495">
        <f t="shared" si="22"/>
        <v>19169401</v>
      </c>
      <c r="J123" s="495">
        <f t="shared" si="22"/>
        <v>19908537</v>
      </c>
      <c r="K123" s="495">
        <f>SUM(K121+K109+K95)</f>
        <v>20014346</v>
      </c>
      <c r="L123" s="495">
        <f>SUM(L121+L122+L109+L95)</f>
        <v>21599094</v>
      </c>
      <c r="M123" s="495">
        <f t="shared" si="22"/>
        <v>20731467</v>
      </c>
      <c r="N123" s="495">
        <f t="shared" si="22"/>
        <v>22431569</v>
      </c>
      <c r="O123" s="495">
        <f t="shared" si="22"/>
        <v>22168547</v>
      </c>
      <c r="P123" s="605">
        <f>SUM(P121+P109+P95+P122)</f>
        <v>24592358</v>
      </c>
    </row>
    <row r="124" spans="1:27">
      <c r="B124" s="106"/>
      <c r="C124" s="106"/>
      <c r="D124" s="106"/>
      <c r="E124" s="106"/>
      <c r="F124" s="106"/>
      <c r="G124" s="106"/>
      <c r="H124" s="106"/>
      <c r="I124" s="106"/>
      <c r="J124" s="106"/>
      <c r="K124" s="106"/>
      <c r="L124" s="106"/>
      <c r="M124" s="106"/>
      <c r="N124" s="106"/>
      <c r="O124" s="106"/>
    </row>
    <row r="125" spans="1:27">
      <c r="B125" s="106"/>
      <c r="C125" s="106"/>
      <c r="D125" s="106"/>
      <c r="E125" s="106"/>
      <c r="F125" s="106"/>
      <c r="G125" s="106"/>
      <c r="H125" s="106"/>
      <c r="I125" s="106"/>
      <c r="J125" s="106"/>
      <c r="K125" s="106"/>
      <c r="L125" s="106"/>
      <c r="M125" s="106"/>
      <c r="N125" s="106"/>
      <c r="O125" s="106"/>
    </row>
    <row r="126" spans="1:27" ht="15" customHeight="1">
      <c r="B126" s="12" t="s">
        <v>229</v>
      </c>
      <c r="C126" s="106"/>
      <c r="D126" s="106"/>
      <c r="E126" s="106"/>
      <c r="F126" s="106"/>
      <c r="G126" s="106"/>
      <c r="H126" s="106"/>
      <c r="I126" s="106"/>
      <c r="J126" s="106"/>
      <c r="K126" s="106"/>
      <c r="L126" s="106"/>
      <c r="M126" s="106"/>
      <c r="N126" s="106"/>
      <c r="O126" s="106"/>
    </row>
    <row r="127" spans="1:27" ht="15">
      <c r="B127" s="14" t="s">
        <v>132</v>
      </c>
      <c r="C127" s="106"/>
      <c r="D127" s="106"/>
      <c r="E127" s="106"/>
      <c r="F127" s="106"/>
      <c r="G127" s="106"/>
      <c r="H127" s="106"/>
      <c r="I127" s="106"/>
      <c r="J127" s="106"/>
      <c r="K127" s="106"/>
      <c r="L127" s="106"/>
      <c r="M127" s="106"/>
      <c r="N127" s="106"/>
      <c r="O127" s="106"/>
    </row>
    <row r="128" spans="1:27">
      <c r="B128" s="106"/>
      <c r="C128" s="106"/>
      <c r="D128" s="106"/>
      <c r="E128" s="106"/>
      <c r="F128" s="106"/>
      <c r="G128" s="106"/>
      <c r="H128" s="106"/>
      <c r="I128" s="106"/>
      <c r="J128" s="106"/>
      <c r="K128" s="106"/>
      <c r="L128" s="106"/>
      <c r="M128" s="106"/>
      <c r="N128" s="106"/>
      <c r="O128" s="106"/>
    </row>
    <row r="129" spans="2:27">
      <c r="B129" s="641" t="s">
        <v>230</v>
      </c>
      <c r="C129" s="535" t="s">
        <v>133</v>
      </c>
      <c r="D129" s="535"/>
      <c r="E129" s="535"/>
      <c r="F129" s="535"/>
      <c r="G129" s="535"/>
      <c r="H129" s="535"/>
      <c r="I129" s="535"/>
      <c r="J129" s="535"/>
      <c r="K129" s="535"/>
      <c r="L129" s="535"/>
      <c r="M129" s="535"/>
      <c r="N129" s="535"/>
      <c r="O129" s="535"/>
      <c r="P129" s="535"/>
    </row>
    <row r="130" spans="2:27">
      <c r="B130" s="641"/>
      <c r="C130" s="478">
        <v>2016</v>
      </c>
      <c r="D130" s="120">
        <v>2017</v>
      </c>
      <c r="E130" s="120" t="s">
        <v>134</v>
      </c>
      <c r="F130" s="120" t="s">
        <v>135</v>
      </c>
      <c r="G130" s="120" t="s">
        <v>136</v>
      </c>
      <c r="H130" s="120" t="s">
        <v>137</v>
      </c>
      <c r="I130" s="120" t="s">
        <v>138</v>
      </c>
      <c r="J130" s="120" t="s">
        <v>139</v>
      </c>
      <c r="K130" s="120" t="s">
        <v>140</v>
      </c>
      <c r="L130" s="120" t="s">
        <v>141</v>
      </c>
      <c r="M130" s="120" t="s">
        <v>142</v>
      </c>
      <c r="N130" s="120" t="s">
        <v>143</v>
      </c>
      <c r="O130" s="120" t="s">
        <v>144</v>
      </c>
      <c r="P130" s="120" t="s">
        <v>955</v>
      </c>
    </row>
    <row r="131" spans="2:27">
      <c r="B131" s="104" t="s">
        <v>231</v>
      </c>
      <c r="C131" s="121">
        <v>1099482.87901</v>
      </c>
      <c r="D131" s="121">
        <v>2039364</v>
      </c>
      <c r="E131" s="121">
        <f t="shared" ref="E131:N131" si="23">SUM(E132:E133)</f>
        <v>834640</v>
      </c>
      <c r="F131" s="121">
        <f t="shared" si="23"/>
        <v>844171</v>
      </c>
      <c r="G131" s="121">
        <f t="shared" si="23"/>
        <v>716485</v>
      </c>
      <c r="H131" s="121">
        <f t="shared" si="23"/>
        <v>808236</v>
      </c>
      <c r="I131" s="121">
        <f t="shared" si="23"/>
        <v>806853</v>
      </c>
      <c r="J131" s="121">
        <f t="shared" si="23"/>
        <v>807586</v>
      </c>
      <c r="K131" s="121">
        <f t="shared" si="23"/>
        <v>782483</v>
      </c>
      <c r="L131" s="121">
        <f t="shared" si="23"/>
        <v>852480</v>
      </c>
      <c r="M131" s="121">
        <f t="shared" si="23"/>
        <v>851478</v>
      </c>
      <c r="N131" s="121">
        <f t="shared" si="23"/>
        <v>1700533</v>
      </c>
      <c r="O131" s="121">
        <f>SUM(O132:O133)</f>
        <v>956151</v>
      </c>
      <c r="P131" s="601">
        <f>SUM(P132:P133)</f>
        <v>989357</v>
      </c>
    </row>
    <row r="132" spans="2:27" s="106" customFormat="1">
      <c r="B132" s="104" t="s">
        <v>232</v>
      </c>
      <c r="C132" s="121">
        <v>1076083</v>
      </c>
      <c r="D132" s="121">
        <v>2013296</v>
      </c>
      <c r="E132" s="121">
        <v>827908</v>
      </c>
      <c r="F132" s="121">
        <v>837376</v>
      </c>
      <c r="G132" s="121">
        <v>709948</v>
      </c>
      <c r="H132" s="121">
        <v>801395</v>
      </c>
      <c r="I132" s="121">
        <v>799831</v>
      </c>
      <c r="J132" s="121">
        <v>800431</v>
      </c>
      <c r="K132" s="121">
        <v>772603</v>
      </c>
      <c r="L132" s="604">
        <v>844689</v>
      </c>
      <c r="M132" s="121">
        <v>843778</v>
      </c>
      <c r="N132" s="121">
        <v>1693051</v>
      </c>
      <c r="O132" s="121">
        <v>944448</v>
      </c>
      <c r="P132" s="601">
        <v>970710</v>
      </c>
      <c r="Q132" s="101"/>
      <c r="R132" s="101"/>
      <c r="S132" s="101"/>
      <c r="T132" s="101"/>
      <c r="U132" s="101"/>
      <c r="V132" s="101"/>
      <c r="W132" s="101"/>
      <c r="X132" s="101"/>
      <c r="Y132" s="101"/>
      <c r="Z132" s="101"/>
      <c r="AA132" s="101"/>
    </row>
    <row r="133" spans="2:27" s="116" customFormat="1">
      <c r="B133" s="104" t="s">
        <v>189</v>
      </c>
      <c r="C133" s="121">
        <v>23399.879010000001</v>
      </c>
      <c r="D133" s="121">
        <v>26068</v>
      </c>
      <c r="E133" s="121">
        <v>6732</v>
      </c>
      <c r="F133" s="121">
        <v>6795</v>
      </c>
      <c r="G133" s="121">
        <v>6537</v>
      </c>
      <c r="H133" s="121">
        <v>6841</v>
      </c>
      <c r="I133" s="121">
        <v>7022</v>
      </c>
      <c r="J133" s="121">
        <v>7155</v>
      </c>
      <c r="K133" s="121">
        <v>9880</v>
      </c>
      <c r="L133" s="604">
        <v>7791</v>
      </c>
      <c r="M133" s="121">
        <v>7700</v>
      </c>
      <c r="N133" s="121">
        <v>7482</v>
      </c>
      <c r="O133" s="121">
        <v>11703</v>
      </c>
      <c r="P133" s="601">
        <v>18647</v>
      </c>
      <c r="Q133" s="117"/>
      <c r="R133" s="117"/>
      <c r="S133" s="117"/>
      <c r="T133" s="117"/>
      <c r="U133" s="117"/>
      <c r="V133" s="117"/>
      <c r="W133" s="117"/>
      <c r="X133" s="117"/>
      <c r="Y133" s="117"/>
      <c r="Z133" s="117"/>
      <c r="AA133" s="117"/>
    </row>
    <row r="134" spans="2:27" s="106" customFormat="1">
      <c r="B134" s="104" t="s">
        <v>233</v>
      </c>
      <c r="C134" s="121">
        <v>-148298</v>
      </c>
      <c r="D134" s="121">
        <v>-261532</v>
      </c>
      <c r="E134" s="121">
        <v>-102316</v>
      </c>
      <c r="F134" s="121">
        <v>-104763</v>
      </c>
      <c r="G134" s="121">
        <v>-110622</v>
      </c>
      <c r="H134" s="121">
        <v>-118540</v>
      </c>
      <c r="I134" s="121">
        <v>-112689</v>
      </c>
      <c r="J134" s="121">
        <v>-115180</v>
      </c>
      <c r="K134" s="121">
        <v>-123950</v>
      </c>
      <c r="L134" s="121">
        <v>-123020</v>
      </c>
      <c r="M134" s="121">
        <v>-117137</v>
      </c>
      <c r="N134" s="121">
        <v>-203946</v>
      </c>
      <c r="O134" s="121">
        <v>-134892</v>
      </c>
      <c r="P134" s="121">
        <v>-150363</v>
      </c>
      <c r="Q134" s="101"/>
      <c r="R134" s="101"/>
      <c r="S134" s="101"/>
      <c r="T134" s="101"/>
      <c r="U134" s="101"/>
      <c r="V134" s="101"/>
      <c r="W134" s="101"/>
      <c r="X134" s="101"/>
      <c r="Y134" s="101"/>
      <c r="Z134" s="101"/>
      <c r="AA134" s="101"/>
    </row>
    <row r="135" spans="2:27" s="106" customFormat="1">
      <c r="B135" s="480" t="s">
        <v>234</v>
      </c>
      <c r="C135" s="139">
        <f>SUM(C132:C134)</f>
        <v>951184.87901000003</v>
      </c>
      <c r="D135" s="139">
        <f>SUM(D132:D134)</f>
        <v>1777832</v>
      </c>
      <c r="E135" s="139">
        <f t="shared" ref="E135:P135" si="24">SUM(E132:E134)</f>
        <v>732324</v>
      </c>
      <c r="F135" s="139">
        <f t="shared" si="24"/>
        <v>739408</v>
      </c>
      <c r="G135" s="139">
        <f t="shared" si="24"/>
        <v>605863</v>
      </c>
      <c r="H135" s="139">
        <f t="shared" si="24"/>
        <v>689696</v>
      </c>
      <c r="I135" s="139">
        <f t="shared" si="24"/>
        <v>694164</v>
      </c>
      <c r="J135" s="139">
        <f t="shared" si="24"/>
        <v>692406</v>
      </c>
      <c r="K135" s="139">
        <f t="shared" si="24"/>
        <v>658533</v>
      </c>
      <c r="L135" s="139">
        <f>SUM(L132:L134)</f>
        <v>729460</v>
      </c>
      <c r="M135" s="139">
        <f t="shared" si="24"/>
        <v>734341</v>
      </c>
      <c r="N135" s="139">
        <f t="shared" si="24"/>
        <v>1496587</v>
      </c>
      <c r="O135" s="139">
        <f t="shared" si="24"/>
        <v>821259</v>
      </c>
      <c r="P135" s="602">
        <f t="shared" si="24"/>
        <v>838994</v>
      </c>
      <c r="Q135" s="101"/>
      <c r="R135" s="101"/>
      <c r="S135" s="101"/>
      <c r="T135" s="101"/>
      <c r="U135" s="101"/>
      <c r="V135" s="101"/>
      <c r="W135" s="101"/>
      <c r="X135" s="101"/>
      <c r="Y135" s="101"/>
      <c r="Z135" s="101"/>
      <c r="AA135" s="101"/>
    </row>
    <row r="136" spans="2:27">
      <c r="B136" s="479" t="s">
        <v>235</v>
      </c>
      <c r="C136" s="121">
        <f>SUM(C137:C141)</f>
        <v>-528915.87901000003</v>
      </c>
      <c r="D136" s="121">
        <f t="shared" ref="D136:P136" si="25">SUM(D137:D141)</f>
        <v>-811211</v>
      </c>
      <c r="E136" s="121">
        <f>SUM(E137:E141)</f>
        <v>-259669</v>
      </c>
      <c r="F136" s="121">
        <f t="shared" si="25"/>
        <v>-266599.70914000017</v>
      </c>
      <c r="G136" s="121">
        <f t="shared" si="25"/>
        <v>-265301.68775999983</v>
      </c>
      <c r="H136" s="121">
        <f>SUM(H137:H141)</f>
        <v>-310723</v>
      </c>
      <c r="I136" s="121">
        <f t="shared" si="25"/>
        <v>-275211</v>
      </c>
      <c r="J136" s="121">
        <f t="shared" si="25"/>
        <v>-315199</v>
      </c>
      <c r="K136" s="121">
        <f t="shared" si="25"/>
        <v>-293376</v>
      </c>
      <c r="L136" s="121">
        <f t="shared" si="25"/>
        <v>-274963</v>
      </c>
      <c r="M136" s="121">
        <f t="shared" si="25"/>
        <v>-268212</v>
      </c>
      <c r="N136" s="121">
        <f t="shared" si="25"/>
        <v>-266759</v>
      </c>
      <c r="O136" s="121">
        <f t="shared" si="25"/>
        <v>-279007</v>
      </c>
      <c r="P136" s="121">
        <f t="shared" si="25"/>
        <v>-335923</v>
      </c>
    </row>
    <row r="137" spans="2:27">
      <c r="B137" s="104" t="s">
        <v>153</v>
      </c>
      <c r="C137" s="121">
        <v>-275181</v>
      </c>
      <c r="D137" s="121">
        <v>-302269</v>
      </c>
      <c r="E137" s="121">
        <v>-77724</v>
      </c>
      <c r="F137" s="121">
        <v>-79437.08490999999</v>
      </c>
      <c r="G137" s="121">
        <v>-79695.635910000012</v>
      </c>
      <c r="H137" s="121">
        <v>-84104</v>
      </c>
      <c r="I137" s="121">
        <v>-83116</v>
      </c>
      <c r="J137" s="121">
        <v>-86108</v>
      </c>
      <c r="K137" s="121">
        <v>-87512</v>
      </c>
      <c r="L137" s="121">
        <v>-79759</v>
      </c>
      <c r="M137" s="121">
        <v>-74866</v>
      </c>
      <c r="N137" s="121">
        <v>-75789</v>
      </c>
      <c r="O137" s="121">
        <v>-79077</v>
      </c>
      <c r="P137" s="121">
        <v>-96909</v>
      </c>
    </row>
    <row r="138" spans="2:27">
      <c r="B138" s="104" t="s">
        <v>236</v>
      </c>
      <c r="C138" s="121">
        <v>-13746</v>
      </c>
      <c r="D138" s="121">
        <v>-13602</v>
      </c>
      <c r="E138" s="121">
        <v>-3016</v>
      </c>
      <c r="F138" s="121">
        <v>-3361.6449299999986</v>
      </c>
      <c r="G138" s="121">
        <v>-3472.1449000000016</v>
      </c>
      <c r="H138" s="121">
        <v>-5460</v>
      </c>
      <c r="I138" s="121">
        <v>-3151</v>
      </c>
      <c r="J138" s="121">
        <v>-3661</v>
      </c>
      <c r="K138" s="121">
        <v>-3935</v>
      </c>
      <c r="L138" s="121">
        <v>-3392</v>
      </c>
      <c r="M138" s="121">
        <v>-3005</v>
      </c>
      <c r="N138" s="121">
        <v>-3973</v>
      </c>
      <c r="O138" s="121">
        <v>-4052</v>
      </c>
      <c r="P138" s="121">
        <v>-7293</v>
      </c>
    </row>
    <row r="139" spans="2:27" s="106" customFormat="1">
      <c r="B139" s="104" t="s">
        <v>155</v>
      </c>
      <c r="C139" s="121">
        <v>-124276.87901</v>
      </c>
      <c r="D139" s="121">
        <v>-129992</v>
      </c>
      <c r="E139" s="121">
        <v>-27374</v>
      </c>
      <c r="F139" s="121">
        <v>-28499.908660000005</v>
      </c>
      <c r="G139" s="121">
        <v>-30424.873219999998</v>
      </c>
      <c r="H139" s="121">
        <v>-50225</v>
      </c>
      <c r="I139" s="121">
        <v>-26995</v>
      </c>
      <c r="J139" s="121">
        <v>-60163</v>
      </c>
      <c r="K139" s="121">
        <v>-38649</v>
      </c>
      <c r="L139" s="121">
        <v>-36223</v>
      </c>
      <c r="M139" s="121">
        <v>-30082</v>
      </c>
      <c r="N139" s="121">
        <v>-26967</v>
      </c>
      <c r="O139" s="121">
        <v>-31328</v>
      </c>
      <c r="P139" s="121">
        <v>-52321</v>
      </c>
      <c r="Q139" s="101"/>
      <c r="R139" s="101"/>
      <c r="S139" s="101"/>
      <c r="T139" s="101"/>
      <c r="U139" s="101"/>
      <c r="V139" s="101"/>
      <c r="W139" s="101"/>
      <c r="X139" s="101"/>
      <c r="Y139" s="101"/>
      <c r="Z139" s="101"/>
      <c r="AA139" s="101"/>
    </row>
    <row r="140" spans="2:27" s="106" customFormat="1">
      <c r="B140" s="104" t="s">
        <v>156</v>
      </c>
      <c r="C140" s="121" t="s">
        <v>157</v>
      </c>
      <c r="D140" s="121">
        <v>-328174</v>
      </c>
      <c r="E140" s="121">
        <v>-145819</v>
      </c>
      <c r="F140" s="121">
        <v>-144676.13161000016</v>
      </c>
      <c r="G140" s="121">
        <v>-143519.27898999985</v>
      </c>
      <c r="H140" s="121">
        <v>-144958</v>
      </c>
      <c r="I140" s="121">
        <v>-144967</v>
      </c>
      <c r="J140" s="121">
        <v>-144568</v>
      </c>
      <c r="K140" s="121">
        <v>-143908</v>
      </c>
      <c r="L140" s="121">
        <v>-142114</v>
      </c>
      <c r="M140" s="121">
        <v>-140551</v>
      </c>
      <c r="N140" s="121">
        <v>-140231</v>
      </c>
      <c r="O140" s="121">
        <v>-139803</v>
      </c>
      <c r="P140" s="121">
        <v>-141730</v>
      </c>
      <c r="Q140" s="101"/>
      <c r="R140" s="101"/>
      <c r="S140" s="101"/>
      <c r="T140" s="101"/>
      <c r="U140" s="101"/>
      <c r="V140" s="101"/>
      <c r="W140" s="101"/>
      <c r="X140" s="101"/>
      <c r="Y140" s="101"/>
      <c r="Z140" s="101"/>
      <c r="AA140" s="101"/>
    </row>
    <row r="141" spans="2:27" s="106" customFormat="1">
      <c r="B141" s="104" t="s">
        <v>189</v>
      </c>
      <c r="C141" s="121">
        <v>-115712</v>
      </c>
      <c r="D141" s="121">
        <v>-37174</v>
      </c>
      <c r="E141" s="121">
        <v>-5736</v>
      </c>
      <c r="F141" s="121">
        <v>-10624.939030000001</v>
      </c>
      <c r="G141" s="121">
        <v>-8189.7547399999985</v>
      </c>
      <c r="H141" s="121">
        <v>-25976</v>
      </c>
      <c r="I141" s="121">
        <v>-16982</v>
      </c>
      <c r="J141" s="121">
        <v>-20699</v>
      </c>
      <c r="K141" s="121">
        <v>-19372</v>
      </c>
      <c r="L141" s="121">
        <v>-13475</v>
      </c>
      <c r="M141" s="121">
        <v>-19708</v>
      </c>
      <c r="N141" s="121">
        <v>-19799</v>
      </c>
      <c r="O141" s="121">
        <v>-24747</v>
      </c>
      <c r="P141" s="121">
        <v>-37670</v>
      </c>
      <c r="Q141" s="101"/>
      <c r="R141" s="101"/>
      <c r="S141" s="101"/>
      <c r="T141" s="101"/>
      <c r="U141" s="101"/>
      <c r="V141" s="101"/>
      <c r="W141" s="101"/>
      <c r="X141" s="101"/>
      <c r="Y141" s="101"/>
      <c r="Z141" s="101"/>
      <c r="AA141" s="101"/>
    </row>
    <row r="142" spans="2:27" s="106" customFormat="1">
      <c r="B142" s="480" t="s">
        <v>158</v>
      </c>
      <c r="C142" s="139">
        <f t="shared" ref="C142:P142" si="26">SUM(C135:C136)</f>
        <v>422269</v>
      </c>
      <c r="D142" s="139">
        <f t="shared" si="26"/>
        <v>966621</v>
      </c>
      <c r="E142" s="139">
        <f t="shared" si="26"/>
        <v>472655</v>
      </c>
      <c r="F142" s="139">
        <f t="shared" si="26"/>
        <v>472808.29085999983</v>
      </c>
      <c r="G142" s="139">
        <f t="shared" si="26"/>
        <v>340561.31224000017</v>
      </c>
      <c r="H142" s="139">
        <f t="shared" si="26"/>
        <v>378973</v>
      </c>
      <c r="I142" s="139">
        <f t="shared" si="26"/>
        <v>418953</v>
      </c>
      <c r="J142" s="139">
        <f t="shared" si="26"/>
        <v>377207</v>
      </c>
      <c r="K142" s="139">
        <f t="shared" si="26"/>
        <v>365157</v>
      </c>
      <c r="L142" s="139">
        <f t="shared" si="26"/>
        <v>454497</v>
      </c>
      <c r="M142" s="139">
        <f t="shared" si="26"/>
        <v>466129</v>
      </c>
      <c r="N142" s="139">
        <f t="shared" si="26"/>
        <v>1229828</v>
      </c>
      <c r="O142" s="139">
        <f t="shared" si="26"/>
        <v>542252</v>
      </c>
      <c r="P142" s="602">
        <f t="shared" si="26"/>
        <v>503071</v>
      </c>
      <c r="Q142" s="101"/>
      <c r="R142" s="101"/>
      <c r="S142" s="101"/>
      <c r="T142" s="101"/>
      <c r="U142" s="101"/>
      <c r="V142" s="101"/>
      <c r="W142" s="101"/>
      <c r="X142" s="101"/>
      <c r="Y142" s="101"/>
      <c r="Z142" s="101"/>
      <c r="AA142" s="101"/>
    </row>
    <row r="143" spans="2:27" s="106" customFormat="1">
      <c r="B143" s="104" t="s">
        <v>237</v>
      </c>
      <c r="C143" s="121">
        <f>SUM(C144:C148)</f>
        <v>-109929</v>
      </c>
      <c r="D143" s="121">
        <f>SUM(D144:D148)</f>
        <v>-66216</v>
      </c>
      <c r="E143" s="121">
        <v>-35293</v>
      </c>
      <c r="F143" s="121">
        <f t="shared" ref="F143:P143" si="27">SUM(F144:F148)</f>
        <v>-25692</v>
      </c>
      <c r="G143" s="121">
        <f t="shared" si="27"/>
        <v>-49331</v>
      </c>
      <c r="H143" s="121">
        <f t="shared" si="27"/>
        <v>-31898</v>
      </c>
      <c r="I143" s="121">
        <f t="shared" si="27"/>
        <v>-54493</v>
      </c>
      <c r="J143" s="121">
        <f t="shared" si="27"/>
        <v>-49190</v>
      </c>
      <c r="K143" s="121">
        <f t="shared" si="27"/>
        <v>-35369</v>
      </c>
      <c r="L143" s="121">
        <f t="shared" si="27"/>
        <v>-46970</v>
      </c>
      <c r="M143" s="121">
        <f t="shared" si="27"/>
        <v>-48618</v>
      </c>
      <c r="N143" s="121">
        <f t="shared" si="27"/>
        <v>-27897</v>
      </c>
      <c r="O143" s="121">
        <f t="shared" si="27"/>
        <v>-51135</v>
      </c>
      <c r="P143" s="121">
        <f t="shared" si="27"/>
        <v>-80333</v>
      </c>
      <c r="Q143" s="101"/>
      <c r="R143" s="101"/>
      <c r="S143" s="101"/>
      <c r="T143" s="101"/>
      <c r="U143" s="101"/>
      <c r="V143" s="101"/>
      <c r="W143" s="101"/>
      <c r="X143" s="101"/>
      <c r="Y143" s="101"/>
      <c r="Z143" s="101"/>
      <c r="AA143" s="101"/>
    </row>
    <row r="144" spans="2:27" s="106" customFormat="1">
      <c r="B144" s="104" t="s">
        <v>238</v>
      </c>
      <c r="C144" s="121">
        <v>68032</v>
      </c>
      <c r="D144" s="121">
        <v>43907</v>
      </c>
      <c r="E144" s="121">
        <v>10886</v>
      </c>
      <c r="F144" s="121">
        <v>18347</v>
      </c>
      <c r="G144" s="121">
        <v>19329</v>
      </c>
      <c r="H144" s="121">
        <v>25950</v>
      </c>
      <c r="I144" s="121">
        <v>14183</v>
      </c>
      <c r="J144" s="121">
        <v>18601</v>
      </c>
      <c r="K144" s="121">
        <v>19911</v>
      </c>
      <c r="L144" s="121">
        <v>13050</v>
      </c>
      <c r="M144" s="121">
        <v>21983</v>
      </c>
      <c r="N144" s="121">
        <v>10446</v>
      </c>
      <c r="O144" s="121">
        <v>8539</v>
      </c>
      <c r="P144" s="121">
        <v>8279</v>
      </c>
      <c r="Q144" s="101"/>
      <c r="R144" s="101"/>
      <c r="S144" s="101"/>
      <c r="T144" s="101"/>
      <c r="U144" s="101"/>
      <c r="V144" s="101"/>
      <c r="W144" s="101"/>
      <c r="X144" s="101"/>
      <c r="Y144" s="101"/>
      <c r="Z144" s="101"/>
      <c r="AA144" s="101"/>
    </row>
    <row r="145" spans="2:27" s="106" customFormat="1">
      <c r="B145" s="104" t="s">
        <v>239</v>
      </c>
      <c r="C145" s="121">
        <v>-33902</v>
      </c>
      <c r="D145" s="121">
        <v>-31989</v>
      </c>
      <c r="E145" s="121">
        <v>-9620</v>
      </c>
      <c r="F145" s="121">
        <v>-6447</v>
      </c>
      <c r="G145" s="121">
        <v>-17390</v>
      </c>
      <c r="H145" s="121">
        <v>-10500</v>
      </c>
      <c r="I145" s="121">
        <v>-15154</v>
      </c>
      <c r="J145" s="121">
        <v>-17631</v>
      </c>
      <c r="K145" s="121">
        <v>-6225</v>
      </c>
      <c r="L145" s="121">
        <v>-7350</v>
      </c>
      <c r="M145" s="121">
        <v>-26159</v>
      </c>
      <c r="N145" s="121">
        <v>9032</v>
      </c>
      <c r="O145" s="121">
        <v>-15182</v>
      </c>
      <c r="P145" s="121">
        <v>-42342</v>
      </c>
      <c r="Q145" s="101"/>
      <c r="R145" s="101"/>
      <c r="S145" s="101"/>
      <c r="T145" s="101"/>
      <c r="U145" s="101"/>
      <c r="V145" s="101"/>
      <c r="W145" s="101"/>
      <c r="X145" s="101"/>
      <c r="Y145" s="101"/>
      <c r="Z145" s="101"/>
      <c r="AA145" s="101"/>
    </row>
    <row r="146" spans="2:27" s="106" customFormat="1">
      <c r="B146" s="104" t="s">
        <v>240</v>
      </c>
      <c r="C146" s="121" t="s">
        <v>157</v>
      </c>
      <c r="D146" s="121">
        <v>-10483</v>
      </c>
      <c r="E146" s="121">
        <v>-580</v>
      </c>
      <c r="F146" s="121">
        <v>-580</v>
      </c>
      <c r="G146" s="121">
        <v>-599</v>
      </c>
      <c r="H146" s="121">
        <v>-554</v>
      </c>
      <c r="I146" s="121">
        <v>-205</v>
      </c>
      <c r="J146" s="121">
        <v>-622</v>
      </c>
      <c r="K146" s="121">
        <v>-626</v>
      </c>
      <c r="L146" s="121">
        <v>-667</v>
      </c>
      <c r="M146" s="121">
        <v>-418</v>
      </c>
      <c r="N146" s="121">
        <v>-656</v>
      </c>
      <c r="O146" s="121">
        <v>-613</v>
      </c>
      <c r="P146" s="121">
        <v>-622</v>
      </c>
      <c r="Q146" s="101"/>
      <c r="R146" s="101"/>
      <c r="S146" s="101"/>
      <c r="T146" s="101"/>
      <c r="U146" s="101"/>
      <c r="V146" s="101"/>
      <c r="W146" s="101"/>
      <c r="X146" s="101"/>
      <c r="Y146" s="101"/>
      <c r="Z146" s="101"/>
      <c r="AA146" s="101"/>
    </row>
    <row r="147" spans="2:27" s="106" customFormat="1">
      <c r="B147" s="104" t="s">
        <v>163</v>
      </c>
      <c r="C147" s="121">
        <v>-143799</v>
      </c>
      <c r="D147" s="121">
        <v>-111504</v>
      </c>
      <c r="E147" s="121">
        <v>-31704</v>
      </c>
      <c r="F147" s="121">
        <v>-35052</v>
      </c>
      <c r="G147" s="121">
        <v>-40182</v>
      </c>
      <c r="H147" s="121">
        <v>-39491</v>
      </c>
      <c r="I147" s="121">
        <v>-36444</v>
      </c>
      <c r="J147" s="121">
        <v>-36441</v>
      </c>
      <c r="K147" s="121">
        <v>-36635</v>
      </c>
      <c r="L147" s="121">
        <v>-35479</v>
      </c>
      <c r="M147" s="121">
        <v>-36389</v>
      </c>
      <c r="N147" s="121">
        <v>-41007</v>
      </c>
      <c r="O147" s="121">
        <v>-43225</v>
      </c>
      <c r="P147" s="121">
        <v>-46314</v>
      </c>
      <c r="Q147" s="101"/>
      <c r="R147" s="101"/>
      <c r="S147" s="101"/>
      <c r="T147" s="101"/>
      <c r="U147" s="101"/>
      <c r="V147" s="101"/>
      <c r="W147" s="101"/>
      <c r="X147" s="101"/>
      <c r="Y147" s="101"/>
      <c r="Z147" s="101"/>
      <c r="AA147" s="101"/>
    </row>
    <row r="148" spans="2:27" s="106" customFormat="1">
      <c r="B148" s="104" t="s">
        <v>189</v>
      </c>
      <c r="C148" s="121">
        <v>-260</v>
      </c>
      <c r="D148" s="121">
        <v>43853</v>
      </c>
      <c r="E148" s="121">
        <v>-4275</v>
      </c>
      <c r="F148" s="121">
        <v>-1960</v>
      </c>
      <c r="G148" s="121">
        <v>-10489</v>
      </c>
      <c r="H148" s="121">
        <v>-7303</v>
      </c>
      <c r="I148" s="121">
        <v>-16873</v>
      </c>
      <c r="J148" s="121">
        <v>-13097</v>
      </c>
      <c r="K148" s="121">
        <v>-11794</v>
      </c>
      <c r="L148" s="121">
        <v>-16524</v>
      </c>
      <c r="M148" s="121">
        <v>-7635</v>
      </c>
      <c r="N148" s="121">
        <v>-5712</v>
      </c>
      <c r="O148" s="121">
        <v>-654</v>
      </c>
      <c r="P148" s="121">
        <v>666</v>
      </c>
      <c r="Q148" s="101"/>
      <c r="R148" s="101"/>
      <c r="S148" s="101"/>
      <c r="T148" s="101"/>
      <c r="U148" s="101"/>
      <c r="V148" s="101"/>
      <c r="W148" s="101"/>
      <c r="X148" s="101"/>
      <c r="Y148" s="101"/>
      <c r="Z148" s="101"/>
      <c r="AA148" s="101"/>
    </row>
    <row r="149" spans="2:27" s="106" customFormat="1">
      <c r="B149" s="480" t="s">
        <v>241</v>
      </c>
      <c r="C149" s="139">
        <f t="shared" ref="C149:P149" si="28">SUM(C142:C143)</f>
        <v>312340</v>
      </c>
      <c r="D149" s="139">
        <f t="shared" si="28"/>
        <v>900405</v>
      </c>
      <c r="E149" s="139">
        <f t="shared" si="28"/>
        <v>437362</v>
      </c>
      <c r="F149" s="139">
        <f t="shared" si="28"/>
        <v>447116.29085999983</v>
      </c>
      <c r="G149" s="139">
        <f t="shared" si="28"/>
        <v>291230.31224000017</v>
      </c>
      <c r="H149" s="139">
        <f t="shared" si="28"/>
        <v>347075</v>
      </c>
      <c r="I149" s="139">
        <f t="shared" si="28"/>
        <v>364460</v>
      </c>
      <c r="J149" s="139">
        <f t="shared" si="28"/>
        <v>328017</v>
      </c>
      <c r="K149" s="139">
        <f t="shared" si="28"/>
        <v>329788</v>
      </c>
      <c r="L149" s="139">
        <f t="shared" si="28"/>
        <v>407527</v>
      </c>
      <c r="M149" s="139">
        <f t="shared" si="28"/>
        <v>417511</v>
      </c>
      <c r="N149" s="139">
        <f t="shared" si="28"/>
        <v>1201931</v>
      </c>
      <c r="O149" s="139">
        <f t="shared" si="28"/>
        <v>491117</v>
      </c>
      <c r="P149" s="602">
        <f t="shared" si="28"/>
        <v>422738</v>
      </c>
      <c r="Q149" s="101"/>
      <c r="R149" s="101"/>
      <c r="S149" s="101"/>
      <c r="T149" s="101"/>
      <c r="U149" s="101"/>
      <c r="V149" s="101"/>
      <c r="W149" s="101"/>
      <c r="X149" s="101"/>
      <c r="Y149" s="101"/>
      <c r="Z149" s="101"/>
      <c r="AA149" s="101"/>
    </row>
    <row r="150" spans="2:27" s="106" customFormat="1">
      <c r="B150" s="104" t="s">
        <v>242</v>
      </c>
      <c r="C150" s="121">
        <v>30152</v>
      </c>
      <c r="D150" s="121">
        <v>18271</v>
      </c>
      <c r="E150" s="121">
        <v>19347</v>
      </c>
      <c r="F150" s="121">
        <v>22431</v>
      </c>
      <c r="G150" s="121">
        <v>-2887</v>
      </c>
      <c r="H150" s="121">
        <v>7270</v>
      </c>
      <c r="I150" s="121">
        <v>16244</v>
      </c>
      <c r="J150" s="121">
        <v>10141</v>
      </c>
      <c r="K150" s="121">
        <v>16972</v>
      </c>
      <c r="L150" s="604">
        <v>26543</v>
      </c>
      <c r="M150" s="121">
        <v>20314</v>
      </c>
      <c r="N150" s="121">
        <v>-63930</v>
      </c>
      <c r="O150" s="121">
        <v>16039</v>
      </c>
      <c r="P150" s="121">
        <v>-32857</v>
      </c>
      <c r="Q150" s="101"/>
      <c r="R150" s="101"/>
      <c r="S150" s="101"/>
      <c r="T150" s="101"/>
      <c r="U150" s="101"/>
      <c r="V150" s="101"/>
      <c r="W150" s="101"/>
      <c r="X150" s="101"/>
      <c r="Y150" s="101"/>
      <c r="Z150" s="101"/>
      <c r="AA150" s="101"/>
    </row>
    <row r="151" spans="2:27" s="106" customFormat="1">
      <c r="B151" s="104" t="s">
        <v>243</v>
      </c>
      <c r="C151" s="121">
        <v>-26947</v>
      </c>
      <c r="D151" s="121">
        <v>35451</v>
      </c>
      <c r="E151" s="121">
        <v>4747</v>
      </c>
      <c r="F151" s="121">
        <v>-564</v>
      </c>
      <c r="G151" s="121">
        <v>-3244</v>
      </c>
      <c r="H151" s="121">
        <v>-6993</v>
      </c>
      <c r="I151" s="121">
        <v>-9562</v>
      </c>
      <c r="J151" s="121">
        <v>325</v>
      </c>
      <c r="K151" s="121">
        <v>589</v>
      </c>
      <c r="L151" s="121">
        <v>-1136</v>
      </c>
      <c r="M151" s="121">
        <v>-10187</v>
      </c>
      <c r="N151" s="121">
        <v>145268</v>
      </c>
      <c r="O151" s="121">
        <v>-13848</v>
      </c>
      <c r="P151" s="121">
        <v>-10641</v>
      </c>
      <c r="Q151" s="101"/>
      <c r="R151" s="101"/>
      <c r="S151" s="101"/>
      <c r="T151" s="101"/>
      <c r="U151" s="101"/>
      <c r="V151" s="101"/>
      <c r="W151" s="101"/>
      <c r="X151" s="101"/>
      <c r="Y151" s="101"/>
      <c r="Z151" s="101"/>
      <c r="AA151" s="101"/>
    </row>
    <row r="152" spans="2:27" s="106" customFormat="1">
      <c r="B152" s="480" t="s">
        <v>244</v>
      </c>
      <c r="C152" s="139">
        <f>SUM(C149:C151)</f>
        <v>315545</v>
      </c>
      <c r="D152" s="139">
        <f>SUM(D149:D151)</f>
        <v>954127</v>
      </c>
      <c r="E152" s="139">
        <f t="shared" ref="E152:P152" si="29">SUM(E149:E151)</f>
        <v>461456</v>
      </c>
      <c r="F152" s="139">
        <f t="shared" si="29"/>
        <v>468983.29085999983</v>
      </c>
      <c r="G152" s="139">
        <f t="shared" si="29"/>
        <v>285099.31224000017</v>
      </c>
      <c r="H152" s="139">
        <f t="shared" si="29"/>
        <v>347352</v>
      </c>
      <c r="I152" s="139">
        <f t="shared" si="29"/>
        <v>371142</v>
      </c>
      <c r="J152" s="139">
        <f t="shared" si="29"/>
        <v>338483</v>
      </c>
      <c r="K152" s="139">
        <f t="shared" si="29"/>
        <v>347349</v>
      </c>
      <c r="L152" s="139">
        <f t="shared" si="29"/>
        <v>432934</v>
      </c>
      <c r="M152" s="139">
        <f t="shared" si="29"/>
        <v>427638</v>
      </c>
      <c r="N152" s="139">
        <f t="shared" si="29"/>
        <v>1283269</v>
      </c>
      <c r="O152" s="139">
        <f t="shared" si="29"/>
        <v>493308</v>
      </c>
      <c r="P152" s="602">
        <f t="shared" si="29"/>
        <v>379240</v>
      </c>
      <c r="Q152" s="101"/>
      <c r="R152" s="101"/>
      <c r="S152" s="101"/>
      <c r="T152" s="101"/>
      <c r="U152" s="101"/>
      <c r="V152" s="101"/>
      <c r="W152" s="101"/>
      <c r="X152" s="101"/>
      <c r="Y152" s="101"/>
      <c r="Z152" s="101"/>
      <c r="AA152" s="101"/>
    </row>
    <row r="153" spans="2:27" s="106" customFormat="1">
      <c r="B153" s="104" t="s">
        <v>245</v>
      </c>
      <c r="C153" s="121">
        <f>SUM(C154:C155)</f>
        <v>-69738</v>
      </c>
      <c r="D153" s="121">
        <f>SUM(D154:D155)</f>
        <v>-318705</v>
      </c>
      <c r="E153" s="121">
        <f t="shared" ref="E153:P153" si="30">SUM(E154:E155)</f>
        <v>-156193</v>
      </c>
      <c r="F153" s="121">
        <f t="shared" si="30"/>
        <v>-126633</v>
      </c>
      <c r="G153" s="121">
        <f t="shared" si="30"/>
        <v>-93561</v>
      </c>
      <c r="H153" s="121">
        <f t="shared" si="30"/>
        <v>103386</v>
      </c>
      <c r="I153" s="121">
        <f t="shared" si="30"/>
        <v>-137075</v>
      </c>
      <c r="J153" s="121">
        <f t="shared" si="30"/>
        <v>-98143</v>
      </c>
      <c r="K153" s="121">
        <f t="shared" si="30"/>
        <v>67263</v>
      </c>
      <c r="L153" s="121">
        <f t="shared" si="30"/>
        <v>-83303</v>
      </c>
      <c r="M153" s="121">
        <f t="shared" si="30"/>
        <v>-103852</v>
      </c>
      <c r="N153" s="121">
        <f t="shared" si="30"/>
        <v>-362502</v>
      </c>
      <c r="O153" s="121">
        <f t="shared" si="30"/>
        <v>-90608</v>
      </c>
      <c r="P153" s="121">
        <f t="shared" si="30"/>
        <v>-2956</v>
      </c>
      <c r="Q153" s="101"/>
      <c r="R153" s="101"/>
      <c r="S153" s="101"/>
      <c r="T153" s="101"/>
      <c r="U153" s="101"/>
      <c r="V153" s="101"/>
      <c r="W153" s="101"/>
      <c r="X153" s="101"/>
      <c r="Y153" s="101"/>
      <c r="Z153" s="101"/>
      <c r="AA153" s="101"/>
    </row>
    <row r="154" spans="2:27" s="106" customFormat="1">
      <c r="B154" s="104" t="s">
        <v>169</v>
      </c>
      <c r="C154" s="121">
        <v>-79299</v>
      </c>
      <c r="D154" s="121">
        <v>-354491</v>
      </c>
      <c r="E154" s="121">
        <v>-176614</v>
      </c>
      <c r="F154" s="121">
        <v>-167891</v>
      </c>
      <c r="G154" s="121">
        <v>-152616</v>
      </c>
      <c r="H154" s="121">
        <v>89697</v>
      </c>
      <c r="I154" s="121">
        <v>-114844</v>
      </c>
      <c r="J154" s="121">
        <v>-132273</v>
      </c>
      <c r="K154" s="121">
        <v>4830</v>
      </c>
      <c r="L154" s="121">
        <v>-34509</v>
      </c>
      <c r="M154" s="121">
        <v>-77594</v>
      </c>
      <c r="N154" s="121">
        <v>-69687</v>
      </c>
      <c r="O154" s="121">
        <v>-234607</v>
      </c>
      <c r="P154" s="121">
        <v>-34067</v>
      </c>
      <c r="Q154" s="101"/>
      <c r="R154" s="101"/>
      <c r="S154" s="101"/>
      <c r="T154" s="101"/>
      <c r="U154" s="101"/>
      <c r="V154" s="101"/>
      <c r="W154" s="101"/>
      <c r="X154" s="101"/>
      <c r="Y154" s="101"/>
      <c r="Z154" s="101"/>
      <c r="AA154" s="101"/>
    </row>
    <row r="155" spans="2:27">
      <c r="B155" s="104" t="s">
        <v>170</v>
      </c>
      <c r="C155" s="121">
        <v>9561</v>
      </c>
      <c r="D155" s="121">
        <v>35786</v>
      </c>
      <c r="E155" s="121">
        <v>20421</v>
      </c>
      <c r="F155" s="121">
        <v>41258</v>
      </c>
      <c r="G155" s="121">
        <v>59055</v>
      </c>
      <c r="H155" s="121">
        <v>13689</v>
      </c>
      <c r="I155" s="121">
        <v>-22231</v>
      </c>
      <c r="J155" s="121">
        <v>34130</v>
      </c>
      <c r="K155" s="121">
        <v>62433</v>
      </c>
      <c r="L155" s="121">
        <v>-48794</v>
      </c>
      <c r="M155" s="121">
        <v>-26258</v>
      </c>
      <c r="N155" s="121">
        <v>-292815</v>
      </c>
      <c r="O155" s="121">
        <v>143999</v>
      </c>
      <c r="P155" s="601">
        <v>31111</v>
      </c>
    </row>
    <row r="156" spans="2:27" s="106" customFormat="1" ht="28.5">
      <c r="B156" s="496" t="s">
        <v>246</v>
      </c>
      <c r="C156" s="139">
        <f>SUM(C152:C153)</f>
        <v>245807</v>
      </c>
      <c r="D156" s="139">
        <f>SUM(D152:D153)</f>
        <v>635422</v>
      </c>
      <c r="E156" s="139">
        <f t="shared" ref="E156:P156" si="31">SUM(E152:E153)</f>
        <v>305263</v>
      </c>
      <c r="F156" s="139">
        <f t="shared" si="31"/>
        <v>342350.29085999983</v>
      </c>
      <c r="G156" s="139">
        <f t="shared" si="31"/>
        <v>191538.31224000017</v>
      </c>
      <c r="H156" s="139">
        <f t="shared" si="31"/>
        <v>450738</v>
      </c>
      <c r="I156" s="139">
        <f t="shared" si="31"/>
        <v>234067</v>
      </c>
      <c r="J156" s="139">
        <f t="shared" si="31"/>
        <v>240340</v>
      </c>
      <c r="K156" s="139">
        <f t="shared" si="31"/>
        <v>414612</v>
      </c>
      <c r="L156" s="139">
        <f t="shared" si="31"/>
        <v>349631</v>
      </c>
      <c r="M156" s="139">
        <f t="shared" si="31"/>
        <v>323786</v>
      </c>
      <c r="N156" s="139">
        <f t="shared" si="31"/>
        <v>920767</v>
      </c>
      <c r="O156" s="139">
        <f t="shared" si="31"/>
        <v>402700</v>
      </c>
      <c r="P156" s="602">
        <f t="shared" si="31"/>
        <v>376284</v>
      </c>
      <c r="Q156" s="101"/>
      <c r="R156" s="101"/>
      <c r="S156" s="101"/>
      <c r="T156" s="101"/>
      <c r="U156" s="101"/>
      <c r="V156" s="101"/>
      <c r="W156" s="101"/>
      <c r="X156" s="101"/>
      <c r="Y156" s="101"/>
      <c r="Z156" s="101"/>
      <c r="AA156" s="101"/>
    </row>
    <row r="157" spans="2:27">
      <c r="B157" s="104" t="s">
        <v>247</v>
      </c>
      <c r="C157" s="121">
        <v>-17022</v>
      </c>
      <c r="D157" s="121">
        <v>-19947.994313528299</v>
      </c>
      <c r="E157" s="121">
        <v>-3460</v>
      </c>
      <c r="F157" s="121">
        <v>-3285</v>
      </c>
      <c r="G157" s="121">
        <v>-3419</v>
      </c>
      <c r="H157" s="121">
        <v>-3413</v>
      </c>
      <c r="I157" s="121">
        <v>-3879</v>
      </c>
      <c r="J157" s="121">
        <v>-4367</v>
      </c>
      <c r="K157" s="121">
        <v>-4342</v>
      </c>
      <c r="L157" s="121">
        <v>-4232</v>
      </c>
      <c r="M157" s="121">
        <v>-15497</v>
      </c>
      <c r="N157" s="121">
        <v>-1667</v>
      </c>
      <c r="O157" s="121">
        <v>-2143</v>
      </c>
      <c r="P157" s="121">
        <v>-1840</v>
      </c>
    </row>
    <row r="158" spans="2:27" s="106" customFormat="1">
      <c r="B158" s="480" t="s">
        <v>248</v>
      </c>
      <c r="C158" s="139">
        <f>SUM(C156:C157)</f>
        <v>228785</v>
      </c>
      <c r="D158" s="139">
        <f t="shared" ref="D158:P158" si="32">SUM(D156:D157)</f>
        <v>615474.0056864717</v>
      </c>
      <c r="E158" s="139">
        <f t="shared" si="32"/>
        <v>301803</v>
      </c>
      <c r="F158" s="139">
        <f t="shared" si="32"/>
        <v>339065.29085999983</v>
      </c>
      <c r="G158" s="139">
        <f t="shared" si="32"/>
        <v>188119.31224000017</v>
      </c>
      <c r="H158" s="139">
        <f t="shared" si="32"/>
        <v>447325</v>
      </c>
      <c r="I158" s="139">
        <f t="shared" si="32"/>
        <v>230188</v>
      </c>
      <c r="J158" s="139">
        <f t="shared" si="32"/>
        <v>235973</v>
      </c>
      <c r="K158" s="139">
        <f t="shared" si="32"/>
        <v>410270</v>
      </c>
      <c r="L158" s="139">
        <f t="shared" si="32"/>
        <v>345399</v>
      </c>
      <c r="M158" s="139">
        <f t="shared" si="32"/>
        <v>308289</v>
      </c>
      <c r="N158" s="139">
        <f t="shared" si="32"/>
        <v>919100</v>
      </c>
      <c r="O158" s="139">
        <f t="shared" si="32"/>
        <v>400557</v>
      </c>
      <c r="P158" s="602">
        <f t="shared" si="32"/>
        <v>374444</v>
      </c>
      <c r="Q158" s="101"/>
      <c r="R158" s="101"/>
      <c r="S158" s="101"/>
      <c r="T158" s="101"/>
      <c r="U158" s="101"/>
      <c r="V158" s="101"/>
      <c r="W158" s="101"/>
      <c r="X158" s="101"/>
      <c r="Y158" s="101"/>
      <c r="Z158" s="101"/>
      <c r="AA158" s="101"/>
    </row>
    <row r="159" spans="2:27" s="106" customFormat="1">
      <c r="B159" s="479"/>
      <c r="C159" s="481"/>
      <c r="D159" s="481"/>
      <c r="E159" s="481"/>
      <c r="F159" s="481"/>
      <c r="G159" s="481"/>
      <c r="H159" s="481"/>
      <c r="I159" s="481"/>
      <c r="J159" s="481"/>
      <c r="K159" s="481"/>
      <c r="L159" s="481"/>
      <c r="M159" s="481"/>
      <c r="N159" s="481"/>
      <c r="O159" s="481"/>
      <c r="P159" s="101"/>
      <c r="Q159" s="101"/>
      <c r="R159" s="101"/>
      <c r="S159" s="101"/>
      <c r="T159" s="101"/>
      <c r="U159" s="101"/>
      <c r="V159" s="101"/>
      <c r="W159" s="101"/>
      <c r="X159" s="101"/>
      <c r="Y159" s="101"/>
      <c r="Z159" s="101"/>
      <c r="AA159" s="101"/>
    </row>
    <row r="160" spans="2:27">
      <c r="B160" s="106"/>
      <c r="C160" s="106"/>
      <c r="D160" s="106"/>
      <c r="E160" s="106"/>
      <c r="F160" s="106"/>
      <c r="G160" s="106"/>
      <c r="H160" s="106"/>
      <c r="I160" s="106"/>
      <c r="J160" s="106"/>
      <c r="K160" s="106"/>
      <c r="L160" s="106"/>
      <c r="M160" s="106"/>
      <c r="N160" s="106"/>
      <c r="O160" s="106"/>
    </row>
    <row r="161" spans="2:27" ht="15">
      <c r="B161" s="12" t="s">
        <v>249</v>
      </c>
      <c r="C161" s="106"/>
      <c r="D161" s="106"/>
      <c r="E161" s="106"/>
      <c r="F161" s="106"/>
      <c r="G161" s="106"/>
      <c r="H161" s="106"/>
      <c r="I161" s="106"/>
      <c r="J161" s="106"/>
      <c r="K161" s="106"/>
      <c r="L161" s="106"/>
      <c r="M161" s="106"/>
      <c r="N161" s="106"/>
      <c r="O161" s="106"/>
    </row>
    <row r="162" spans="2:27" ht="15">
      <c r="B162" s="14" t="s">
        <v>132</v>
      </c>
      <c r="C162" s="106"/>
      <c r="D162" s="106"/>
      <c r="E162" s="106"/>
      <c r="F162" s="106"/>
      <c r="G162" s="106"/>
      <c r="H162" s="106"/>
      <c r="I162" s="106"/>
      <c r="J162" s="106"/>
      <c r="K162" s="106"/>
      <c r="L162" s="106"/>
      <c r="M162" s="106"/>
      <c r="N162" s="106"/>
      <c r="O162" s="106"/>
    </row>
    <row r="163" spans="2:27">
      <c r="B163" s="106"/>
      <c r="C163" s="106"/>
      <c r="D163" s="106"/>
      <c r="E163" s="106"/>
      <c r="F163" s="106"/>
      <c r="G163" s="106"/>
      <c r="H163" s="106"/>
      <c r="I163" s="106"/>
      <c r="J163" s="106"/>
      <c r="K163" s="106"/>
      <c r="L163" s="106"/>
      <c r="M163" s="106"/>
      <c r="N163" s="106"/>
      <c r="O163" s="106"/>
    </row>
    <row r="164" spans="2:27" s="106" customFormat="1">
      <c r="B164" s="639" t="s">
        <v>250</v>
      </c>
      <c r="C164" s="535" t="s">
        <v>133</v>
      </c>
      <c r="D164" s="535"/>
      <c r="E164" s="535"/>
      <c r="F164" s="535"/>
      <c r="G164" s="535"/>
      <c r="H164" s="535"/>
      <c r="I164" s="535"/>
      <c r="J164" s="535"/>
      <c r="K164" s="535"/>
      <c r="L164" s="535"/>
      <c r="M164" s="535"/>
      <c r="N164" s="535"/>
      <c r="O164" s="535"/>
      <c r="P164" s="535"/>
      <c r="Q164" s="101"/>
      <c r="R164" s="101"/>
      <c r="S164" s="101"/>
      <c r="T164" s="101"/>
      <c r="U164" s="101"/>
      <c r="V164" s="101"/>
      <c r="W164" s="101"/>
      <c r="X164" s="101"/>
      <c r="Y164" s="101"/>
      <c r="Z164" s="101"/>
      <c r="AA164" s="101"/>
    </row>
    <row r="165" spans="2:27" s="106" customFormat="1">
      <c r="B165" s="639"/>
      <c r="C165" s="478">
        <v>2016</v>
      </c>
      <c r="D165" s="120">
        <v>2017</v>
      </c>
      <c r="E165" s="120" t="s">
        <v>134</v>
      </c>
      <c r="F165" s="120" t="s">
        <v>135</v>
      </c>
      <c r="G165" s="120" t="s">
        <v>136</v>
      </c>
      <c r="H165" s="120" t="s">
        <v>137</v>
      </c>
      <c r="I165" s="120" t="s">
        <v>138</v>
      </c>
      <c r="J165" s="120" t="s">
        <v>139</v>
      </c>
      <c r="K165" s="120" t="s">
        <v>140</v>
      </c>
      <c r="L165" s="120" t="s">
        <v>141</v>
      </c>
      <c r="M165" s="120" t="s">
        <v>142</v>
      </c>
      <c r="N165" s="120" t="s">
        <v>143</v>
      </c>
      <c r="O165" s="120" t="s">
        <v>144</v>
      </c>
      <c r="P165" s="120" t="s">
        <v>955</v>
      </c>
      <c r="Q165" s="101"/>
      <c r="R165" s="101"/>
      <c r="S165" s="101"/>
      <c r="T165" s="101"/>
      <c r="U165" s="101"/>
      <c r="V165" s="101"/>
      <c r="W165" s="101"/>
      <c r="X165" s="101"/>
      <c r="Y165" s="101"/>
      <c r="Z165" s="101"/>
      <c r="AA165" s="101"/>
    </row>
    <row r="166" spans="2:27" s="106" customFormat="1">
      <c r="B166" s="486" t="s">
        <v>251</v>
      </c>
      <c r="C166" s="122"/>
      <c r="D166" s="122"/>
      <c r="E166" s="122"/>
      <c r="F166" s="486"/>
      <c r="G166" s="122"/>
      <c r="H166" s="122"/>
      <c r="I166" s="122"/>
      <c r="J166" s="122"/>
      <c r="K166" s="122"/>
      <c r="L166" s="122"/>
      <c r="M166" s="122"/>
      <c r="N166" s="122"/>
      <c r="O166" s="122"/>
      <c r="P166" s="101"/>
      <c r="Q166" s="101"/>
      <c r="R166" s="101"/>
      <c r="S166" s="101"/>
      <c r="T166" s="101"/>
      <c r="U166" s="101"/>
      <c r="V166" s="101"/>
      <c r="W166" s="101"/>
      <c r="X166" s="101"/>
      <c r="Y166" s="101"/>
      <c r="Z166" s="101"/>
      <c r="AA166" s="101"/>
    </row>
    <row r="167" spans="2:27" s="106" customFormat="1">
      <c r="B167" s="104" t="s">
        <v>252</v>
      </c>
      <c r="C167" s="121">
        <v>4524</v>
      </c>
      <c r="D167" s="121">
        <v>6585</v>
      </c>
      <c r="E167" s="121">
        <v>11749</v>
      </c>
      <c r="F167" s="121">
        <v>7059</v>
      </c>
      <c r="G167" s="121">
        <v>12736</v>
      </c>
      <c r="H167" s="121">
        <v>16740</v>
      </c>
      <c r="I167" s="121">
        <v>17968</v>
      </c>
      <c r="J167" s="121">
        <v>14039</v>
      </c>
      <c r="K167" s="121">
        <v>7110</v>
      </c>
      <c r="L167" s="121">
        <v>595971</v>
      </c>
      <c r="M167" s="121">
        <v>757278</v>
      </c>
      <c r="N167" s="121">
        <v>1320153</v>
      </c>
      <c r="O167" s="121">
        <v>799542</v>
      </c>
      <c r="P167" s="601">
        <v>2067337</v>
      </c>
      <c r="Q167" s="101"/>
      <c r="R167" s="101"/>
      <c r="S167" s="101"/>
      <c r="T167" s="101"/>
      <c r="U167" s="101"/>
      <c r="V167" s="101"/>
      <c r="W167" s="101"/>
      <c r="X167" s="101"/>
      <c r="Y167" s="101"/>
      <c r="Z167" s="101"/>
      <c r="AA167" s="101"/>
    </row>
    <row r="168" spans="2:27" s="106" customFormat="1">
      <c r="B168" s="104" t="s">
        <v>181</v>
      </c>
      <c r="C168" s="121">
        <v>336138</v>
      </c>
      <c r="D168" s="121">
        <v>610066</v>
      </c>
      <c r="E168" s="121">
        <v>716226</v>
      </c>
      <c r="F168" s="121">
        <v>843828</v>
      </c>
      <c r="G168" s="121">
        <v>1591227</v>
      </c>
      <c r="H168" s="121">
        <v>680909</v>
      </c>
      <c r="I168" s="121">
        <v>1087284</v>
      </c>
      <c r="J168" s="121">
        <v>1330308</v>
      </c>
      <c r="K168" s="121">
        <v>1197427</v>
      </c>
      <c r="L168" s="121">
        <v>2068611</v>
      </c>
      <c r="M168" s="121">
        <v>511984</v>
      </c>
      <c r="N168" s="121">
        <v>565480</v>
      </c>
      <c r="O168" s="121">
        <v>541218</v>
      </c>
      <c r="P168" s="601">
        <v>453557</v>
      </c>
      <c r="Q168" s="101"/>
      <c r="R168" s="101"/>
      <c r="S168" s="101"/>
      <c r="T168" s="101"/>
      <c r="U168" s="101"/>
      <c r="V168" s="101"/>
      <c r="W168" s="101"/>
      <c r="X168" s="101"/>
      <c r="Y168" s="101"/>
      <c r="Z168" s="101"/>
      <c r="AA168" s="101"/>
    </row>
    <row r="169" spans="2:27" s="106" customFormat="1">
      <c r="B169" s="104" t="s">
        <v>253</v>
      </c>
      <c r="C169" s="121">
        <v>83117</v>
      </c>
      <c r="D169" s="121">
        <v>287868</v>
      </c>
      <c r="E169" s="121">
        <v>230726.7178499999</v>
      </c>
      <c r="F169" s="121">
        <v>315405</v>
      </c>
      <c r="G169" s="121">
        <v>246775</v>
      </c>
      <c r="H169" s="121">
        <v>270923</v>
      </c>
      <c r="I169" s="121">
        <v>276793</v>
      </c>
      <c r="J169" s="121">
        <v>293727</v>
      </c>
      <c r="K169" s="121">
        <v>248303</v>
      </c>
      <c r="L169" s="121">
        <v>256674</v>
      </c>
      <c r="M169" s="121">
        <v>281522</v>
      </c>
      <c r="N169" s="121">
        <v>1181589</v>
      </c>
      <c r="O169" s="121">
        <v>632473</v>
      </c>
      <c r="P169" s="601">
        <v>658932</v>
      </c>
      <c r="Q169" s="101"/>
      <c r="R169" s="101"/>
      <c r="S169" s="101"/>
      <c r="T169" s="101"/>
      <c r="U169" s="101"/>
      <c r="V169" s="101"/>
      <c r="W169" s="101"/>
      <c r="X169" s="101"/>
      <c r="Y169" s="101"/>
      <c r="Z169" s="101"/>
      <c r="AA169" s="101"/>
    </row>
    <row r="170" spans="2:27" s="106" customFormat="1">
      <c r="B170" s="104" t="s">
        <v>254</v>
      </c>
      <c r="C170" s="121">
        <v>16700</v>
      </c>
      <c r="D170" s="121">
        <v>18831</v>
      </c>
      <c r="E170" s="121">
        <v>17085</v>
      </c>
      <c r="F170" s="121">
        <v>16396</v>
      </c>
      <c r="G170" s="121">
        <v>16099</v>
      </c>
      <c r="H170" s="121">
        <v>20365</v>
      </c>
      <c r="I170" s="121">
        <v>18709</v>
      </c>
      <c r="J170" s="121">
        <v>15935</v>
      </c>
      <c r="K170" s="121">
        <v>15742</v>
      </c>
      <c r="L170" s="121">
        <v>14942</v>
      </c>
      <c r="M170" s="121">
        <v>15165</v>
      </c>
      <c r="N170" s="121">
        <v>14959</v>
      </c>
      <c r="O170" s="121">
        <v>17505</v>
      </c>
      <c r="P170" s="601">
        <v>22652</v>
      </c>
      <c r="Q170" s="101"/>
      <c r="R170" s="101"/>
      <c r="S170" s="101"/>
      <c r="T170" s="101"/>
      <c r="U170" s="101"/>
      <c r="V170" s="101"/>
      <c r="W170" s="101"/>
      <c r="X170" s="101"/>
      <c r="Y170" s="101"/>
      <c r="Z170" s="101"/>
      <c r="AA170" s="101"/>
    </row>
    <row r="171" spans="2:27" s="106" customFormat="1">
      <c r="B171" s="104" t="s">
        <v>255</v>
      </c>
      <c r="C171" s="121">
        <v>0</v>
      </c>
      <c r="D171" s="121">
        <v>4307</v>
      </c>
      <c r="E171" s="121">
        <v>0</v>
      </c>
      <c r="F171" s="121">
        <v>0</v>
      </c>
      <c r="G171" s="121">
        <v>9512</v>
      </c>
      <c r="H171" s="121">
        <v>14879</v>
      </c>
      <c r="I171" s="121">
        <v>16631</v>
      </c>
      <c r="J171" s="121">
        <v>19974</v>
      </c>
      <c r="K171" s="121">
        <v>25639</v>
      </c>
      <c r="L171" s="121">
        <v>17452</v>
      </c>
      <c r="M171" s="121">
        <v>9681</v>
      </c>
      <c r="N171" s="121">
        <v>19543</v>
      </c>
      <c r="O171" s="121">
        <v>19717</v>
      </c>
      <c r="P171" s="601">
        <v>22259</v>
      </c>
      <c r="Q171" s="101"/>
      <c r="R171" s="101"/>
      <c r="S171" s="101"/>
      <c r="T171" s="101"/>
      <c r="U171" s="101"/>
      <c r="V171" s="101"/>
      <c r="W171" s="101"/>
      <c r="X171" s="101"/>
      <c r="Y171" s="101"/>
      <c r="Z171" s="101"/>
      <c r="AA171" s="101"/>
    </row>
    <row r="172" spans="2:27" s="106" customFormat="1">
      <c r="B172" s="104" t="s">
        <v>256</v>
      </c>
      <c r="C172" s="121">
        <v>17531</v>
      </c>
      <c r="D172" s="121">
        <v>14162</v>
      </c>
      <c r="E172" s="121">
        <v>132735</v>
      </c>
      <c r="F172" s="121">
        <v>216638</v>
      </c>
      <c r="G172" s="121">
        <v>314092</v>
      </c>
      <c r="H172" s="121">
        <v>29521</v>
      </c>
      <c r="I172" s="121">
        <v>84201</v>
      </c>
      <c r="J172" s="121">
        <v>169403</v>
      </c>
      <c r="K172" s="121">
        <v>215694</v>
      </c>
      <c r="L172" s="121">
        <v>32335</v>
      </c>
      <c r="M172" s="121">
        <v>43483</v>
      </c>
      <c r="N172" s="121">
        <v>84600</v>
      </c>
      <c r="O172" s="121">
        <v>210886</v>
      </c>
      <c r="P172" s="601">
        <v>28807</v>
      </c>
      <c r="Q172" s="101"/>
      <c r="R172" s="101"/>
      <c r="S172" s="101"/>
      <c r="T172" s="101"/>
      <c r="U172" s="101"/>
      <c r="V172" s="101"/>
      <c r="W172" s="101"/>
      <c r="X172" s="101"/>
      <c r="Y172" s="101"/>
      <c r="Z172" s="101"/>
      <c r="AA172" s="101"/>
    </row>
    <row r="173" spans="2:27" s="106" customFormat="1">
      <c r="B173" s="104" t="s">
        <v>186</v>
      </c>
      <c r="C173" s="121">
        <v>0</v>
      </c>
      <c r="D173" s="121">
        <v>2611</v>
      </c>
      <c r="E173" s="121">
        <v>0</v>
      </c>
      <c r="F173" s="121">
        <v>0</v>
      </c>
      <c r="G173" s="121">
        <v>0</v>
      </c>
      <c r="H173" s="121">
        <v>0</v>
      </c>
      <c r="I173" s="121">
        <v>0</v>
      </c>
      <c r="J173" s="121">
        <v>0</v>
      </c>
      <c r="K173" s="121">
        <v>67372</v>
      </c>
      <c r="L173" s="121">
        <v>19202</v>
      </c>
      <c r="M173" s="121">
        <v>228664</v>
      </c>
      <c r="N173" s="121">
        <v>255557</v>
      </c>
      <c r="O173" s="121">
        <v>14138</v>
      </c>
      <c r="P173" s="601">
        <v>12368</v>
      </c>
      <c r="Q173" s="101"/>
      <c r="R173" s="101"/>
      <c r="S173" s="101"/>
      <c r="T173" s="101"/>
      <c r="U173" s="101"/>
      <c r="V173" s="101"/>
      <c r="W173" s="101"/>
      <c r="X173" s="101"/>
      <c r="Y173" s="101"/>
      <c r="Z173" s="101"/>
      <c r="AA173" s="101"/>
    </row>
    <row r="174" spans="2:27" s="106" customFormat="1">
      <c r="B174" s="104" t="s">
        <v>257</v>
      </c>
      <c r="C174" s="121">
        <v>23518</v>
      </c>
      <c r="D174" s="121">
        <v>0</v>
      </c>
      <c r="E174" s="121">
        <v>0</v>
      </c>
      <c r="F174" s="121">
        <v>0</v>
      </c>
      <c r="G174" s="121">
        <v>0</v>
      </c>
      <c r="H174" s="121">
        <v>0</v>
      </c>
      <c r="I174" s="121">
        <v>0</v>
      </c>
      <c r="J174" s="121">
        <v>0</v>
      </c>
      <c r="K174" s="121">
        <v>0</v>
      </c>
      <c r="L174" s="121">
        <v>0</v>
      </c>
      <c r="M174" s="121">
        <v>0</v>
      </c>
      <c r="N174" s="121">
        <v>0</v>
      </c>
      <c r="O174" s="121">
        <v>0</v>
      </c>
      <c r="P174" s="601" t="s">
        <v>157</v>
      </c>
      <c r="Q174" s="101"/>
      <c r="R174" s="101"/>
      <c r="S174" s="101"/>
      <c r="T174" s="101"/>
      <c r="U174" s="101"/>
      <c r="V174" s="101"/>
      <c r="W174" s="101"/>
      <c r="X174" s="101"/>
      <c r="Y174" s="101"/>
      <c r="Z174" s="101"/>
      <c r="AA174" s="101"/>
    </row>
    <row r="175" spans="2:27" s="106" customFormat="1">
      <c r="B175" s="104" t="s">
        <v>259</v>
      </c>
      <c r="C175" s="121">
        <v>18041</v>
      </c>
      <c r="D175" s="121">
        <v>902.90506000000005</v>
      </c>
      <c r="E175" s="121">
        <v>490.49568999999974</v>
      </c>
      <c r="F175" s="121">
        <v>825</v>
      </c>
      <c r="G175" s="121">
        <v>423</v>
      </c>
      <c r="H175" s="121">
        <v>323</v>
      </c>
      <c r="I175" s="121">
        <v>4276</v>
      </c>
      <c r="J175" s="121">
        <v>9056</v>
      </c>
      <c r="K175" s="121">
        <v>9265</v>
      </c>
      <c r="L175" s="121">
        <v>703</v>
      </c>
      <c r="M175" s="121">
        <v>917</v>
      </c>
      <c r="N175" s="121">
        <v>1013</v>
      </c>
      <c r="O175" s="121">
        <v>580</v>
      </c>
      <c r="P175" s="601">
        <v>5649</v>
      </c>
      <c r="Q175" s="101"/>
      <c r="R175" s="101"/>
      <c r="S175" s="101"/>
      <c r="T175" s="101"/>
      <c r="U175" s="101"/>
      <c r="V175" s="101"/>
      <c r="W175" s="101"/>
      <c r="X175" s="101"/>
      <c r="Y175" s="101"/>
      <c r="Z175" s="101"/>
      <c r="AA175" s="101"/>
    </row>
    <row r="176" spans="2:27">
      <c r="B176" s="104" t="s">
        <v>258</v>
      </c>
      <c r="C176" s="121">
        <v>10303</v>
      </c>
      <c r="D176" s="121">
        <v>4607</v>
      </c>
      <c r="E176" s="121">
        <v>40927</v>
      </c>
      <c r="F176" s="121">
        <v>22245</v>
      </c>
      <c r="G176" s="121">
        <v>13145</v>
      </c>
      <c r="H176" s="121">
        <v>8384</v>
      </c>
      <c r="I176" s="121">
        <v>34841</v>
      </c>
      <c r="J176" s="121">
        <v>24862</v>
      </c>
      <c r="K176" s="121">
        <v>14657</v>
      </c>
      <c r="L176" s="121">
        <v>4677</v>
      </c>
      <c r="M176" s="121">
        <v>33212</v>
      </c>
      <c r="N176" s="121">
        <v>24292</v>
      </c>
      <c r="O176" s="121">
        <v>15324</v>
      </c>
      <c r="P176" s="601">
        <v>6400</v>
      </c>
    </row>
    <row r="177" spans="2:27">
      <c r="B177" s="104" t="s">
        <v>260</v>
      </c>
      <c r="C177" s="121">
        <v>0</v>
      </c>
      <c r="D177" s="121">
        <v>1141</v>
      </c>
      <c r="E177" s="121">
        <v>0</v>
      </c>
      <c r="F177" s="121">
        <v>0</v>
      </c>
      <c r="G177" s="121">
        <v>1211</v>
      </c>
      <c r="H177" s="121">
        <v>1787</v>
      </c>
      <c r="I177" s="121">
        <v>1814</v>
      </c>
      <c r="J177" s="121">
        <v>1833</v>
      </c>
      <c r="K177" s="121">
        <v>1862</v>
      </c>
      <c r="L177" s="121">
        <v>1876</v>
      </c>
      <c r="M177" s="121">
        <v>1887</v>
      </c>
      <c r="N177" s="121">
        <v>1894</v>
      </c>
      <c r="O177" s="121">
        <v>1892</v>
      </c>
      <c r="P177" s="601">
        <v>1808</v>
      </c>
    </row>
    <row r="178" spans="2:27">
      <c r="B178" s="104" t="s">
        <v>189</v>
      </c>
      <c r="C178" s="121">
        <v>49486</v>
      </c>
      <c r="D178" s="121">
        <v>42433</v>
      </c>
      <c r="E178" s="121">
        <v>66666</v>
      </c>
      <c r="F178" s="121">
        <v>83296</v>
      </c>
      <c r="G178" s="121">
        <v>41921</v>
      </c>
      <c r="H178" s="121">
        <v>48818</v>
      </c>
      <c r="I178" s="121">
        <v>43681</v>
      </c>
      <c r="J178" s="121">
        <v>41017</v>
      </c>
      <c r="K178" s="121">
        <v>36844</v>
      </c>
      <c r="L178" s="121">
        <v>41133</v>
      </c>
      <c r="M178" s="121">
        <v>39483</v>
      </c>
      <c r="N178" s="121">
        <v>76935</v>
      </c>
      <c r="O178" s="121">
        <v>71323</v>
      </c>
      <c r="P178" s="601">
        <v>69415</v>
      </c>
    </row>
    <row r="179" spans="2:27" s="106" customFormat="1">
      <c r="B179" s="484"/>
      <c r="C179" s="123">
        <f t="shared" ref="C179:P179" si="33">SUM(C167:C178)</f>
        <v>559358</v>
      </c>
      <c r="D179" s="123">
        <f t="shared" si="33"/>
        <v>993513.90506000002</v>
      </c>
      <c r="E179" s="123">
        <f t="shared" si="33"/>
        <v>1216605.2135399999</v>
      </c>
      <c r="F179" s="123">
        <f t="shared" si="33"/>
        <v>1505692</v>
      </c>
      <c r="G179" s="123">
        <f t="shared" si="33"/>
        <v>2247141</v>
      </c>
      <c r="H179" s="123">
        <f t="shared" si="33"/>
        <v>1092649</v>
      </c>
      <c r="I179" s="123">
        <f t="shared" si="33"/>
        <v>1586198</v>
      </c>
      <c r="J179" s="123">
        <f t="shared" si="33"/>
        <v>1920154</v>
      </c>
      <c r="K179" s="123">
        <f t="shared" si="33"/>
        <v>1839915</v>
      </c>
      <c r="L179" s="123">
        <f t="shared" si="33"/>
        <v>3053576</v>
      </c>
      <c r="M179" s="123">
        <f t="shared" si="33"/>
        <v>1923276</v>
      </c>
      <c r="N179" s="123">
        <f t="shared" si="33"/>
        <v>3546015</v>
      </c>
      <c r="O179" s="123">
        <f t="shared" si="33"/>
        <v>2324598</v>
      </c>
      <c r="P179" s="605">
        <f t="shared" si="33"/>
        <v>3349184</v>
      </c>
      <c r="Q179" s="101"/>
      <c r="R179" s="101"/>
      <c r="S179" s="101"/>
      <c r="T179" s="101"/>
      <c r="U179" s="101"/>
      <c r="V179" s="101"/>
      <c r="W179" s="101"/>
      <c r="X179" s="101"/>
      <c r="Y179" s="101"/>
      <c r="Z179" s="101"/>
      <c r="AA179" s="101"/>
    </row>
    <row r="180" spans="2:27" s="106" customFormat="1">
      <c r="B180" s="486" t="s">
        <v>261</v>
      </c>
      <c r="C180" s="122"/>
      <c r="D180" s="122"/>
      <c r="E180" s="122"/>
      <c r="F180" s="486"/>
      <c r="G180" s="122"/>
      <c r="H180" s="122"/>
      <c r="I180" s="122"/>
      <c r="J180" s="122"/>
      <c r="K180" s="122"/>
      <c r="L180" s="122"/>
      <c r="M180" s="122"/>
      <c r="N180" s="122"/>
      <c r="O180" s="122"/>
      <c r="P180" s="606"/>
      <c r="Q180" s="101"/>
      <c r="R180" s="101"/>
      <c r="S180" s="101"/>
      <c r="T180" s="101"/>
      <c r="U180" s="101"/>
      <c r="V180" s="101"/>
      <c r="W180" s="101"/>
      <c r="X180" s="101"/>
      <c r="Y180" s="101"/>
      <c r="Z180" s="101"/>
      <c r="AA180" s="101"/>
    </row>
    <row r="181" spans="2:27" s="106" customFormat="1">
      <c r="B181" s="497" t="s">
        <v>262</v>
      </c>
      <c r="C181" s="124"/>
      <c r="D181" s="124"/>
      <c r="E181" s="124"/>
      <c r="F181" s="124"/>
      <c r="G181" s="124"/>
      <c r="H181" s="124"/>
      <c r="I181" s="124"/>
      <c r="J181" s="124"/>
      <c r="K181" s="124"/>
      <c r="L181" s="124"/>
      <c r="M181" s="124"/>
      <c r="N181" s="124"/>
      <c r="O181" s="124"/>
      <c r="P181" s="613"/>
      <c r="Q181" s="101"/>
      <c r="R181" s="101"/>
      <c r="S181" s="101"/>
      <c r="T181" s="101"/>
      <c r="U181" s="101"/>
      <c r="V181" s="101"/>
      <c r="W181" s="101"/>
      <c r="X181" s="101"/>
      <c r="Y181" s="101"/>
      <c r="Z181" s="101"/>
      <c r="AA181" s="101"/>
    </row>
    <row r="182" spans="2:27" s="106" customFormat="1">
      <c r="B182" s="104" t="s">
        <v>260</v>
      </c>
      <c r="C182" s="121">
        <v>0</v>
      </c>
      <c r="D182" s="121">
        <v>35674</v>
      </c>
      <c r="E182" s="121">
        <v>0</v>
      </c>
      <c r="F182" s="121">
        <v>0</v>
      </c>
      <c r="G182" s="121">
        <v>43818</v>
      </c>
      <c r="H182" s="121">
        <v>42268</v>
      </c>
      <c r="I182" s="121">
        <v>44888</v>
      </c>
      <c r="J182" s="121">
        <v>47771</v>
      </c>
      <c r="K182" s="121">
        <v>47245</v>
      </c>
      <c r="L182" s="121">
        <v>46515</v>
      </c>
      <c r="M182" s="121">
        <v>46649</v>
      </c>
      <c r="N182" s="121">
        <v>46926</v>
      </c>
      <c r="O182" s="121">
        <v>46981</v>
      </c>
      <c r="P182" s="601">
        <v>46903</v>
      </c>
      <c r="Q182" s="101"/>
      <c r="R182" s="101"/>
      <c r="S182" s="101"/>
      <c r="T182" s="101"/>
      <c r="U182" s="101"/>
      <c r="V182" s="101"/>
      <c r="W182" s="101"/>
      <c r="X182" s="101"/>
      <c r="Y182" s="101"/>
      <c r="Z182" s="101"/>
      <c r="AA182" s="101"/>
    </row>
    <row r="183" spans="2:27" s="106" customFormat="1">
      <c r="B183" s="104" t="s">
        <v>253</v>
      </c>
      <c r="C183" s="121">
        <v>9117</v>
      </c>
      <c r="D183" s="121">
        <v>20329</v>
      </c>
      <c r="E183" s="121">
        <v>14973.786459999159</v>
      </c>
      <c r="F183" s="121">
        <v>20664</v>
      </c>
      <c r="G183" s="121">
        <v>9769</v>
      </c>
      <c r="H183" s="121">
        <v>10575</v>
      </c>
      <c r="I183" s="121">
        <v>10666</v>
      </c>
      <c r="J183" s="121">
        <v>10594</v>
      </c>
      <c r="K183" s="121">
        <v>10663</v>
      </c>
      <c r="L183" s="121">
        <v>10679</v>
      </c>
      <c r="M183" s="121">
        <v>10700</v>
      </c>
      <c r="N183" s="121">
        <v>10726</v>
      </c>
      <c r="O183" s="121">
        <v>578837</v>
      </c>
      <c r="P183" s="601">
        <v>498309</v>
      </c>
      <c r="Q183" s="101"/>
      <c r="R183" s="101"/>
      <c r="S183" s="101"/>
      <c r="T183" s="101"/>
      <c r="U183" s="101"/>
      <c r="V183" s="101"/>
      <c r="W183" s="101"/>
      <c r="X183" s="101"/>
      <c r="Y183" s="101"/>
      <c r="Z183" s="101"/>
      <c r="AA183" s="101"/>
    </row>
    <row r="184" spans="2:27" s="106" customFormat="1">
      <c r="B184" s="104" t="s">
        <v>263</v>
      </c>
      <c r="C184" s="121">
        <v>1150358</v>
      </c>
      <c r="D184" s="121">
        <v>1312791</v>
      </c>
      <c r="E184" s="121">
        <v>1363119</v>
      </c>
      <c r="F184" s="121">
        <v>1409142</v>
      </c>
      <c r="G184" s="121">
        <v>1425474</v>
      </c>
      <c r="H184" s="121">
        <v>1426083</v>
      </c>
      <c r="I184" s="121">
        <v>1426613</v>
      </c>
      <c r="J184" s="121">
        <v>1473391</v>
      </c>
      <c r="K184" s="121">
        <v>1518151</v>
      </c>
      <c r="L184" s="121">
        <v>1576332</v>
      </c>
      <c r="M184" s="121">
        <v>1620971</v>
      </c>
      <c r="N184" s="121">
        <v>1668555</v>
      </c>
      <c r="O184" s="121">
        <v>1724394</v>
      </c>
      <c r="P184" s="601">
        <v>1778999</v>
      </c>
      <c r="Q184" s="101"/>
      <c r="R184" s="101"/>
      <c r="S184" s="101"/>
      <c r="T184" s="101"/>
      <c r="U184" s="101"/>
      <c r="V184" s="101"/>
      <c r="W184" s="101"/>
      <c r="X184" s="101"/>
      <c r="Y184" s="101"/>
      <c r="Z184" s="101"/>
      <c r="AA184" s="101"/>
    </row>
    <row r="185" spans="2:27" s="106" customFormat="1">
      <c r="B185" s="104" t="s">
        <v>264</v>
      </c>
      <c r="C185" s="121">
        <v>229085</v>
      </c>
      <c r="D185" s="121" t="s">
        <v>157</v>
      </c>
      <c r="E185" s="121" t="s">
        <v>157</v>
      </c>
      <c r="F185" s="121" t="s">
        <v>157</v>
      </c>
      <c r="G185" s="121" t="s">
        <v>157</v>
      </c>
      <c r="H185" s="121" t="s">
        <v>157</v>
      </c>
      <c r="I185" s="121" t="s">
        <v>157</v>
      </c>
      <c r="J185" s="121" t="s">
        <v>157</v>
      </c>
      <c r="K185" s="498" t="s">
        <v>157</v>
      </c>
      <c r="L185" s="498" t="s">
        <v>157</v>
      </c>
      <c r="M185" s="121" t="s">
        <v>157</v>
      </c>
      <c r="N185" s="121" t="s">
        <v>157</v>
      </c>
      <c r="O185" s="121">
        <v>0</v>
      </c>
      <c r="P185" s="601" t="s">
        <v>157</v>
      </c>
      <c r="Q185" s="101"/>
      <c r="R185" s="101"/>
      <c r="S185" s="101"/>
      <c r="T185" s="101"/>
      <c r="U185" s="101"/>
      <c r="V185" s="101"/>
      <c r="W185" s="101"/>
      <c r="X185" s="101"/>
      <c r="Y185" s="101"/>
      <c r="Z185" s="101"/>
      <c r="AA185" s="101"/>
    </row>
    <row r="186" spans="2:27" s="106" customFormat="1">
      <c r="B186" s="104" t="s">
        <v>257</v>
      </c>
      <c r="C186" s="121">
        <v>0</v>
      </c>
      <c r="D186" s="121">
        <v>0</v>
      </c>
      <c r="E186" s="121">
        <v>0</v>
      </c>
      <c r="F186" s="121">
        <v>0</v>
      </c>
      <c r="G186" s="121">
        <v>0</v>
      </c>
      <c r="H186" s="121">
        <v>0</v>
      </c>
      <c r="I186" s="121">
        <v>76</v>
      </c>
      <c r="J186" s="121">
        <v>329</v>
      </c>
      <c r="K186" s="121">
        <v>2226</v>
      </c>
      <c r="L186" s="121">
        <v>242</v>
      </c>
      <c r="M186" s="121">
        <v>0</v>
      </c>
      <c r="N186" s="121">
        <v>0</v>
      </c>
      <c r="O186" s="121">
        <v>0</v>
      </c>
      <c r="P186" s="601" t="s">
        <v>157</v>
      </c>
      <c r="Q186" s="101"/>
      <c r="R186" s="101"/>
      <c r="S186" s="101"/>
      <c r="T186" s="101"/>
      <c r="U186" s="101"/>
      <c r="V186" s="101"/>
      <c r="W186" s="101"/>
      <c r="X186" s="101"/>
      <c r="Y186" s="101"/>
      <c r="Z186" s="101"/>
      <c r="AA186" s="101"/>
    </row>
    <row r="187" spans="2:27" s="106" customFormat="1">
      <c r="B187" s="104" t="s">
        <v>197</v>
      </c>
      <c r="C187" s="121">
        <v>70175</v>
      </c>
      <c r="D187" s="121">
        <v>66414</v>
      </c>
      <c r="E187" s="121">
        <v>66571</v>
      </c>
      <c r="F187" s="121">
        <v>65070</v>
      </c>
      <c r="G187" s="121">
        <v>66816</v>
      </c>
      <c r="H187" s="121">
        <v>66987</v>
      </c>
      <c r="I187" s="121">
        <v>64874</v>
      </c>
      <c r="J187" s="121">
        <v>64007</v>
      </c>
      <c r="K187" s="121">
        <v>58867</v>
      </c>
      <c r="L187" s="121">
        <v>52886</v>
      </c>
      <c r="M187" s="121">
        <v>51597</v>
      </c>
      <c r="N187" s="121">
        <v>49133</v>
      </c>
      <c r="O187" s="121">
        <v>41575</v>
      </c>
      <c r="P187" s="601">
        <v>44119</v>
      </c>
      <c r="Q187" s="101"/>
      <c r="R187" s="101"/>
      <c r="S187" s="101"/>
      <c r="T187" s="101"/>
      <c r="U187" s="101"/>
      <c r="V187" s="101"/>
      <c r="W187" s="101"/>
      <c r="X187" s="101"/>
      <c r="Y187" s="101"/>
      <c r="Z187" s="101"/>
      <c r="AA187" s="101"/>
    </row>
    <row r="188" spans="2:27" s="106" customFormat="1">
      <c r="B188" s="104" t="s">
        <v>198</v>
      </c>
      <c r="C188" s="121">
        <v>0</v>
      </c>
      <c r="D188" s="121">
        <v>0</v>
      </c>
      <c r="E188" s="121">
        <v>0</v>
      </c>
      <c r="F188" s="121">
        <v>0</v>
      </c>
      <c r="G188" s="121">
        <v>0</v>
      </c>
      <c r="H188" s="121">
        <v>105444</v>
      </c>
      <c r="I188" s="121">
        <v>105444</v>
      </c>
      <c r="J188" s="121">
        <v>105444</v>
      </c>
      <c r="K188" s="121">
        <v>105444</v>
      </c>
      <c r="L188" s="121">
        <v>43024</v>
      </c>
      <c r="M188" s="121">
        <v>43024</v>
      </c>
      <c r="N188" s="121">
        <v>43024</v>
      </c>
      <c r="O188" s="121">
        <v>43024</v>
      </c>
      <c r="P188" s="601">
        <v>0</v>
      </c>
      <c r="Q188" s="101"/>
      <c r="R188" s="101"/>
      <c r="S188" s="101"/>
      <c r="T188" s="101"/>
      <c r="U188" s="101"/>
      <c r="V188" s="101"/>
      <c r="W188" s="101"/>
      <c r="X188" s="101"/>
      <c r="Y188" s="101"/>
      <c r="Z188" s="101"/>
      <c r="AA188" s="101"/>
    </row>
    <row r="189" spans="2:27">
      <c r="B189" s="104" t="s">
        <v>186</v>
      </c>
      <c r="C189" s="121">
        <v>0</v>
      </c>
      <c r="D189" s="121">
        <v>0</v>
      </c>
      <c r="E189" s="121">
        <v>0</v>
      </c>
      <c r="F189" s="121">
        <v>11861</v>
      </c>
      <c r="G189" s="121">
        <v>11861</v>
      </c>
      <c r="H189" s="121">
        <v>2643</v>
      </c>
      <c r="I189" s="121">
        <v>10771</v>
      </c>
      <c r="J189" s="121">
        <v>0</v>
      </c>
      <c r="K189" s="121">
        <v>1962</v>
      </c>
      <c r="L189" s="121">
        <v>0</v>
      </c>
      <c r="M189" s="121">
        <v>3068</v>
      </c>
      <c r="N189" s="121">
        <v>3546</v>
      </c>
      <c r="O189" s="121">
        <v>4056</v>
      </c>
      <c r="P189" s="601">
        <v>226</v>
      </c>
    </row>
    <row r="190" spans="2:27" s="106" customFormat="1">
      <c r="B190" s="104" t="s">
        <v>265</v>
      </c>
      <c r="C190" s="121">
        <v>0</v>
      </c>
      <c r="D190" s="121">
        <v>0</v>
      </c>
      <c r="E190" s="121">
        <v>0</v>
      </c>
      <c r="F190" s="121">
        <v>0</v>
      </c>
      <c r="G190" s="121">
        <v>0</v>
      </c>
      <c r="H190" s="121">
        <v>0</v>
      </c>
      <c r="I190" s="121">
        <v>0</v>
      </c>
      <c r="J190" s="121">
        <v>0</v>
      </c>
      <c r="K190" s="121">
        <v>0</v>
      </c>
      <c r="L190" s="121">
        <v>0</v>
      </c>
      <c r="M190" s="121">
        <v>12226</v>
      </c>
      <c r="N190" s="121">
        <v>5472</v>
      </c>
      <c r="O190" s="121">
        <v>5080</v>
      </c>
      <c r="P190" s="601">
        <v>7538</v>
      </c>
      <c r="Q190" s="101"/>
      <c r="R190" s="101"/>
      <c r="S190" s="101"/>
      <c r="T190" s="101"/>
      <c r="U190" s="101"/>
      <c r="V190" s="101"/>
      <c r="W190" s="101"/>
      <c r="X190" s="101"/>
      <c r="Y190" s="101"/>
      <c r="Z190" s="101"/>
      <c r="AA190" s="101"/>
    </row>
    <row r="191" spans="2:27" s="106" customFormat="1">
      <c r="B191" s="104" t="s">
        <v>189</v>
      </c>
      <c r="C191" s="121">
        <v>13572</v>
      </c>
      <c r="D191" s="121">
        <v>1000</v>
      </c>
      <c r="E191" s="121">
        <v>43228</v>
      </c>
      <c r="F191" s="121">
        <v>54956</v>
      </c>
      <c r="G191" s="121">
        <v>12490</v>
      </c>
      <c r="H191" s="121">
        <v>1476</v>
      </c>
      <c r="I191" s="121">
        <v>1467</v>
      </c>
      <c r="J191" s="121">
        <v>1458</v>
      </c>
      <c r="K191" s="121">
        <v>1449</v>
      </c>
      <c r="L191" s="121">
        <v>12693</v>
      </c>
      <c r="M191" s="121">
        <v>13700</v>
      </c>
      <c r="N191" s="121">
        <v>103428</v>
      </c>
      <c r="O191" s="121">
        <v>103825</v>
      </c>
      <c r="P191" s="601">
        <v>102772</v>
      </c>
      <c r="Q191" s="101"/>
      <c r="R191" s="101"/>
      <c r="S191" s="101"/>
      <c r="T191" s="101"/>
      <c r="U191" s="101"/>
      <c r="V191" s="101"/>
      <c r="W191" s="101"/>
      <c r="X191" s="101"/>
      <c r="Y191" s="101"/>
      <c r="Z191" s="101"/>
      <c r="AA191" s="101"/>
    </row>
    <row r="192" spans="2:27" s="106" customFormat="1" ht="14.15" customHeight="1">
      <c r="B192" s="484" t="s">
        <v>266</v>
      </c>
      <c r="C192" s="123">
        <f t="shared" ref="C192:N192" si="34">SUM(C182:C191)</f>
        <v>1472307</v>
      </c>
      <c r="D192" s="123">
        <f t="shared" si="34"/>
        <v>1436208</v>
      </c>
      <c r="E192" s="123">
        <f t="shared" si="34"/>
        <v>1487891.7864599992</v>
      </c>
      <c r="F192" s="123">
        <f t="shared" si="34"/>
        <v>1561693</v>
      </c>
      <c r="G192" s="123">
        <f t="shared" si="34"/>
        <v>1570228</v>
      </c>
      <c r="H192" s="123">
        <f t="shared" si="34"/>
        <v>1655476</v>
      </c>
      <c r="I192" s="123">
        <f t="shared" si="34"/>
        <v>1664799</v>
      </c>
      <c r="J192" s="123">
        <f t="shared" si="34"/>
        <v>1702994</v>
      </c>
      <c r="K192" s="123">
        <f t="shared" si="34"/>
        <v>1746007</v>
      </c>
      <c r="L192" s="123">
        <f t="shared" si="34"/>
        <v>1742371</v>
      </c>
      <c r="M192" s="123">
        <f t="shared" si="34"/>
        <v>1801935</v>
      </c>
      <c r="N192" s="123">
        <f t="shared" si="34"/>
        <v>1930810</v>
      </c>
      <c r="O192" s="123">
        <f>SUM(O182:O191)</f>
        <v>2547772</v>
      </c>
      <c r="P192" s="605">
        <f>SUM(P182:P191)</f>
        <v>2478866</v>
      </c>
      <c r="Q192" s="101"/>
      <c r="R192" s="101"/>
      <c r="S192" s="101"/>
      <c r="T192" s="101"/>
      <c r="U192" s="101"/>
      <c r="V192" s="101"/>
      <c r="W192" s="101"/>
      <c r="X192" s="101"/>
      <c r="Y192" s="101"/>
      <c r="Z192" s="101"/>
      <c r="AA192" s="101"/>
    </row>
    <row r="193" spans="2:27" s="106" customFormat="1">
      <c r="B193" s="104" t="s">
        <v>199</v>
      </c>
      <c r="C193" s="121">
        <v>1203699</v>
      </c>
      <c r="D193" s="121">
        <v>1185326</v>
      </c>
      <c r="E193" s="121">
        <v>1218871</v>
      </c>
      <c r="F193" s="121">
        <v>1242101</v>
      </c>
      <c r="G193" s="121">
        <v>1141153</v>
      </c>
      <c r="H193" s="121">
        <v>1150275</v>
      </c>
      <c r="I193" s="121">
        <v>1202280</v>
      </c>
      <c r="J193" s="121">
        <v>1213126</v>
      </c>
      <c r="K193" s="121">
        <v>1253850</v>
      </c>
      <c r="L193" s="121">
        <v>1390300</v>
      </c>
      <c r="M193" s="121">
        <v>1510113</v>
      </c>
      <c r="N193" s="121">
        <v>1515680</v>
      </c>
      <c r="O193" s="121">
        <v>1549139</v>
      </c>
      <c r="P193" s="601">
        <v>1517335</v>
      </c>
      <c r="Q193" s="101"/>
      <c r="R193" s="101"/>
      <c r="S193" s="101"/>
      <c r="T193" s="101"/>
      <c r="U193" s="101"/>
      <c r="V193" s="101"/>
      <c r="W193" s="101"/>
      <c r="X193" s="101"/>
      <c r="Y193" s="101"/>
      <c r="Z193" s="101"/>
      <c r="AA193" s="101"/>
    </row>
    <row r="194" spans="2:27">
      <c r="B194" s="104" t="s">
        <v>267</v>
      </c>
      <c r="C194" s="121">
        <v>6554702</v>
      </c>
      <c r="D194" s="121">
        <v>7203760</v>
      </c>
      <c r="E194" s="121">
        <v>7336924</v>
      </c>
      <c r="F194" s="121">
        <v>7217789</v>
      </c>
      <c r="G194" s="121">
        <v>7285026</v>
      </c>
      <c r="H194" s="121">
        <v>7095933</v>
      </c>
      <c r="I194" s="121">
        <v>7023767</v>
      </c>
      <c r="J194" s="121">
        <v>7026623</v>
      </c>
      <c r="K194" s="121">
        <v>7047922</v>
      </c>
      <c r="L194" s="121">
        <v>7156235</v>
      </c>
      <c r="M194" s="121">
        <v>7153557</v>
      </c>
      <c r="N194" s="121">
        <v>7151094</v>
      </c>
      <c r="O194" s="121">
        <v>7827146</v>
      </c>
      <c r="P194" s="601">
        <v>7912308</v>
      </c>
    </row>
    <row r="195" spans="2:27">
      <c r="B195" s="104" t="s">
        <v>201</v>
      </c>
      <c r="C195" s="121">
        <v>110936</v>
      </c>
      <c r="D195" s="121">
        <v>277941</v>
      </c>
      <c r="E195" s="121">
        <v>137603</v>
      </c>
      <c r="F195" s="121">
        <v>137790</v>
      </c>
      <c r="G195" s="121">
        <v>152216</v>
      </c>
      <c r="H195" s="121">
        <v>295698</v>
      </c>
      <c r="I195" s="121">
        <v>278554</v>
      </c>
      <c r="J195" s="121">
        <v>299428</v>
      </c>
      <c r="K195" s="121">
        <v>302226</v>
      </c>
      <c r="L195" s="121">
        <v>306071</v>
      </c>
      <c r="M195" s="121">
        <v>300500</v>
      </c>
      <c r="N195" s="121">
        <v>302412</v>
      </c>
      <c r="O195" s="121">
        <v>319989</v>
      </c>
      <c r="P195" s="601">
        <v>359753</v>
      </c>
    </row>
    <row r="196" spans="2:27">
      <c r="B196" s="484" t="s">
        <v>268</v>
      </c>
      <c r="C196" s="123">
        <f t="shared" ref="C196:N196" si="35">SUM(C193:C195,C182:C191)</f>
        <v>9341644</v>
      </c>
      <c r="D196" s="123">
        <f t="shared" si="35"/>
        <v>10103235</v>
      </c>
      <c r="E196" s="123">
        <f t="shared" si="35"/>
        <v>10181289.786459999</v>
      </c>
      <c r="F196" s="123">
        <f t="shared" si="35"/>
        <v>10159373</v>
      </c>
      <c r="G196" s="123">
        <f t="shared" si="35"/>
        <v>10148623</v>
      </c>
      <c r="H196" s="123">
        <f t="shared" si="35"/>
        <v>10197382</v>
      </c>
      <c r="I196" s="123">
        <f t="shared" si="35"/>
        <v>10169400</v>
      </c>
      <c r="J196" s="123">
        <f t="shared" si="35"/>
        <v>10242171</v>
      </c>
      <c r="K196" s="123">
        <f t="shared" si="35"/>
        <v>10350005</v>
      </c>
      <c r="L196" s="123">
        <f t="shared" si="35"/>
        <v>10594977</v>
      </c>
      <c r="M196" s="123">
        <f t="shared" si="35"/>
        <v>10766105</v>
      </c>
      <c r="N196" s="123">
        <f t="shared" si="35"/>
        <v>10899996</v>
      </c>
      <c r="O196" s="123">
        <f>SUM(O193:O195,O182:O191)</f>
        <v>12244046</v>
      </c>
      <c r="P196" s="605">
        <f>SUM(P193:P195,P182:P191)</f>
        <v>12268262</v>
      </c>
    </row>
    <row r="197" spans="2:27">
      <c r="B197" s="484" t="s">
        <v>269</v>
      </c>
      <c r="C197" s="123">
        <f t="shared" ref="C197:P197" si="36">C196+C179</f>
        <v>9901002</v>
      </c>
      <c r="D197" s="123">
        <f t="shared" si="36"/>
        <v>11096748.905060001</v>
      </c>
      <c r="E197" s="123">
        <f t="shared" si="36"/>
        <v>11397895</v>
      </c>
      <c r="F197" s="123">
        <f t="shared" si="36"/>
        <v>11665065</v>
      </c>
      <c r="G197" s="123">
        <f t="shared" si="36"/>
        <v>12395764</v>
      </c>
      <c r="H197" s="123">
        <f t="shared" si="36"/>
        <v>11290031</v>
      </c>
      <c r="I197" s="123">
        <f t="shared" si="36"/>
        <v>11755598</v>
      </c>
      <c r="J197" s="123">
        <f t="shared" si="36"/>
        <v>12162325</v>
      </c>
      <c r="K197" s="123">
        <f t="shared" si="36"/>
        <v>12189920</v>
      </c>
      <c r="L197" s="123">
        <f t="shared" si="36"/>
        <v>13648553</v>
      </c>
      <c r="M197" s="123">
        <f t="shared" si="36"/>
        <v>12689381</v>
      </c>
      <c r="N197" s="123">
        <f t="shared" si="36"/>
        <v>14446011</v>
      </c>
      <c r="O197" s="123">
        <f t="shared" si="36"/>
        <v>14568644</v>
      </c>
      <c r="P197" s="605">
        <f t="shared" si="36"/>
        <v>15617446</v>
      </c>
    </row>
    <row r="198" spans="2:27">
      <c r="B198" s="499"/>
      <c r="C198" s="500"/>
      <c r="D198" s="500"/>
      <c r="E198" s="500"/>
      <c r="F198" s="500"/>
      <c r="G198" s="501"/>
      <c r="H198" s="501"/>
      <c r="I198" s="501"/>
      <c r="J198" s="502"/>
      <c r="K198" s="501"/>
      <c r="L198" s="501"/>
      <c r="M198" s="501"/>
      <c r="N198" s="501"/>
      <c r="O198" s="501"/>
    </row>
    <row r="199" spans="2:27" s="106" customFormat="1">
      <c r="B199" s="640" t="s">
        <v>204</v>
      </c>
      <c r="C199" s="536" t="s">
        <v>133</v>
      </c>
      <c r="D199" s="536"/>
      <c r="E199" s="536"/>
      <c r="F199" s="536"/>
      <c r="G199" s="536"/>
      <c r="H199" s="536"/>
      <c r="I199" s="536"/>
      <c r="J199" s="536"/>
      <c r="K199" s="536"/>
      <c r="L199" s="536"/>
      <c r="M199" s="536"/>
      <c r="N199" s="536"/>
      <c r="O199" s="536"/>
      <c r="P199" s="536"/>
      <c r="Q199" s="101"/>
      <c r="R199" s="101"/>
      <c r="S199" s="101"/>
      <c r="T199" s="101"/>
      <c r="U199" s="101"/>
      <c r="V199" s="101"/>
      <c r="W199" s="101"/>
      <c r="X199" s="101"/>
      <c r="Y199" s="101"/>
      <c r="Z199" s="101"/>
      <c r="AA199" s="101"/>
    </row>
    <row r="200" spans="2:27" s="106" customFormat="1">
      <c r="B200" s="640"/>
      <c r="C200" s="489">
        <v>2016</v>
      </c>
      <c r="D200" s="490">
        <v>2017</v>
      </c>
      <c r="E200" s="490" t="s">
        <v>134</v>
      </c>
      <c r="F200" s="490" t="s">
        <v>135</v>
      </c>
      <c r="G200" s="490" t="s">
        <v>136</v>
      </c>
      <c r="H200" s="490" t="s">
        <v>137</v>
      </c>
      <c r="I200" s="490" t="s">
        <v>138</v>
      </c>
      <c r="J200" s="490" t="s">
        <v>139</v>
      </c>
      <c r="K200" s="490" t="s">
        <v>140</v>
      </c>
      <c r="L200" s="490" t="s">
        <v>141</v>
      </c>
      <c r="M200" s="490" t="s">
        <v>142</v>
      </c>
      <c r="N200" s="490" t="s">
        <v>143</v>
      </c>
      <c r="O200" s="490" t="s">
        <v>144</v>
      </c>
      <c r="P200" s="490" t="s">
        <v>955</v>
      </c>
      <c r="Q200" s="101"/>
      <c r="R200" s="101"/>
      <c r="S200" s="101"/>
      <c r="T200" s="101"/>
      <c r="U200" s="101"/>
      <c r="V200" s="101"/>
      <c r="W200" s="101"/>
      <c r="X200" s="101"/>
      <c r="Y200" s="101"/>
      <c r="Z200" s="101"/>
      <c r="AA200" s="101"/>
    </row>
    <row r="201" spans="2:27" s="106" customFormat="1">
      <c r="B201" s="486" t="s">
        <v>270</v>
      </c>
      <c r="C201" s="122"/>
      <c r="D201" s="122"/>
      <c r="E201" s="122"/>
      <c r="F201" s="486"/>
      <c r="G201" s="122"/>
      <c r="H201" s="122"/>
      <c r="I201" s="122"/>
      <c r="J201" s="122"/>
      <c r="K201" s="122"/>
      <c r="L201" s="122"/>
      <c r="M201" s="122"/>
      <c r="N201" s="122"/>
      <c r="O201" s="122"/>
      <c r="P201" s="101"/>
      <c r="Q201" s="101"/>
      <c r="R201" s="101"/>
      <c r="S201" s="101"/>
      <c r="T201" s="101"/>
      <c r="U201" s="101"/>
      <c r="V201" s="101"/>
      <c r="W201" s="101"/>
      <c r="X201" s="101"/>
      <c r="Y201" s="101"/>
      <c r="Z201" s="101"/>
      <c r="AA201" s="101"/>
    </row>
    <row r="202" spans="2:27" s="106" customFormat="1">
      <c r="B202" s="104" t="s">
        <v>271</v>
      </c>
      <c r="C202" s="121">
        <v>71679</v>
      </c>
      <c r="D202" s="121">
        <v>268588</v>
      </c>
      <c r="E202" s="121">
        <v>261786</v>
      </c>
      <c r="F202" s="121">
        <v>287106</v>
      </c>
      <c r="G202" s="121">
        <v>98254</v>
      </c>
      <c r="H202" s="121">
        <v>334067</v>
      </c>
      <c r="I202" s="121">
        <v>344159</v>
      </c>
      <c r="J202" s="121">
        <v>337890</v>
      </c>
      <c r="K202" s="121">
        <v>981588</v>
      </c>
      <c r="L202" s="121">
        <v>709928</v>
      </c>
      <c r="M202" s="121">
        <v>886355</v>
      </c>
      <c r="N202" s="121">
        <v>919444</v>
      </c>
      <c r="O202" s="121">
        <v>96334</v>
      </c>
      <c r="P202" s="601">
        <v>94628</v>
      </c>
      <c r="Q202" s="101"/>
      <c r="R202" s="101"/>
      <c r="S202" s="101"/>
      <c r="T202" s="101"/>
      <c r="U202" s="101"/>
      <c r="V202" s="101"/>
      <c r="W202" s="101"/>
      <c r="X202" s="101"/>
      <c r="Y202" s="101"/>
      <c r="Z202" s="101"/>
      <c r="AA202" s="101"/>
    </row>
    <row r="203" spans="2:27" s="106" customFormat="1">
      <c r="B203" s="104" t="s">
        <v>272</v>
      </c>
      <c r="C203" s="121">
        <v>192368</v>
      </c>
      <c r="D203" s="121">
        <v>182852</v>
      </c>
      <c r="E203" s="121">
        <v>183773</v>
      </c>
      <c r="F203" s="121">
        <v>183474</v>
      </c>
      <c r="G203" s="121">
        <v>197107</v>
      </c>
      <c r="H203" s="121">
        <v>23707</v>
      </c>
      <c r="I203" s="121">
        <v>22436</v>
      </c>
      <c r="J203" s="121">
        <v>15931</v>
      </c>
      <c r="K203" s="121">
        <v>26097</v>
      </c>
      <c r="L203" s="121">
        <v>367508</v>
      </c>
      <c r="M203" s="121">
        <v>371913</v>
      </c>
      <c r="N203" s="121">
        <v>363141</v>
      </c>
      <c r="O203" s="121">
        <v>542316</v>
      </c>
      <c r="P203" s="601">
        <v>217948</v>
      </c>
      <c r="Q203" s="101"/>
      <c r="R203" s="101"/>
      <c r="S203" s="101"/>
      <c r="T203" s="101"/>
      <c r="U203" s="101"/>
      <c r="V203" s="101"/>
      <c r="W203" s="101"/>
      <c r="X203" s="101"/>
      <c r="Y203" s="101"/>
      <c r="Z203" s="101"/>
      <c r="AA203" s="101"/>
    </row>
    <row r="204" spans="2:27" s="106" customFormat="1">
      <c r="B204" s="104" t="s">
        <v>208</v>
      </c>
      <c r="C204" s="121">
        <v>0</v>
      </c>
      <c r="D204" s="121">
        <v>0</v>
      </c>
      <c r="E204" s="121">
        <v>0</v>
      </c>
      <c r="F204" s="121">
        <v>0</v>
      </c>
      <c r="G204" s="121">
        <v>0</v>
      </c>
      <c r="H204" s="121">
        <v>0</v>
      </c>
      <c r="I204" s="121">
        <v>0</v>
      </c>
      <c r="J204" s="121">
        <v>0</v>
      </c>
      <c r="K204" s="121">
        <v>293</v>
      </c>
      <c r="L204" s="121">
        <v>282</v>
      </c>
      <c r="M204" s="121">
        <v>240</v>
      </c>
      <c r="N204" s="121">
        <v>194</v>
      </c>
      <c r="O204" s="121">
        <v>141</v>
      </c>
      <c r="P204" s="601">
        <v>81</v>
      </c>
      <c r="Q204" s="101"/>
      <c r="R204" s="101"/>
      <c r="S204" s="101"/>
      <c r="T204" s="101"/>
      <c r="U204" s="101"/>
      <c r="V204" s="101"/>
      <c r="W204" s="101"/>
      <c r="X204" s="101"/>
      <c r="Y204" s="101"/>
      <c r="Z204" s="101"/>
      <c r="AA204" s="101"/>
    </row>
    <row r="205" spans="2:27" s="106" customFormat="1">
      <c r="B205" s="104" t="s">
        <v>186</v>
      </c>
      <c r="C205" s="121"/>
      <c r="D205" s="121"/>
      <c r="E205" s="121"/>
      <c r="F205" s="121"/>
      <c r="G205" s="121"/>
      <c r="H205" s="121"/>
      <c r="I205" s="121"/>
      <c r="J205" s="121"/>
      <c r="K205" s="121"/>
      <c r="L205" s="121"/>
      <c r="M205" s="121"/>
      <c r="N205" s="121"/>
      <c r="O205" s="121"/>
      <c r="P205" s="601">
        <v>2578</v>
      </c>
      <c r="Q205" s="101"/>
      <c r="R205" s="101"/>
      <c r="S205" s="101"/>
      <c r="T205" s="101"/>
      <c r="U205" s="101"/>
      <c r="V205" s="101"/>
      <c r="W205" s="101"/>
      <c r="X205" s="101"/>
      <c r="Y205" s="101"/>
      <c r="Z205" s="101"/>
      <c r="AA205" s="101"/>
    </row>
    <row r="206" spans="2:27" s="106" customFormat="1">
      <c r="B206" s="104" t="s">
        <v>209</v>
      </c>
      <c r="C206" s="121">
        <v>41482</v>
      </c>
      <c r="D206" s="121">
        <v>69923</v>
      </c>
      <c r="E206" s="121">
        <v>49255</v>
      </c>
      <c r="F206" s="121">
        <v>58806</v>
      </c>
      <c r="G206" s="121">
        <v>68022</v>
      </c>
      <c r="H206" s="121">
        <v>88358</v>
      </c>
      <c r="I206" s="121">
        <v>72276</v>
      </c>
      <c r="J206" s="121">
        <v>70721</v>
      </c>
      <c r="K206" s="121">
        <v>72057</v>
      </c>
      <c r="L206" s="121">
        <v>167774</v>
      </c>
      <c r="M206" s="121">
        <v>167858</v>
      </c>
      <c r="N206" s="121">
        <v>139217</v>
      </c>
      <c r="O206" s="121">
        <v>112304</v>
      </c>
      <c r="P206" s="601">
        <v>153346</v>
      </c>
      <c r="Q206" s="101"/>
      <c r="R206" s="101"/>
      <c r="S206" s="101"/>
      <c r="T206" s="101"/>
      <c r="U206" s="101"/>
      <c r="V206" s="101"/>
      <c r="W206" s="101"/>
      <c r="X206" s="101"/>
      <c r="Y206" s="101"/>
      <c r="Z206" s="101"/>
      <c r="AA206" s="101"/>
    </row>
    <row r="207" spans="2:27" s="106" customFormat="1">
      <c r="B207" s="104" t="s">
        <v>273</v>
      </c>
      <c r="C207" s="121">
        <v>39021</v>
      </c>
      <c r="D207" s="121">
        <v>90502</v>
      </c>
      <c r="E207" s="121">
        <v>224543</v>
      </c>
      <c r="F207" s="121">
        <v>389278</v>
      </c>
      <c r="G207" s="121">
        <v>540175</v>
      </c>
      <c r="H207" s="121">
        <v>54382</v>
      </c>
      <c r="I207" s="121">
        <v>163232</v>
      </c>
      <c r="J207" s="121">
        <v>293084</v>
      </c>
      <c r="K207" s="121">
        <v>287359</v>
      </c>
      <c r="L207" s="121">
        <v>92106</v>
      </c>
      <c r="M207" s="121">
        <v>127657</v>
      </c>
      <c r="N207" s="121">
        <v>262320</v>
      </c>
      <c r="O207" s="121">
        <v>478040</v>
      </c>
      <c r="P207" s="601">
        <v>255614</v>
      </c>
      <c r="Q207" s="101"/>
      <c r="R207" s="101"/>
      <c r="S207" s="101"/>
      <c r="T207" s="101"/>
      <c r="U207" s="101"/>
      <c r="V207" s="101"/>
      <c r="W207" s="101"/>
      <c r="X207" s="101"/>
      <c r="Y207" s="101"/>
      <c r="Z207" s="101"/>
      <c r="AA207" s="101"/>
    </row>
    <row r="208" spans="2:27" s="106" customFormat="1">
      <c r="B208" s="104" t="s">
        <v>274</v>
      </c>
      <c r="C208" s="121">
        <v>17540</v>
      </c>
      <c r="D208" s="121">
        <v>57997</v>
      </c>
      <c r="E208" s="121">
        <v>0</v>
      </c>
      <c r="F208" s="121">
        <v>0</v>
      </c>
      <c r="G208" s="121">
        <v>0</v>
      </c>
      <c r="H208" s="121">
        <v>0</v>
      </c>
      <c r="I208" s="121">
        <v>0</v>
      </c>
      <c r="J208" s="121">
        <v>0</v>
      </c>
      <c r="K208" s="121">
        <v>0</v>
      </c>
      <c r="L208" s="121">
        <v>0</v>
      </c>
      <c r="M208" s="121">
        <v>0</v>
      </c>
      <c r="N208" s="121">
        <v>0</v>
      </c>
      <c r="O208" s="121">
        <v>0</v>
      </c>
      <c r="P208" s="601" t="s">
        <v>157</v>
      </c>
      <c r="Q208" s="101"/>
      <c r="R208" s="101"/>
      <c r="S208" s="101"/>
      <c r="T208" s="101"/>
      <c r="U208" s="101"/>
      <c r="V208" s="101"/>
      <c r="W208" s="101"/>
      <c r="X208" s="101"/>
      <c r="Y208" s="101"/>
      <c r="Z208" s="101"/>
      <c r="AA208" s="101"/>
    </row>
    <row r="209" spans="2:27" s="106" customFormat="1">
      <c r="B209" s="104" t="s">
        <v>275</v>
      </c>
      <c r="C209" s="121">
        <v>12766</v>
      </c>
      <c r="D209" s="121">
        <v>16550</v>
      </c>
      <c r="E209" s="121">
        <v>32399</v>
      </c>
      <c r="F209" s="121">
        <v>39059</v>
      </c>
      <c r="G209" s="121">
        <v>39260</v>
      </c>
      <c r="H209" s="121">
        <v>40262</v>
      </c>
      <c r="I209" s="121">
        <v>39302</v>
      </c>
      <c r="J209" s="121">
        <v>44878</v>
      </c>
      <c r="K209" s="121">
        <v>45687</v>
      </c>
      <c r="L209" s="121">
        <v>48336</v>
      </c>
      <c r="M209" s="121">
        <v>48970</v>
      </c>
      <c r="N209" s="121">
        <v>52653</v>
      </c>
      <c r="O209" s="121">
        <v>52518</v>
      </c>
      <c r="P209" s="601">
        <v>49457</v>
      </c>
      <c r="Q209" s="101"/>
      <c r="R209" s="101"/>
      <c r="S209" s="101"/>
      <c r="T209" s="101"/>
      <c r="U209" s="101"/>
      <c r="V209" s="101"/>
      <c r="W209" s="101"/>
      <c r="X209" s="101"/>
      <c r="Y209" s="101"/>
      <c r="Z209" s="101"/>
      <c r="AA209" s="101"/>
    </row>
    <row r="210" spans="2:27" s="106" customFormat="1">
      <c r="B210" s="104" t="s">
        <v>276</v>
      </c>
      <c r="C210" s="121">
        <v>139946</v>
      </c>
      <c r="D210" s="121">
        <v>3112</v>
      </c>
      <c r="E210" s="121">
        <v>3111</v>
      </c>
      <c r="F210" s="121">
        <v>5159</v>
      </c>
      <c r="G210" s="121">
        <v>5137</v>
      </c>
      <c r="H210" s="121">
        <v>7835</v>
      </c>
      <c r="I210" s="121">
        <v>7831</v>
      </c>
      <c r="J210" s="121">
        <v>7798</v>
      </c>
      <c r="K210" s="121">
        <v>8411</v>
      </c>
      <c r="L210" s="121">
        <v>102079</v>
      </c>
      <c r="M210" s="121">
        <v>9731</v>
      </c>
      <c r="N210" s="121">
        <v>10102</v>
      </c>
      <c r="O210" s="121">
        <v>10406</v>
      </c>
      <c r="P210" s="601">
        <v>500513</v>
      </c>
      <c r="Q210" s="101"/>
      <c r="R210" s="101"/>
      <c r="S210" s="101"/>
      <c r="T210" s="101"/>
      <c r="U210" s="101"/>
      <c r="V210" s="101"/>
      <c r="W210" s="101"/>
      <c r="X210" s="101"/>
      <c r="Y210" s="101"/>
      <c r="Z210" s="101"/>
      <c r="AA210" s="101"/>
    </row>
    <row r="211" spans="2:27" s="106" customFormat="1">
      <c r="B211" s="104" t="s">
        <v>214</v>
      </c>
      <c r="C211" s="121">
        <v>33610</v>
      </c>
      <c r="D211" s="121">
        <v>36344</v>
      </c>
      <c r="E211" s="121">
        <v>29714</v>
      </c>
      <c r="F211" s="121">
        <v>40457</v>
      </c>
      <c r="G211" s="121">
        <v>42515</v>
      </c>
      <c r="H211" s="121">
        <v>37047</v>
      </c>
      <c r="I211" s="121">
        <v>29156</v>
      </c>
      <c r="J211" s="121">
        <v>38239</v>
      </c>
      <c r="K211" s="121">
        <v>41182</v>
      </c>
      <c r="L211" s="121">
        <v>33341</v>
      </c>
      <c r="M211" s="121">
        <v>26512</v>
      </c>
      <c r="N211" s="121">
        <v>37797</v>
      </c>
      <c r="O211" s="121">
        <v>48833</v>
      </c>
      <c r="P211" s="121">
        <v>45094</v>
      </c>
      <c r="Q211" s="101"/>
      <c r="R211" s="101"/>
      <c r="S211" s="101"/>
      <c r="T211" s="101"/>
      <c r="U211" s="101"/>
      <c r="V211" s="101"/>
      <c r="W211" s="101"/>
      <c r="X211" s="101"/>
      <c r="Y211" s="101"/>
      <c r="Z211" s="101"/>
      <c r="AA211" s="101"/>
    </row>
    <row r="212" spans="2:27">
      <c r="B212" s="104" t="s">
        <v>215</v>
      </c>
      <c r="C212" s="121">
        <v>5495</v>
      </c>
      <c r="D212" s="121">
        <v>2056</v>
      </c>
      <c r="E212" s="121">
        <v>3309</v>
      </c>
      <c r="F212" s="121">
        <v>4655</v>
      </c>
      <c r="G212" s="121">
        <v>3579</v>
      </c>
      <c r="H212" s="121">
        <v>4250</v>
      </c>
      <c r="I212" s="121">
        <v>5103</v>
      </c>
      <c r="J212" s="121">
        <v>4157</v>
      </c>
      <c r="K212" s="121">
        <v>3782</v>
      </c>
      <c r="L212" s="121">
        <v>2173</v>
      </c>
      <c r="M212" s="121">
        <v>2176</v>
      </c>
      <c r="N212" s="121">
        <v>2730</v>
      </c>
      <c r="O212" s="121">
        <v>868</v>
      </c>
      <c r="P212" s="601">
        <v>871</v>
      </c>
    </row>
    <row r="213" spans="2:27">
      <c r="B213" s="104" t="s">
        <v>216</v>
      </c>
      <c r="C213" s="121">
        <v>0</v>
      </c>
      <c r="D213" s="121">
        <v>0</v>
      </c>
      <c r="E213" s="121">
        <v>0</v>
      </c>
      <c r="F213" s="121">
        <v>0</v>
      </c>
      <c r="G213" s="121">
        <v>1860</v>
      </c>
      <c r="H213" s="121">
        <v>2480</v>
      </c>
      <c r="I213" s="121">
        <v>2480</v>
      </c>
      <c r="J213" s="121">
        <v>2480</v>
      </c>
      <c r="K213" s="121">
        <v>2480</v>
      </c>
      <c r="L213" s="121">
        <v>2480</v>
      </c>
      <c r="M213" s="121">
        <v>2480</v>
      </c>
      <c r="N213" s="121">
        <v>2480</v>
      </c>
      <c r="O213" s="121">
        <v>2480</v>
      </c>
      <c r="P213" s="601">
        <v>2480</v>
      </c>
    </row>
    <row r="214" spans="2:27">
      <c r="B214" s="104" t="s">
        <v>189</v>
      </c>
      <c r="C214" s="121">
        <v>53047</v>
      </c>
      <c r="D214" s="121">
        <v>61180</v>
      </c>
      <c r="E214" s="121">
        <v>57876</v>
      </c>
      <c r="F214" s="121">
        <v>16385</v>
      </c>
      <c r="G214" s="121">
        <v>13852</v>
      </c>
      <c r="H214" s="121">
        <v>34310</v>
      </c>
      <c r="I214" s="121">
        <v>27472</v>
      </c>
      <c r="J214" s="121">
        <v>56345</v>
      </c>
      <c r="K214" s="121">
        <v>70150</v>
      </c>
      <c r="L214" s="121">
        <v>80152</v>
      </c>
      <c r="M214" s="121">
        <v>55374</v>
      </c>
      <c r="N214" s="121">
        <v>34641</v>
      </c>
      <c r="O214" s="121">
        <v>45567</v>
      </c>
      <c r="P214" s="601">
        <v>43743</v>
      </c>
    </row>
    <row r="215" spans="2:27" s="106" customFormat="1">
      <c r="B215" s="484"/>
      <c r="C215" s="123">
        <f t="shared" ref="C215:N215" si="37">SUM(C202:C214)</f>
        <v>606954</v>
      </c>
      <c r="D215" s="123">
        <f t="shared" si="37"/>
        <v>789104</v>
      </c>
      <c r="E215" s="123">
        <f t="shared" si="37"/>
        <v>845766</v>
      </c>
      <c r="F215" s="123">
        <f t="shared" si="37"/>
        <v>1024379</v>
      </c>
      <c r="G215" s="123">
        <f t="shared" si="37"/>
        <v>1009761</v>
      </c>
      <c r="H215" s="123">
        <f t="shared" si="37"/>
        <v>626698</v>
      </c>
      <c r="I215" s="123">
        <f t="shared" si="37"/>
        <v>713447</v>
      </c>
      <c r="J215" s="123">
        <f t="shared" si="37"/>
        <v>871523</v>
      </c>
      <c r="K215" s="123">
        <f t="shared" si="37"/>
        <v>1539086</v>
      </c>
      <c r="L215" s="123">
        <f t="shared" si="37"/>
        <v>1606159</v>
      </c>
      <c r="M215" s="123">
        <f t="shared" si="37"/>
        <v>1699266</v>
      </c>
      <c r="N215" s="123">
        <f t="shared" si="37"/>
        <v>1824719</v>
      </c>
      <c r="O215" s="123">
        <f>SUM(O202:O214)</f>
        <v>1389807</v>
      </c>
      <c r="P215" s="605">
        <f>SUM(P202:P214)</f>
        <v>1366353</v>
      </c>
      <c r="Q215" s="101"/>
      <c r="R215" s="101"/>
      <c r="S215" s="101"/>
      <c r="T215" s="101"/>
      <c r="U215" s="101"/>
      <c r="V215" s="101"/>
      <c r="W215" s="101"/>
      <c r="X215" s="101"/>
      <c r="Y215" s="101"/>
      <c r="Z215" s="101"/>
      <c r="AA215" s="101"/>
    </row>
    <row r="216" spans="2:27" s="106" customFormat="1">
      <c r="B216" s="486" t="s">
        <v>277</v>
      </c>
      <c r="C216" s="122"/>
      <c r="D216" s="122"/>
      <c r="E216" s="122"/>
      <c r="F216" s="486"/>
      <c r="G216" s="122"/>
      <c r="H216" s="122"/>
      <c r="I216" s="122"/>
      <c r="J216" s="122"/>
      <c r="K216" s="122"/>
      <c r="L216" s="122"/>
      <c r="M216" s="122"/>
      <c r="N216" s="122"/>
      <c r="O216" s="122"/>
      <c r="P216" s="606"/>
      <c r="Q216" s="101"/>
      <c r="R216" s="101"/>
      <c r="S216" s="101"/>
      <c r="T216" s="101"/>
      <c r="U216" s="101"/>
      <c r="V216" s="101"/>
      <c r="W216" s="101"/>
      <c r="X216" s="101"/>
      <c r="Y216" s="101"/>
      <c r="Z216" s="101"/>
      <c r="AA216" s="101"/>
    </row>
    <row r="217" spans="2:27" s="106" customFormat="1">
      <c r="B217" s="503" t="s">
        <v>278</v>
      </c>
      <c r="C217" s="504"/>
      <c r="D217" s="505"/>
      <c r="E217" s="505"/>
      <c r="F217" s="504"/>
      <c r="G217" s="504"/>
      <c r="H217" s="504"/>
      <c r="I217" s="504"/>
      <c r="J217" s="504"/>
      <c r="K217" s="504"/>
      <c r="L217" s="504"/>
      <c r="M217" s="504"/>
      <c r="N217" s="504"/>
      <c r="O217" s="504"/>
      <c r="P217" s="604">
        <v>1208301</v>
      </c>
      <c r="Q217" s="101"/>
      <c r="R217" s="101"/>
      <c r="S217" s="101"/>
      <c r="T217" s="101"/>
      <c r="U217" s="101"/>
      <c r="V217" s="101"/>
      <c r="W217" s="101"/>
      <c r="X217" s="101"/>
      <c r="Y217" s="101"/>
      <c r="Z217" s="101"/>
      <c r="AA217" s="101"/>
    </row>
    <row r="218" spans="2:27" s="106" customFormat="1">
      <c r="B218" s="104" t="s">
        <v>271</v>
      </c>
      <c r="C218" s="121">
        <v>432472</v>
      </c>
      <c r="D218" s="121">
        <v>690541</v>
      </c>
      <c r="E218" s="121">
        <v>677182</v>
      </c>
      <c r="F218" s="121">
        <v>657248</v>
      </c>
      <c r="G218" s="121">
        <v>1258364</v>
      </c>
      <c r="H218" s="121">
        <v>1215689</v>
      </c>
      <c r="I218" s="121">
        <v>1273554</v>
      </c>
      <c r="J218" s="121">
        <v>1264523</v>
      </c>
      <c r="K218" s="121">
        <v>660197</v>
      </c>
      <c r="L218" s="121">
        <v>637448</v>
      </c>
      <c r="M218" s="121">
        <v>620011</v>
      </c>
      <c r="N218" s="121">
        <v>1248161</v>
      </c>
      <c r="O218" s="121">
        <v>1228231</v>
      </c>
      <c r="P218" s="604">
        <v>2961318</v>
      </c>
      <c r="Q218" s="101"/>
      <c r="R218" s="101"/>
      <c r="S218" s="101"/>
      <c r="T218" s="101"/>
      <c r="U218" s="101"/>
      <c r="V218" s="101"/>
      <c r="W218" s="101"/>
      <c r="X218" s="101"/>
      <c r="Y218" s="101"/>
      <c r="Z218" s="101"/>
      <c r="AA218" s="101"/>
    </row>
    <row r="219" spans="2:27" s="106" customFormat="1">
      <c r="B219" s="104" t="s">
        <v>272</v>
      </c>
      <c r="C219" s="121">
        <v>313931</v>
      </c>
      <c r="D219" s="121">
        <v>801007</v>
      </c>
      <c r="E219" s="121">
        <v>806204</v>
      </c>
      <c r="F219" s="121">
        <v>1420052</v>
      </c>
      <c r="G219" s="121">
        <v>1437775</v>
      </c>
      <c r="H219" s="121">
        <v>1441504</v>
      </c>
      <c r="I219" s="121">
        <v>1457692</v>
      </c>
      <c r="J219" s="121">
        <v>1475140</v>
      </c>
      <c r="K219" s="121">
        <v>1480445</v>
      </c>
      <c r="L219" s="121">
        <v>1528971</v>
      </c>
      <c r="M219" s="121">
        <v>1554166</v>
      </c>
      <c r="N219" s="121">
        <v>1545549</v>
      </c>
      <c r="O219" s="121">
        <v>1392099</v>
      </c>
      <c r="P219" s="604">
        <v>18</v>
      </c>
      <c r="Q219" s="101"/>
      <c r="R219" s="101"/>
      <c r="S219" s="101"/>
      <c r="T219" s="101"/>
      <c r="U219" s="101"/>
      <c r="V219" s="101"/>
      <c r="W219" s="101"/>
      <c r="X219" s="101"/>
      <c r="Y219" s="101"/>
      <c r="Z219" s="101"/>
      <c r="AA219" s="101"/>
    </row>
    <row r="220" spans="2:27" s="106" customFormat="1">
      <c r="B220" s="104" t="s">
        <v>208</v>
      </c>
      <c r="C220" s="121">
        <v>0</v>
      </c>
      <c r="D220" s="121">
        <v>0</v>
      </c>
      <c r="E220" s="121">
        <v>0</v>
      </c>
      <c r="F220" s="121">
        <v>0</v>
      </c>
      <c r="G220" s="121">
        <v>0</v>
      </c>
      <c r="H220" s="121">
        <v>0</v>
      </c>
      <c r="I220" s="121">
        <v>0</v>
      </c>
      <c r="J220" s="121">
        <v>0</v>
      </c>
      <c r="K220" s="121">
        <v>158</v>
      </c>
      <c r="L220" s="121">
        <v>101</v>
      </c>
      <c r="M220" s="121">
        <v>73</v>
      </c>
      <c r="N220" s="121">
        <v>62</v>
      </c>
      <c r="O220" s="121">
        <v>35</v>
      </c>
      <c r="P220" s="604">
        <v>0</v>
      </c>
      <c r="Q220" s="101"/>
      <c r="R220" s="101"/>
      <c r="S220" s="101"/>
      <c r="T220" s="101"/>
      <c r="U220" s="101"/>
      <c r="V220" s="101"/>
      <c r="W220" s="101"/>
      <c r="X220" s="101"/>
      <c r="Y220" s="101"/>
      <c r="Z220" s="101"/>
      <c r="AA220" s="101"/>
    </row>
    <row r="221" spans="2:27" s="106" customFormat="1">
      <c r="B221" s="104" t="s">
        <v>186</v>
      </c>
      <c r="C221" s="121">
        <v>0</v>
      </c>
      <c r="D221" s="121">
        <v>0</v>
      </c>
      <c r="E221" s="121">
        <v>0</v>
      </c>
      <c r="F221" s="121">
        <v>0</v>
      </c>
      <c r="G221" s="121">
        <v>0</v>
      </c>
      <c r="H221" s="121">
        <v>0</v>
      </c>
      <c r="I221" s="121">
        <v>0</v>
      </c>
      <c r="J221" s="121">
        <v>2760</v>
      </c>
      <c r="K221" s="121">
        <v>0</v>
      </c>
      <c r="L221" s="121">
        <v>135</v>
      </c>
      <c r="M221" s="121">
        <v>0</v>
      </c>
      <c r="N221" s="121">
        <v>0</v>
      </c>
      <c r="O221" s="121">
        <v>0</v>
      </c>
      <c r="P221" s="604"/>
      <c r="Q221" s="101"/>
      <c r="R221" s="101"/>
      <c r="S221" s="101"/>
      <c r="T221" s="101"/>
      <c r="U221" s="101"/>
      <c r="V221" s="101"/>
      <c r="W221" s="101"/>
      <c r="X221" s="101"/>
      <c r="Y221" s="101"/>
      <c r="Z221" s="101"/>
      <c r="AA221" s="101"/>
    </row>
    <row r="222" spans="2:27" s="106" customFormat="1">
      <c r="B222" s="104" t="s">
        <v>987</v>
      </c>
      <c r="C222" s="121"/>
      <c r="D222" s="121"/>
      <c r="E222" s="121"/>
      <c r="F222" s="121"/>
      <c r="G222" s="121"/>
      <c r="H222" s="121"/>
      <c r="I222" s="121"/>
      <c r="J222" s="121"/>
      <c r="K222" s="121"/>
      <c r="L222" s="121"/>
      <c r="M222" s="121"/>
      <c r="N222" s="121"/>
      <c r="O222" s="121"/>
      <c r="P222" s="604">
        <v>381978</v>
      </c>
      <c r="Q222" s="101"/>
      <c r="R222" s="101"/>
      <c r="S222" s="101"/>
      <c r="T222" s="101"/>
      <c r="U222" s="101"/>
      <c r="V222" s="101"/>
      <c r="W222" s="101"/>
      <c r="X222" s="101"/>
      <c r="Y222" s="101"/>
      <c r="Z222" s="101"/>
      <c r="AA222" s="101"/>
    </row>
    <row r="223" spans="2:27" s="106" customFormat="1">
      <c r="B223" s="104" t="s">
        <v>274</v>
      </c>
      <c r="C223" s="121">
        <v>119857</v>
      </c>
      <c r="D223" s="121">
        <v>0</v>
      </c>
      <c r="E223" s="121">
        <v>0</v>
      </c>
      <c r="F223" s="121">
        <v>0</v>
      </c>
      <c r="G223" s="121">
        <v>0</v>
      </c>
      <c r="H223" s="121">
        <v>0</v>
      </c>
      <c r="I223" s="121">
        <v>0</v>
      </c>
      <c r="J223" s="121">
        <v>0</v>
      </c>
      <c r="K223" s="121">
        <v>0</v>
      </c>
      <c r="L223" s="121">
        <v>0</v>
      </c>
      <c r="M223" s="121">
        <v>0</v>
      </c>
      <c r="N223" s="121">
        <v>0</v>
      </c>
      <c r="O223" s="121">
        <v>0</v>
      </c>
      <c r="P223" s="604">
        <v>0</v>
      </c>
      <c r="Q223" s="101"/>
      <c r="R223" s="101"/>
      <c r="S223" s="101"/>
      <c r="T223" s="101"/>
      <c r="U223" s="101"/>
      <c r="V223" s="101"/>
      <c r="W223" s="101"/>
      <c r="X223" s="101"/>
      <c r="Y223" s="101"/>
      <c r="Z223" s="101"/>
      <c r="AA223" s="101"/>
    </row>
    <row r="224" spans="2:27" s="106" customFormat="1">
      <c r="B224" s="104" t="s">
        <v>279</v>
      </c>
      <c r="C224" s="121">
        <v>0</v>
      </c>
      <c r="D224" s="121">
        <v>0</v>
      </c>
      <c r="E224" s="121">
        <v>0</v>
      </c>
      <c r="F224" s="121">
        <v>0</v>
      </c>
      <c r="G224" s="121">
        <v>0</v>
      </c>
      <c r="H224" s="121">
        <v>0</v>
      </c>
      <c r="I224" s="121">
        <v>0</v>
      </c>
      <c r="J224" s="121">
        <v>0</v>
      </c>
      <c r="K224" s="121">
        <v>0</v>
      </c>
      <c r="L224" s="121">
        <v>0</v>
      </c>
      <c r="M224" s="121">
        <v>0</v>
      </c>
      <c r="N224" s="121">
        <v>82703</v>
      </c>
      <c r="O224" s="121">
        <v>77117</v>
      </c>
      <c r="P224" s="604">
        <v>71465</v>
      </c>
      <c r="Q224" s="101"/>
      <c r="R224" s="101"/>
      <c r="S224" s="101"/>
      <c r="T224" s="101"/>
      <c r="U224" s="101"/>
      <c r="V224" s="101"/>
      <c r="W224" s="101"/>
      <c r="X224" s="101"/>
      <c r="Y224" s="101"/>
      <c r="Z224" s="101"/>
      <c r="AA224" s="101"/>
    </row>
    <row r="225" spans="2:27" s="106" customFormat="1">
      <c r="B225" s="104" t="s">
        <v>280</v>
      </c>
      <c r="C225" s="121">
        <v>1056505</v>
      </c>
      <c r="D225" s="121">
        <v>831111</v>
      </c>
      <c r="E225" s="121">
        <v>810693</v>
      </c>
      <c r="F225" s="121">
        <v>769433</v>
      </c>
      <c r="G225" s="121">
        <v>710377</v>
      </c>
      <c r="H225" s="121">
        <v>735689</v>
      </c>
      <c r="I225" s="121">
        <v>757847</v>
      </c>
      <c r="J225" s="121">
        <v>721825</v>
      </c>
      <c r="K225" s="121">
        <v>660889</v>
      </c>
      <c r="L225" s="121">
        <v>686732</v>
      </c>
      <c r="M225" s="121">
        <v>713361</v>
      </c>
      <c r="N225" s="121">
        <v>1005975</v>
      </c>
      <c r="O225" s="121">
        <v>1074349</v>
      </c>
      <c r="P225" s="604">
        <v>913557</v>
      </c>
      <c r="Q225" s="101"/>
      <c r="R225" s="101"/>
      <c r="S225" s="101"/>
      <c r="T225" s="101"/>
      <c r="U225" s="101"/>
      <c r="V225" s="101"/>
      <c r="W225" s="101"/>
      <c r="X225" s="101"/>
      <c r="Y225" s="101"/>
      <c r="Z225" s="101"/>
      <c r="AA225" s="101"/>
    </row>
    <row r="226" spans="2:27" s="106" customFormat="1">
      <c r="B226" s="104" t="s">
        <v>275</v>
      </c>
      <c r="C226" s="121">
        <v>32510</v>
      </c>
      <c r="D226" s="121">
        <v>54250</v>
      </c>
      <c r="E226" s="121">
        <v>40848</v>
      </c>
      <c r="F226" s="121">
        <v>42962</v>
      </c>
      <c r="G226" s="121">
        <v>34827</v>
      </c>
      <c r="H226" s="121">
        <v>35925</v>
      </c>
      <c r="I226" s="121">
        <v>39380</v>
      </c>
      <c r="J226" s="121">
        <v>37756</v>
      </c>
      <c r="K226" s="121">
        <v>41836</v>
      </c>
      <c r="L226" s="121">
        <v>41236</v>
      </c>
      <c r="M226" s="121">
        <v>34179</v>
      </c>
      <c r="N226" s="121">
        <v>40742</v>
      </c>
      <c r="O226" s="121">
        <v>42419</v>
      </c>
      <c r="P226" s="604">
        <v>48065</v>
      </c>
      <c r="Q226" s="101"/>
      <c r="R226" s="101"/>
      <c r="S226" s="101"/>
      <c r="T226" s="101"/>
      <c r="U226" s="101"/>
      <c r="V226" s="101"/>
      <c r="W226" s="101"/>
      <c r="X226" s="101"/>
      <c r="Y226" s="101"/>
      <c r="Z226" s="101"/>
      <c r="AA226" s="101"/>
    </row>
    <row r="227" spans="2:27" s="106" customFormat="1">
      <c r="B227" s="104" t="s">
        <v>214</v>
      </c>
      <c r="C227" s="121">
        <v>153035</v>
      </c>
      <c r="D227" s="121">
        <v>121553</v>
      </c>
      <c r="E227" s="121">
        <v>125321</v>
      </c>
      <c r="F227" s="121">
        <v>113686</v>
      </c>
      <c r="G227" s="121">
        <v>102672</v>
      </c>
      <c r="H227" s="121">
        <v>90708</v>
      </c>
      <c r="I227" s="121">
        <v>91036</v>
      </c>
      <c r="J227" s="121">
        <v>92755</v>
      </c>
      <c r="K227" s="121">
        <v>86780</v>
      </c>
      <c r="L227" s="121">
        <v>62367</v>
      </c>
      <c r="M227" s="121">
        <v>59509</v>
      </c>
      <c r="N227" s="121">
        <v>58816</v>
      </c>
      <c r="O227" s="121">
        <v>57993</v>
      </c>
      <c r="P227" s="604">
        <v>85736</v>
      </c>
      <c r="Q227" s="101"/>
      <c r="R227" s="101"/>
      <c r="S227" s="101"/>
      <c r="T227" s="101"/>
      <c r="U227" s="101"/>
      <c r="V227" s="101"/>
      <c r="W227" s="101"/>
      <c r="X227" s="101"/>
      <c r="Y227" s="101"/>
      <c r="Z227" s="101"/>
      <c r="AA227" s="101"/>
    </row>
    <row r="228" spans="2:27" s="106" customFormat="1">
      <c r="B228" s="104" t="s">
        <v>218</v>
      </c>
      <c r="C228" s="121">
        <v>0</v>
      </c>
      <c r="D228" s="121">
        <v>0</v>
      </c>
      <c r="E228" s="121">
        <v>0</v>
      </c>
      <c r="F228" s="121">
        <v>0</v>
      </c>
      <c r="G228" s="121">
        <v>0</v>
      </c>
      <c r="H228" s="121">
        <v>0</v>
      </c>
      <c r="I228" s="121">
        <v>0</v>
      </c>
      <c r="J228" s="121">
        <v>17853</v>
      </c>
      <c r="K228" s="121">
        <v>0</v>
      </c>
      <c r="L228" s="121">
        <v>16612</v>
      </c>
      <c r="M228" s="121">
        <v>15992</v>
      </c>
      <c r="N228" s="121">
        <v>15372</v>
      </c>
      <c r="O228" s="121">
        <v>14752</v>
      </c>
      <c r="P228" s="604">
        <v>14132</v>
      </c>
      <c r="Q228" s="101"/>
      <c r="R228" s="101"/>
      <c r="S228" s="101"/>
      <c r="T228" s="101"/>
      <c r="U228" s="101"/>
      <c r="V228" s="101"/>
      <c r="W228" s="101"/>
      <c r="X228" s="101"/>
      <c r="Y228" s="101"/>
      <c r="Z228" s="101"/>
      <c r="AA228" s="101"/>
    </row>
    <row r="229" spans="2:27">
      <c r="B229" s="104" t="s">
        <v>281</v>
      </c>
      <c r="C229" s="121">
        <v>0</v>
      </c>
      <c r="D229" s="121">
        <v>0</v>
      </c>
      <c r="E229" s="121">
        <v>0</v>
      </c>
      <c r="F229" s="121">
        <v>0</v>
      </c>
      <c r="G229" s="121">
        <v>333844</v>
      </c>
      <c r="H229" s="121">
        <v>0</v>
      </c>
      <c r="I229" s="121">
        <v>0</v>
      </c>
      <c r="J229" s="121">
        <v>363061</v>
      </c>
      <c r="K229" s="121">
        <v>0</v>
      </c>
      <c r="L229" s="121">
        <v>351904</v>
      </c>
      <c r="M229" s="121">
        <v>388616</v>
      </c>
      <c r="N229" s="121">
        <v>383471</v>
      </c>
      <c r="O229" s="121">
        <v>383984</v>
      </c>
      <c r="P229" s="604">
        <v>380135</v>
      </c>
    </row>
    <row r="230" spans="2:27" ht="14.5" customHeight="1">
      <c r="B230" s="104" t="s">
        <v>282</v>
      </c>
      <c r="C230" s="121">
        <v>24053</v>
      </c>
      <c r="D230" s="121">
        <v>24053</v>
      </c>
      <c r="E230" s="121">
        <v>318578</v>
      </c>
      <c r="F230" s="121">
        <v>320021</v>
      </c>
      <c r="G230" s="121">
        <v>20333</v>
      </c>
      <c r="H230" s="121">
        <v>0</v>
      </c>
      <c r="I230" s="121">
        <v>0</v>
      </c>
      <c r="J230" s="121">
        <v>0</v>
      </c>
      <c r="K230" s="121">
        <v>0</v>
      </c>
      <c r="L230" s="121">
        <v>0</v>
      </c>
      <c r="M230" s="121">
        <v>0</v>
      </c>
      <c r="N230" s="121">
        <v>0</v>
      </c>
      <c r="O230" s="121">
        <v>0</v>
      </c>
      <c r="P230" s="601" t="s">
        <v>157</v>
      </c>
    </row>
    <row r="231" spans="2:27" s="106" customFormat="1">
      <c r="B231" s="104" t="s">
        <v>189</v>
      </c>
      <c r="C231" s="121">
        <v>0</v>
      </c>
      <c r="D231" s="121">
        <v>327579</v>
      </c>
      <c r="E231" s="121">
        <v>27455</v>
      </c>
      <c r="F231" s="121">
        <v>53841</v>
      </c>
      <c r="G231" s="121">
        <v>34532</v>
      </c>
      <c r="H231" s="121">
        <v>385101</v>
      </c>
      <c r="I231" s="121">
        <v>381705</v>
      </c>
      <c r="J231" s="121">
        <v>34572</v>
      </c>
      <c r="K231" s="121">
        <v>407469</v>
      </c>
      <c r="L231" s="121">
        <v>35652</v>
      </c>
      <c r="M231" s="121">
        <v>46714</v>
      </c>
      <c r="N231" s="121">
        <v>48201</v>
      </c>
      <c r="O231" s="121">
        <v>53134</v>
      </c>
      <c r="P231" s="604">
        <v>54032</v>
      </c>
      <c r="Q231" s="101"/>
      <c r="R231" s="101"/>
      <c r="S231" s="101"/>
      <c r="T231" s="101"/>
      <c r="U231" s="101"/>
      <c r="V231" s="101"/>
      <c r="W231" s="101"/>
      <c r="X231" s="101"/>
      <c r="Y231" s="101"/>
      <c r="Z231" s="101"/>
      <c r="AA231" s="101"/>
    </row>
    <row r="232" spans="2:27" ht="24" customHeight="1">
      <c r="B232" s="484"/>
      <c r="C232" s="123">
        <f t="shared" ref="C232:N232" si="38">SUM(C218:C231)</f>
        <v>2132363</v>
      </c>
      <c r="D232" s="123">
        <f t="shared" si="38"/>
        <v>2850094</v>
      </c>
      <c r="E232" s="123">
        <f t="shared" si="38"/>
        <v>2806281</v>
      </c>
      <c r="F232" s="123">
        <f t="shared" si="38"/>
        <v>3377243</v>
      </c>
      <c r="G232" s="123">
        <f t="shared" si="38"/>
        <v>3932724</v>
      </c>
      <c r="H232" s="123">
        <f t="shared" si="38"/>
        <v>3904616</v>
      </c>
      <c r="I232" s="123">
        <f t="shared" si="38"/>
        <v>4001214</v>
      </c>
      <c r="J232" s="123">
        <f t="shared" si="38"/>
        <v>4010245</v>
      </c>
      <c r="K232" s="123">
        <f t="shared" si="38"/>
        <v>3337774</v>
      </c>
      <c r="L232" s="123">
        <f t="shared" si="38"/>
        <v>3361158</v>
      </c>
      <c r="M232" s="123">
        <f t="shared" si="38"/>
        <v>3432621</v>
      </c>
      <c r="N232" s="123">
        <f t="shared" si="38"/>
        <v>4429052</v>
      </c>
      <c r="O232" s="123">
        <f>SUM(O218:O231)</f>
        <v>4324113</v>
      </c>
      <c r="P232" s="605">
        <f>SUM(P217:P231)</f>
        <v>6118737</v>
      </c>
    </row>
    <row r="233" spans="2:27">
      <c r="B233" s="506"/>
      <c r="C233" s="507"/>
      <c r="D233" s="507"/>
      <c r="E233" s="507"/>
      <c r="F233" s="507"/>
      <c r="G233" s="507"/>
      <c r="H233" s="507"/>
      <c r="I233" s="507"/>
      <c r="J233" s="507"/>
      <c r="K233" s="507"/>
      <c r="L233" s="507"/>
      <c r="M233" s="507"/>
      <c r="N233" s="507"/>
      <c r="O233" s="507"/>
      <c r="P233" s="614"/>
    </row>
    <row r="234" spans="2:27" s="106" customFormat="1">
      <c r="B234" s="104" t="s">
        <v>283</v>
      </c>
      <c r="C234" s="121">
        <v>178733</v>
      </c>
      <c r="D234" s="121">
        <v>214939</v>
      </c>
      <c r="E234" s="121">
        <v>201431</v>
      </c>
      <c r="F234" s="121">
        <v>212706</v>
      </c>
      <c r="G234" s="121">
        <v>226286</v>
      </c>
      <c r="H234" s="121">
        <v>230878</v>
      </c>
      <c r="I234" s="121">
        <v>282713</v>
      </c>
      <c r="J234" s="121">
        <v>287177</v>
      </c>
      <c r="K234" s="121">
        <v>273453</v>
      </c>
      <c r="L234" s="121">
        <v>1967288</v>
      </c>
      <c r="M234" s="121">
        <v>502442</v>
      </c>
      <c r="N234" s="121">
        <v>369210</v>
      </c>
      <c r="O234" s="121">
        <v>327872</v>
      </c>
      <c r="P234" s="601">
        <v>371159</v>
      </c>
      <c r="Q234" s="101"/>
      <c r="R234" s="101"/>
      <c r="S234" s="101"/>
      <c r="T234" s="101"/>
      <c r="U234" s="101"/>
      <c r="V234" s="101"/>
      <c r="W234" s="101"/>
      <c r="X234" s="101"/>
      <c r="Y234" s="101"/>
      <c r="Z234" s="101"/>
      <c r="AA234" s="101"/>
    </row>
    <row r="235" spans="2:27" s="106" customFormat="1">
      <c r="B235" s="508"/>
      <c r="C235" s="509"/>
      <c r="D235" s="509"/>
      <c r="E235" s="509"/>
      <c r="F235" s="509"/>
      <c r="G235" s="509"/>
      <c r="H235" s="509"/>
      <c r="I235" s="509"/>
      <c r="J235" s="508"/>
      <c r="K235" s="509"/>
      <c r="L235" s="509"/>
      <c r="M235" s="509"/>
      <c r="N235" s="509"/>
      <c r="O235" s="509"/>
      <c r="P235" s="615"/>
      <c r="Q235" s="101"/>
      <c r="R235" s="101"/>
      <c r="S235" s="101"/>
      <c r="T235" s="101"/>
      <c r="U235" s="101"/>
      <c r="V235" s="101"/>
      <c r="W235" s="101"/>
      <c r="X235" s="101"/>
      <c r="Y235" s="101"/>
      <c r="Z235" s="101"/>
      <c r="AA235" s="101"/>
    </row>
    <row r="236" spans="2:27" s="106" customFormat="1">
      <c r="B236" s="486" t="s">
        <v>284</v>
      </c>
      <c r="C236" s="122"/>
      <c r="D236" s="122"/>
      <c r="E236" s="122"/>
      <c r="F236" s="486"/>
      <c r="G236" s="122"/>
      <c r="H236" s="122"/>
      <c r="I236" s="122"/>
      <c r="J236" s="122"/>
      <c r="K236" s="122"/>
      <c r="L236" s="122"/>
      <c r="M236" s="122"/>
      <c r="N236" s="122"/>
      <c r="O236" s="122"/>
      <c r="P236" s="606"/>
      <c r="Q236" s="101"/>
      <c r="R236" s="101"/>
      <c r="S236" s="101"/>
      <c r="T236" s="101"/>
      <c r="U236" s="101"/>
      <c r="V236" s="101"/>
      <c r="W236" s="101"/>
      <c r="X236" s="101"/>
      <c r="Y236" s="101"/>
      <c r="Z236" s="101"/>
      <c r="AA236" s="101"/>
    </row>
    <row r="237" spans="2:27" s="106" customFormat="1">
      <c r="B237" s="104" t="s">
        <v>285</v>
      </c>
      <c r="C237" s="121">
        <v>2372437</v>
      </c>
      <c r="D237" s="121">
        <v>3590020</v>
      </c>
      <c r="E237" s="121">
        <v>3590020</v>
      </c>
      <c r="F237" s="121">
        <v>3590020</v>
      </c>
      <c r="G237" s="121">
        <v>3590020</v>
      </c>
      <c r="H237" s="121">
        <v>3590020</v>
      </c>
      <c r="I237" s="121">
        <v>3590020</v>
      </c>
      <c r="J237" s="121">
        <v>3590020</v>
      </c>
      <c r="K237" s="121">
        <v>3590020</v>
      </c>
      <c r="L237" s="121">
        <v>3590020</v>
      </c>
      <c r="M237" s="121">
        <v>3590020</v>
      </c>
      <c r="N237" s="121">
        <v>3590020</v>
      </c>
      <c r="O237" s="121">
        <v>3590020</v>
      </c>
      <c r="P237" s="601">
        <v>3590020</v>
      </c>
      <c r="Q237" s="101"/>
      <c r="R237" s="101"/>
      <c r="S237" s="101"/>
      <c r="T237" s="101"/>
      <c r="U237" s="101"/>
      <c r="V237" s="101"/>
      <c r="W237" s="101"/>
      <c r="X237" s="101"/>
      <c r="Y237" s="101"/>
      <c r="Z237" s="101"/>
      <c r="AA237" s="101"/>
    </row>
    <row r="238" spans="2:27" s="106" customFormat="1">
      <c r="B238" s="104" t="s">
        <v>222</v>
      </c>
      <c r="C238" s="121">
        <v>1217583</v>
      </c>
      <c r="D238" s="121">
        <v>666</v>
      </c>
      <c r="E238" s="121">
        <v>666</v>
      </c>
      <c r="F238" s="121">
        <v>666</v>
      </c>
      <c r="G238" s="121">
        <v>666</v>
      </c>
      <c r="H238" s="121">
        <v>666</v>
      </c>
      <c r="I238" s="121">
        <v>666</v>
      </c>
      <c r="J238" s="121">
        <v>666</v>
      </c>
      <c r="K238" s="121">
        <v>666</v>
      </c>
      <c r="L238" s="121">
        <v>666</v>
      </c>
      <c r="M238" s="121">
        <v>666</v>
      </c>
      <c r="N238" s="121">
        <v>666</v>
      </c>
      <c r="O238" s="121">
        <v>666</v>
      </c>
      <c r="P238" s="121">
        <v>-18380</v>
      </c>
      <c r="Q238" s="101"/>
      <c r="R238" s="101"/>
      <c r="S238" s="101"/>
      <c r="T238" s="101"/>
      <c r="U238" s="101"/>
      <c r="V238" s="101"/>
      <c r="W238" s="101"/>
      <c r="X238" s="101"/>
      <c r="Y238" s="101"/>
      <c r="Z238" s="101"/>
      <c r="AA238" s="101"/>
    </row>
    <row r="239" spans="2:27" s="106" customFormat="1">
      <c r="B239" s="104" t="s">
        <v>286</v>
      </c>
      <c r="C239" s="121">
        <v>1127814</v>
      </c>
      <c r="D239" s="121">
        <v>1265967</v>
      </c>
      <c r="E239" s="121">
        <v>1402336</v>
      </c>
      <c r="F239" s="121">
        <v>557337</v>
      </c>
      <c r="G239" s="121">
        <v>557337</v>
      </c>
      <c r="H239" s="121">
        <v>760451</v>
      </c>
      <c r="I239" s="121">
        <v>760451</v>
      </c>
      <c r="J239" s="121">
        <v>760451</v>
      </c>
      <c r="K239" s="121">
        <v>760451</v>
      </c>
      <c r="L239" s="121">
        <v>1192078</v>
      </c>
      <c r="M239" s="121">
        <v>1192078</v>
      </c>
      <c r="N239" s="121">
        <v>1192078</v>
      </c>
      <c r="O239" s="121">
        <v>1192078</v>
      </c>
      <c r="P239" s="121">
        <v>1192077</v>
      </c>
      <c r="Q239" s="101"/>
      <c r="R239" s="101"/>
      <c r="S239" s="101"/>
      <c r="T239" s="101"/>
      <c r="U239" s="101"/>
      <c r="V239" s="101"/>
      <c r="W239" s="101"/>
      <c r="X239" s="101"/>
      <c r="Y239" s="101"/>
      <c r="Z239" s="101"/>
      <c r="AA239" s="101"/>
    </row>
    <row r="240" spans="2:27" s="106" customFormat="1">
      <c r="B240" s="104" t="s">
        <v>287</v>
      </c>
      <c r="C240" s="121">
        <v>2264451</v>
      </c>
      <c r="D240" s="121">
        <v>2301266</v>
      </c>
      <c r="E240" s="121">
        <v>2249590</v>
      </c>
      <c r="F240" s="121">
        <v>2198516</v>
      </c>
      <c r="G240" s="121">
        <v>2148216</v>
      </c>
      <c r="H240" s="121">
        <v>2103510</v>
      </c>
      <c r="I240" s="121">
        <v>2047987</v>
      </c>
      <c r="J240" s="121">
        <v>1999817</v>
      </c>
      <c r="K240" s="121">
        <v>1949526</v>
      </c>
      <c r="L240" s="121">
        <v>1899993</v>
      </c>
      <c r="M240" s="121">
        <v>1844193</v>
      </c>
      <c r="N240" s="121">
        <v>1796207</v>
      </c>
      <c r="O240" s="121">
        <v>2162054</v>
      </c>
      <c r="P240" s="121">
        <v>2136052</v>
      </c>
      <c r="Q240" s="101"/>
      <c r="R240" s="101"/>
      <c r="S240" s="101"/>
      <c r="T240" s="101"/>
      <c r="U240" s="101"/>
      <c r="V240" s="101"/>
      <c r="W240" s="101"/>
      <c r="X240" s="101"/>
      <c r="Y240" s="101"/>
      <c r="Z240" s="101"/>
      <c r="AA240" s="101"/>
    </row>
    <row r="241" spans="2:27" s="106" customFormat="1">
      <c r="B241" s="104" t="s">
        <v>986</v>
      </c>
      <c r="C241" s="121"/>
      <c r="D241" s="121"/>
      <c r="E241" s="121"/>
      <c r="F241" s="121"/>
      <c r="G241" s="121"/>
      <c r="H241" s="121"/>
      <c r="I241" s="121"/>
      <c r="J241" s="121"/>
      <c r="K241" s="121"/>
      <c r="L241" s="121"/>
      <c r="M241" s="121"/>
      <c r="N241" s="121"/>
      <c r="O241" s="121"/>
      <c r="P241" s="121">
        <v>-364659</v>
      </c>
      <c r="Q241" s="101"/>
      <c r="R241" s="101"/>
      <c r="S241" s="101"/>
      <c r="T241" s="101"/>
      <c r="U241" s="101"/>
      <c r="V241" s="101"/>
      <c r="W241" s="101"/>
      <c r="X241" s="101"/>
      <c r="Y241" s="101"/>
      <c r="Z241" s="101"/>
      <c r="AA241" s="101"/>
    </row>
    <row r="242" spans="2:27" s="106" customFormat="1">
      <c r="B242" s="104" t="s">
        <v>288</v>
      </c>
      <c r="C242" s="121">
        <v>0</v>
      </c>
      <c r="D242" s="121">
        <v>0</v>
      </c>
      <c r="E242" s="121">
        <v>0</v>
      </c>
      <c r="F242" s="121">
        <v>0</v>
      </c>
      <c r="G242" s="121">
        <v>0</v>
      </c>
      <c r="H242" s="121">
        <v>73192</v>
      </c>
      <c r="I242" s="121">
        <v>73389</v>
      </c>
      <c r="J242" s="121">
        <v>70369</v>
      </c>
      <c r="K242" s="121">
        <v>77405</v>
      </c>
      <c r="L242" s="121">
        <v>31191</v>
      </c>
      <c r="M242" s="121">
        <v>63630</v>
      </c>
      <c r="N242" s="121">
        <v>62841</v>
      </c>
      <c r="O242" s="121">
        <v>53225</v>
      </c>
      <c r="P242" s="601">
        <v>140114</v>
      </c>
      <c r="Q242" s="101"/>
      <c r="R242" s="101"/>
      <c r="S242" s="101"/>
      <c r="T242" s="101"/>
      <c r="U242" s="101"/>
      <c r="V242" s="101"/>
      <c r="W242" s="101"/>
      <c r="X242" s="101"/>
      <c r="Y242" s="101"/>
      <c r="Z242" s="101"/>
      <c r="AA242" s="101"/>
    </row>
    <row r="243" spans="2:27" s="106" customFormat="1">
      <c r="B243" s="104" t="s">
        <v>226</v>
      </c>
      <c r="C243" s="121">
        <v>666</v>
      </c>
      <c r="D243" s="121">
        <v>0</v>
      </c>
      <c r="E243" s="121">
        <v>0</v>
      </c>
      <c r="F243" s="121">
        <v>0</v>
      </c>
      <c r="G243" s="121">
        <v>0</v>
      </c>
      <c r="H243" s="121">
        <v>0</v>
      </c>
      <c r="I243" s="121">
        <v>0</v>
      </c>
      <c r="J243" s="121">
        <v>0</v>
      </c>
      <c r="K243" s="121">
        <v>0</v>
      </c>
      <c r="L243" s="121">
        <v>0</v>
      </c>
      <c r="M243" s="121">
        <v>0</v>
      </c>
      <c r="N243" s="121">
        <v>0</v>
      </c>
      <c r="O243" s="121">
        <v>0</v>
      </c>
      <c r="P243" s="601">
        <v>0</v>
      </c>
      <c r="Q243" s="101"/>
      <c r="R243" s="101"/>
      <c r="S243" s="101"/>
      <c r="T243" s="101"/>
      <c r="U243" s="101"/>
      <c r="V243" s="101"/>
      <c r="W243" s="101"/>
      <c r="X243" s="101"/>
      <c r="Y243" s="101"/>
      <c r="Z243" s="101"/>
      <c r="AA243" s="101"/>
    </row>
    <row r="244" spans="2:27">
      <c r="B244" s="104" t="s">
        <v>289</v>
      </c>
      <c r="C244" s="121">
        <v>0</v>
      </c>
      <c r="D244" s="121">
        <v>0</v>
      </c>
      <c r="E244" s="121">
        <v>301805</v>
      </c>
      <c r="F244" s="121">
        <v>692337</v>
      </c>
      <c r="G244" s="121">
        <v>930754</v>
      </c>
      <c r="H244" s="121">
        <v>0</v>
      </c>
      <c r="I244" s="121">
        <v>285711</v>
      </c>
      <c r="J244" s="121">
        <v>572057</v>
      </c>
      <c r="K244" s="121">
        <v>661539</v>
      </c>
      <c r="L244" s="121">
        <v>0</v>
      </c>
      <c r="M244" s="121">
        <v>364465</v>
      </c>
      <c r="N244" s="121">
        <v>1181218</v>
      </c>
      <c r="O244" s="121">
        <v>1528809</v>
      </c>
      <c r="P244" s="601">
        <v>1085973</v>
      </c>
    </row>
    <row r="245" spans="2:27">
      <c r="B245" s="104" t="s">
        <v>290</v>
      </c>
      <c r="C245" s="121">
        <v>0</v>
      </c>
      <c r="D245" s="121">
        <v>84693</v>
      </c>
      <c r="E245" s="121">
        <v>0</v>
      </c>
      <c r="F245" s="121">
        <v>0</v>
      </c>
      <c r="G245" s="121">
        <v>0</v>
      </c>
      <c r="H245" s="121">
        <v>0</v>
      </c>
      <c r="I245" s="121">
        <v>0</v>
      </c>
      <c r="J245" s="121">
        <v>0</v>
      </c>
      <c r="K245" s="121">
        <v>0</v>
      </c>
      <c r="L245" s="121">
        <v>0</v>
      </c>
      <c r="M245" s="121">
        <v>0</v>
      </c>
      <c r="N245" s="121">
        <v>0</v>
      </c>
      <c r="O245" s="121">
        <v>0</v>
      </c>
      <c r="P245" s="601" t="s">
        <v>157</v>
      </c>
    </row>
    <row r="246" spans="2:27">
      <c r="B246" s="484" t="s">
        <v>291</v>
      </c>
      <c r="C246" s="123">
        <f>SUM(C237:C245)</f>
        <v>6982951</v>
      </c>
      <c r="D246" s="123">
        <f t="shared" ref="D246:O246" si="39">SUM(D237:D245)</f>
        <v>7242612</v>
      </c>
      <c r="E246" s="123">
        <f t="shared" si="39"/>
        <v>7544417</v>
      </c>
      <c r="F246" s="123">
        <f t="shared" si="39"/>
        <v>7038876</v>
      </c>
      <c r="G246" s="123">
        <f t="shared" si="39"/>
        <v>7226993</v>
      </c>
      <c r="H246" s="123">
        <f t="shared" si="39"/>
        <v>6527839</v>
      </c>
      <c r="I246" s="123">
        <f t="shared" si="39"/>
        <v>6758224</v>
      </c>
      <c r="J246" s="123">
        <f t="shared" si="39"/>
        <v>6993380</v>
      </c>
      <c r="K246" s="123">
        <f t="shared" si="39"/>
        <v>7039607</v>
      </c>
      <c r="L246" s="123">
        <f t="shared" si="39"/>
        <v>6713948</v>
      </c>
      <c r="M246" s="123">
        <f t="shared" si="39"/>
        <v>7055052</v>
      </c>
      <c r="N246" s="123">
        <f t="shared" si="39"/>
        <v>7823030</v>
      </c>
      <c r="O246" s="123">
        <f t="shared" si="39"/>
        <v>8526852</v>
      </c>
      <c r="P246" s="605">
        <f>SUM(P237:P245)</f>
        <v>7761197</v>
      </c>
    </row>
    <row r="247" spans="2:27">
      <c r="B247" s="484" t="s">
        <v>292</v>
      </c>
      <c r="C247" s="123">
        <f t="shared" ref="C247:O247" si="40">SUM(C246+C234+C232+C215)</f>
        <v>9901001</v>
      </c>
      <c r="D247" s="123">
        <f t="shared" si="40"/>
        <v>11096749</v>
      </c>
      <c r="E247" s="123">
        <f t="shared" si="40"/>
        <v>11397895</v>
      </c>
      <c r="F247" s="123">
        <f t="shared" si="40"/>
        <v>11653204</v>
      </c>
      <c r="G247" s="123">
        <f t="shared" si="40"/>
        <v>12395764</v>
      </c>
      <c r="H247" s="123">
        <f t="shared" si="40"/>
        <v>11290031</v>
      </c>
      <c r="I247" s="123">
        <f t="shared" si="40"/>
        <v>11755598</v>
      </c>
      <c r="J247" s="123">
        <f t="shared" si="40"/>
        <v>12162325</v>
      </c>
      <c r="K247" s="123">
        <f t="shared" si="40"/>
        <v>12189920</v>
      </c>
      <c r="L247" s="123">
        <f t="shared" si="40"/>
        <v>13648553</v>
      </c>
      <c r="M247" s="123">
        <f t="shared" si="40"/>
        <v>12689381</v>
      </c>
      <c r="N247" s="123">
        <f t="shared" si="40"/>
        <v>14446011</v>
      </c>
      <c r="O247" s="123">
        <f t="shared" si="40"/>
        <v>14568644</v>
      </c>
      <c r="P247" s="605">
        <f>SUM(P246+P234+P232+P215)</f>
        <v>15617446</v>
      </c>
    </row>
    <row r="250" spans="2:27" ht="15">
      <c r="B250" s="477" t="s">
        <v>860</v>
      </c>
    </row>
    <row r="251" spans="2:27" ht="252.5">
      <c r="B251" s="631" t="s">
        <v>991</v>
      </c>
    </row>
  </sheetData>
  <mergeCells count="5">
    <mergeCell ref="B164:B165"/>
    <mergeCell ref="B199:B200"/>
    <mergeCell ref="B6:B7"/>
    <mergeCell ref="B47:B48"/>
    <mergeCell ref="B129:B130"/>
  </mergeCells>
  <hyperlinks>
    <hyperlink ref="A1" location="Contenido!A1" display="Volver al Contenido" xr:uid="{6126ABE0-B1B1-445A-A2BC-E847454CC23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R12"/>
  <sheetViews>
    <sheetView showGridLines="0" zoomScale="90" zoomScaleNormal="90" workbookViewId="0">
      <selection activeCell="N30" sqref="N30"/>
    </sheetView>
  </sheetViews>
  <sheetFormatPr baseColWidth="10" defaultColWidth="11.453125" defaultRowHeight="14.5"/>
  <cols>
    <col min="1" max="1" width="10.81640625" customWidth="1"/>
    <col min="2" max="2" width="49.1796875" customWidth="1"/>
    <col min="3" max="4" width="14.54296875" customWidth="1"/>
    <col min="5" max="5" width="15.1796875" customWidth="1"/>
    <col min="6" max="6" width="16.54296875" customWidth="1"/>
    <col min="7" max="7" width="17.453125" customWidth="1"/>
    <col min="8" max="8" width="15.81640625" customWidth="1"/>
    <col min="9" max="9" width="19.54296875" customWidth="1"/>
    <col min="10" max="10" width="16.1796875" customWidth="1"/>
    <col min="11" max="11" width="15" customWidth="1"/>
    <col min="12" max="12" width="19.1796875" customWidth="1"/>
    <col min="13" max="13" width="20.453125" customWidth="1"/>
    <col min="14" max="14" width="16.1796875" customWidth="1"/>
    <col min="15" max="15" width="15" customWidth="1"/>
    <col min="16" max="16" width="17.54296875" customWidth="1"/>
    <col min="17" max="17" width="19.81640625" customWidth="1"/>
    <col min="18" max="18" width="20.7265625" customWidth="1"/>
  </cols>
  <sheetData>
    <row r="1" spans="1:18">
      <c r="A1" s="2" t="s">
        <v>17</v>
      </c>
      <c r="B1" s="106"/>
      <c r="C1" s="106"/>
      <c r="D1" s="106"/>
      <c r="E1" s="106"/>
      <c r="F1" s="106"/>
      <c r="G1" s="106"/>
      <c r="H1" s="106"/>
      <c r="I1" s="106"/>
      <c r="J1" s="106"/>
      <c r="K1" s="106"/>
      <c r="L1" s="106"/>
      <c r="M1" s="106"/>
      <c r="N1" s="106"/>
      <c r="O1" s="106"/>
      <c r="P1" s="106"/>
      <c r="Q1" s="106"/>
      <c r="R1" s="106"/>
    </row>
    <row r="2" spans="1:18" s="106" customFormat="1">
      <c r="A2" s="2"/>
    </row>
    <row r="3" spans="1:18" s="106" customFormat="1">
      <c r="A3" s="2"/>
    </row>
    <row r="4" spans="1:18">
      <c r="B4" s="106"/>
      <c r="C4" s="106"/>
      <c r="D4" s="106"/>
      <c r="E4" s="106"/>
      <c r="F4" s="106"/>
      <c r="G4" s="106"/>
      <c r="H4" s="106"/>
      <c r="I4" s="106"/>
      <c r="J4" s="106"/>
      <c r="K4" s="106"/>
      <c r="L4" s="106"/>
      <c r="M4" s="106"/>
      <c r="N4" s="106"/>
      <c r="O4" s="106"/>
      <c r="P4" s="106"/>
      <c r="Q4" s="106"/>
      <c r="R4" s="106"/>
    </row>
    <row r="5" spans="1:18">
      <c r="A5" s="106"/>
      <c r="B5" s="106"/>
      <c r="C5" s="106"/>
      <c r="D5" s="106"/>
      <c r="E5" s="106"/>
      <c r="F5" s="106"/>
      <c r="G5" s="106"/>
      <c r="H5" s="106"/>
      <c r="I5" s="106"/>
      <c r="J5" s="106"/>
      <c r="K5" s="106"/>
      <c r="L5" s="106"/>
      <c r="M5" s="106"/>
      <c r="N5" s="106"/>
      <c r="O5" s="106"/>
      <c r="P5" s="106"/>
      <c r="Q5" s="106"/>
      <c r="R5" s="106"/>
    </row>
    <row r="6" spans="1:18" s="106" customFormat="1"/>
    <row r="7" spans="1:18">
      <c r="A7" s="106"/>
      <c r="B7" s="116"/>
      <c r="C7" s="116"/>
      <c r="D7" s="116"/>
      <c r="E7" s="116"/>
      <c r="F7" s="116"/>
      <c r="G7" s="116"/>
      <c r="H7" s="116"/>
      <c r="I7" s="116"/>
      <c r="J7" s="116"/>
      <c r="K7" s="116"/>
      <c r="L7" s="116"/>
      <c r="M7" s="116"/>
      <c r="N7" s="116"/>
      <c r="O7" s="116"/>
      <c r="P7" s="116"/>
      <c r="Q7" s="116"/>
      <c r="R7" s="116"/>
    </row>
    <row r="8" spans="1:18" ht="15.5">
      <c r="A8" s="106"/>
      <c r="B8" s="471"/>
      <c r="C8" s="472" t="s">
        <v>293</v>
      </c>
      <c r="D8" s="472" t="s">
        <v>294</v>
      </c>
      <c r="E8" s="472" t="s">
        <v>295</v>
      </c>
      <c r="F8" s="472" t="s">
        <v>296</v>
      </c>
      <c r="G8" s="472" t="s">
        <v>297</v>
      </c>
      <c r="H8" s="472" t="s">
        <v>298</v>
      </c>
      <c r="I8" s="472" t="s">
        <v>299</v>
      </c>
      <c r="J8" s="472" t="s">
        <v>300</v>
      </c>
      <c r="K8" s="472" t="s">
        <v>301</v>
      </c>
      <c r="L8" s="472" t="s">
        <v>302</v>
      </c>
      <c r="M8" s="472" t="s">
        <v>303</v>
      </c>
      <c r="N8" s="472" t="s">
        <v>304</v>
      </c>
      <c r="O8" s="472" t="s">
        <v>305</v>
      </c>
      <c r="P8" s="472" t="s">
        <v>306</v>
      </c>
      <c r="Q8" s="472" t="s">
        <v>307</v>
      </c>
      <c r="R8" s="472" t="s">
        <v>308</v>
      </c>
    </row>
    <row r="9" spans="1:18" ht="15.5">
      <c r="A9" s="106"/>
      <c r="B9" s="237" t="s">
        <v>309</v>
      </c>
      <c r="C9" s="238"/>
      <c r="D9" s="238"/>
      <c r="E9" s="238"/>
      <c r="F9" s="238">
        <v>554.28808435445308</v>
      </c>
      <c r="G9" s="238">
        <v>554.28808435445308</v>
      </c>
      <c r="H9" s="238">
        <v>554.28808435445308</v>
      </c>
      <c r="I9" s="238">
        <v>275.9669413492631</v>
      </c>
      <c r="J9" s="238">
        <v>275.9669413492631</v>
      </c>
      <c r="K9" s="238"/>
      <c r="L9" s="238"/>
      <c r="M9" s="238"/>
      <c r="N9" s="238"/>
      <c r="O9" s="238"/>
      <c r="P9" s="238"/>
      <c r="Q9" s="238"/>
      <c r="R9" s="238"/>
    </row>
    <row r="10" spans="1:18" ht="15.5">
      <c r="A10" s="106"/>
      <c r="B10" s="239" t="s">
        <v>310</v>
      </c>
      <c r="C10" s="240">
        <v>728.87759551227771</v>
      </c>
      <c r="D10" s="240">
        <v>749.68714785400323</v>
      </c>
      <c r="E10" s="240">
        <v>784.60951346306365</v>
      </c>
      <c r="F10" s="240">
        <v>841.00739787917462</v>
      </c>
      <c r="G10" s="240">
        <v>841.00739787917462</v>
      </c>
      <c r="H10" s="240">
        <v>841.00739787917462</v>
      </c>
      <c r="I10" s="240">
        <v>816.69137858862496</v>
      </c>
      <c r="J10" s="240">
        <v>816.69137858862496</v>
      </c>
      <c r="K10" s="240"/>
      <c r="L10" s="240"/>
      <c r="M10" s="240"/>
      <c r="N10" s="240"/>
      <c r="O10" s="240"/>
      <c r="P10" s="240"/>
      <c r="Q10" s="240"/>
      <c r="R10" s="240"/>
    </row>
    <row r="11" spans="1:18" ht="15.5">
      <c r="B11" s="239" t="s">
        <v>311</v>
      </c>
      <c r="C11" s="240">
        <v>837.23913069203718</v>
      </c>
      <c r="D11" s="240">
        <v>711.46508847818245</v>
      </c>
      <c r="E11" s="240">
        <v>747.20732492309855</v>
      </c>
      <c r="F11" s="240">
        <v>694.20063732456902</v>
      </c>
      <c r="G11" s="240">
        <v>694.20063732456902</v>
      </c>
      <c r="H11" s="240">
        <v>694.20063732456902</v>
      </c>
      <c r="I11" s="240">
        <v>496.37992435808957</v>
      </c>
      <c r="J11" s="240">
        <v>496.37992435808957</v>
      </c>
      <c r="K11" s="240">
        <v>496.37992435808957</v>
      </c>
      <c r="L11" s="240">
        <v>496.37992435808957</v>
      </c>
      <c r="M11" s="240">
        <v>496.37992435808957</v>
      </c>
      <c r="N11" s="240">
        <v>91.56983117760042</v>
      </c>
      <c r="O11" s="240">
        <v>91.56983117760042</v>
      </c>
      <c r="P11" s="240">
        <v>91.56983117760042</v>
      </c>
      <c r="Q11" s="240">
        <v>91.56983117760042</v>
      </c>
      <c r="R11" s="240">
        <v>91.56983117760042</v>
      </c>
    </row>
    <row r="12" spans="1:18" ht="15.5">
      <c r="B12" s="438" t="s">
        <v>312</v>
      </c>
      <c r="C12" s="439">
        <v>1566.116726204315</v>
      </c>
      <c r="D12" s="439">
        <v>1461.1522363321856</v>
      </c>
      <c r="E12" s="439">
        <v>1531.8168383861621</v>
      </c>
      <c r="F12" s="439">
        <v>2089.4961195581968</v>
      </c>
      <c r="G12" s="439">
        <v>2089.4961195581968</v>
      </c>
      <c r="H12" s="439">
        <v>2089.4961195581968</v>
      </c>
      <c r="I12" s="439">
        <v>1589.0382442959776</v>
      </c>
      <c r="J12" s="439">
        <v>1589.0382442959776</v>
      </c>
      <c r="K12" s="439">
        <v>496.37992435808957</v>
      </c>
      <c r="L12" s="439">
        <v>496.37992435808957</v>
      </c>
      <c r="M12" s="439">
        <v>496.37992435808957</v>
      </c>
      <c r="N12" s="439">
        <v>91.56983117760042</v>
      </c>
      <c r="O12" s="439">
        <v>91.56983117760042</v>
      </c>
      <c r="P12" s="439">
        <v>91.56983117760042</v>
      </c>
      <c r="Q12" s="439">
        <v>91.56983117760042</v>
      </c>
      <c r="R12" s="439">
        <v>91.56983117760042</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dimension ref="A1:R275"/>
  <sheetViews>
    <sheetView showGridLines="0" zoomScale="90" zoomScaleNormal="90" workbookViewId="0">
      <pane xSplit="2" ySplit="7" topLeftCell="K158" activePane="bottomRight" state="frozen"/>
      <selection pane="topRight" activeCell="C1" sqref="C1"/>
      <selection pane="bottomLeft" activeCell="A7" sqref="A7"/>
      <selection pane="bottomRight" activeCell="Q42" sqref="Q42"/>
    </sheetView>
  </sheetViews>
  <sheetFormatPr baseColWidth="10" defaultColWidth="11.453125" defaultRowHeight="14.5"/>
  <cols>
    <col min="1" max="1" width="3.1796875" style="106" customWidth="1"/>
    <col min="2" max="2" width="83" style="106" customWidth="1"/>
    <col min="3" max="7" width="13.453125" style="106" customWidth="1"/>
    <col min="8" max="8" width="14.26953125" style="106" customWidth="1"/>
    <col min="9" max="14" width="13.453125" style="106" customWidth="1"/>
    <col min="15" max="16" width="14" style="101" bestFit="1" customWidth="1"/>
    <col min="17" max="16384" width="11.453125" style="106"/>
  </cols>
  <sheetData>
    <row r="1" spans="1:16">
      <c r="A1" s="2" t="s">
        <v>17</v>
      </c>
      <c r="I1" s="98"/>
      <c r="J1" s="98"/>
      <c r="K1" s="98"/>
      <c r="L1" s="98"/>
    </row>
    <row r="2" spans="1:16">
      <c r="C2" s="10"/>
      <c r="D2" s="10"/>
      <c r="M2" s="10"/>
      <c r="N2" s="10"/>
    </row>
    <row r="3" spans="1:16" ht="15.5">
      <c r="A3" s="119" t="s">
        <v>105</v>
      </c>
      <c r="B3" s="12" t="s">
        <v>313</v>
      </c>
      <c r="C3" s="207"/>
      <c r="D3" s="207"/>
      <c r="E3" s="211"/>
      <c r="F3" s="167"/>
      <c r="G3" s="167"/>
      <c r="H3" s="167"/>
      <c r="I3" s="167"/>
      <c r="J3" s="167"/>
      <c r="K3" s="167"/>
      <c r="L3" s="167"/>
      <c r="M3" s="167"/>
      <c r="N3" s="167"/>
      <c r="O3" s="552"/>
      <c r="P3" s="552"/>
    </row>
    <row r="4" spans="1:16" ht="15.5">
      <c r="B4" s="14" t="s">
        <v>314</v>
      </c>
      <c r="C4" s="207"/>
      <c r="D4" s="207"/>
      <c r="E4" s="167"/>
      <c r="F4" s="167"/>
      <c r="G4" s="167"/>
      <c r="H4" s="167"/>
      <c r="I4" s="211"/>
      <c r="J4" s="167"/>
      <c r="K4" s="167"/>
      <c r="L4" s="167"/>
      <c r="M4" s="167"/>
      <c r="N4" s="167"/>
      <c r="O4" s="552"/>
      <c r="P4" s="552"/>
    </row>
    <row r="5" spans="1:16" ht="15.5">
      <c r="B5" s="14"/>
      <c r="C5" s="207"/>
      <c r="D5" s="207"/>
      <c r="E5" s="167"/>
      <c r="F5" s="167"/>
      <c r="G5" s="167"/>
      <c r="H5" s="167"/>
      <c r="I5" s="211"/>
      <c r="J5" s="167"/>
      <c r="K5" s="167"/>
      <c r="L5" s="167"/>
      <c r="M5" s="167"/>
      <c r="N5" s="167"/>
      <c r="O5" s="552"/>
      <c r="P5" s="552"/>
    </row>
    <row r="6" spans="1:16" ht="15.5">
      <c r="B6" s="35"/>
      <c r="C6" s="102"/>
      <c r="D6" s="102"/>
      <c r="E6" s="205"/>
      <c r="F6" s="211"/>
      <c r="G6" s="167"/>
      <c r="H6" s="167"/>
      <c r="I6" s="102"/>
      <c r="J6" s="102"/>
      <c r="K6" s="102"/>
      <c r="L6" s="102"/>
      <c r="M6" s="211"/>
      <c r="N6" s="167"/>
      <c r="O6" s="552"/>
      <c r="P6" s="552"/>
    </row>
    <row r="7" spans="1:16" ht="15">
      <c r="B7" s="553"/>
      <c r="C7" s="554">
        <v>2016</v>
      </c>
      <c r="D7" s="554">
        <v>2017</v>
      </c>
      <c r="E7" s="554" t="s">
        <v>20</v>
      </c>
      <c r="F7" s="554" t="s">
        <v>21</v>
      </c>
      <c r="G7" s="554" t="s">
        <v>22</v>
      </c>
      <c r="H7" s="554" t="s">
        <v>23</v>
      </c>
      <c r="I7" s="554" t="s">
        <v>24</v>
      </c>
      <c r="J7" s="554" t="s">
        <v>25</v>
      </c>
      <c r="K7" s="554" t="s">
        <v>26</v>
      </c>
      <c r="L7" s="554" t="s">
        <v>27</v>
      </c>
      <c r="M7" s="554" t="s">
        <v>28</v>
      </c>
      <c r="N7" s="554" t="s">
        <v>29</v>
      </c>
      <c r="O7" s="554" t="s">
        <v>30</v>
      </c>
      <c r="P7" s="555" t="s">
        <v>954</v>
      </c>
    </row>
    <row r="8" spans="1:16" ht="15.5">
      <c r="B8" s="243"/>
      <c r="C8" s="35"/>
      <c r="D8" s="35"/>
      <c r="E8" s="35"/>
      <c r="F8" s="35"/>
      <c r="G8" s="35"/>
      <c r="H8" s="35"/>
      <c r="I8" s="35"/>
      <c r="J8" s="35"/>
      <c r="K8" s="35"/>
      <c r="L8" s="35"/>
      <c r="M8" s="35"/>
      <c r="N8" s="35"/>
      <c r="O8" s="35"/>
      <c r="P8" s="556"/>
    </row>
    <row r="9" spans="1:16" ht="15.5">
      <c r="B9" s="172" t="s">
        <v>31</v>
      </c>
      <c r="C9" s="207">
        <v>283605</v>
      </c>
      <c r="D9" s="207">
        <v>156095</v>
      </c>
      <c r="E9" s="207">
        <v>21042</v>
      </c>
      <c r="F9" s="207">
        <v>15734</v>
      </c>
      <c r="G9" s="207">
        <v>11662</v>
      </c>
      <c r="H9" s="207">
        <v>10577</v>
      </c>
      <c r="I9" s="207">
        <v>5408</v>
      </c>
      <c r="J9" s="207">
        <v>4090</v>
      </c>
      <c r="K9" s="207">
        <v>7748</v>
      </c>
      <c r="L9" s="207">
        <v>27746</v>
      </c>
      <c r="M9" s="207">
        <v>24712</v>
      </c>
      <c r="N9" s="207">
        <v>30552</v>
      </c>
      <c r="O9" s="207">
        <v>54420</v>
      </c>
      <c r="P9" s="557">
        <v>46560</v>
      </c>
    </row>
    <row r="10" spans="1:16" ht="15.5">
      <c r="B10" s="172" t="s">
        <v>32</v>
      </c>
      <c r="C10" s="207">
        <v>283605</v>
      </c>
      <c r="D10" s="207">
        <v>155944</v>
      </c>
      <c r="E10" s="207">
        <v>20965</v>
      </c>
      <c r="F10" s="207">
        <v>15766</v>
      </c>
      <c r="G10" s="207">
        <v>11648</v>
      </c>
      <c r="H10" s="207">
        <v>10920</v>
      </c>
      <c r="I10" s="207">
        <v>5408</v>
      </c>
      <c r="J10" s="207">
        <v>4089</v>
      </c>
      <c r="K10" s="207">
        <v>7747</v>
      </c>
      <c r="L10" s="207">
        <v>27746</v>
      </c>
      <c r="M10" s="207">
        <v>24712</v>
      </c>
      <c r="N10" s="207">
        <v>30552</v>
      </c>
      <c r="O10" s="207">
        <v>54420</v>
      </c>
      <c r="P10" s="557">
        <v>46560</v>
      </c>
    </row>
    <row r="11" spans="1:16" ht="15.5">
      <c r="B11" s="232" t="s">
        <v>33</v>
      </c>
      <c r="C11" s="244">
        <f t="shared" ref="C11:N11" si="0">+C9-C10</f>
        <v>0</v>
      </c>
      <c r="D11" s="244">
        <f t="shared" si="0"/>
        <v>151</v>
      </c>
      <c r="E11" s="244">
        <f t="shared" si="0"/>
        <v>77</v>
      </c>
      <c r="F11" s="244">
        <f t="shared" si="0"/>
        <v>-32</v>
      </c>
      <c r="G11" s="244">
        <f t="shared" si="0"/>
        <v>14</v>
      </c>
      <c r="H11" s="244">
        <f t="shared" si="0"/>
        <v>-343</v>
      </c>
      <c r="I11" s="244">
        <f t="shared" si="0"/>
        <v>0</v>
      </c>
      <c r="J11" s="244">
        <f t="shared" si="0"/>
        <v>1</v>
      </c>
      <c r="K11" s="244">
        <f t="shared" si="0"/>
        <v>1</v>
      </c>
      <c r="L11" s="244">
        <f t="shared" si="0"/>
        <v>0</v>
      </c>
      <c r="M11" s="244">
        <f t="shared" si="0"/>
        <v>0</v>
      </c>
      <c r="N11" s="244">
        <f t="shared" si="0"/>
        <v>0</v>
      </c>
      <c r="O11" s="244">
        <v>0</v>
      </c>
      <c r="P11" s="558">
        <f>+P9-P10</f>
        <v>0</v>
      </c>
    </row>
    <row r="12" spans="1:16" ht="15.5">
      <c r="B12" s="243"/>
      <c r="C12" s="9"/>
      <c r="D12" s="9"/>
      <c r="E12" s="9"/>
      <c r="F12" s="9"/>
      <c r="G12" s="9"/>
      <c r="H12" s="9"/>
      <c r="I12" s="9"/>
      <c r="J12" s="9"/>
      <c r="K12" s="9"/>
      <c r="L12" s="9"/>
      <c r="M12" s="9"/>
      <c r="N12" s="9"/>
      <c r="O12" s="9"/>
      <c r="P12" s="556"/>
    </row>
    <row r="13" spans="1:16" ht="15.5">
      <c r="B13" s="172" t="s">
        <v>108</v>
      </c>
      <c r="C13" s="207">
        <v>121258</v>
      </c>
      <c r="D13" s="207">
        <v>125996</v>
      </c>
      <c r="E13" s="207">
        <v>42359</v>
      </c>
      <c r="F13" s="207">
        <v>43410</v>
      </c>
      <c r="G13" s="207">
        <v>42480</v>
      </c>
      <c r="H13" s="207">
        <v>43239</v>
      </c>
      <c r="I13" s="207">
        <v>46246</v>
      </c>
      <c r="J13" s="207">
        <v>47154</v>
      </c>
      <c r="K13" s="207">
        <v>46529</v>
      </c>
      <c r="L13" s="207">
        <v>46991</v>
      </c>
      <c r="M13" s="207">
        <v>44865</v>
      </c>
      <c r="N13" s="207">
        <v>47587</v>
      </c>
      <c r="O13" s="207">
        <v>49031</v>
      </c>
      <c r="P13" s="557">
        <v>48720</v>
      </c>
    </row>
    <row r="14" spans="1:16" ht="15.5">
      <c r="B14" s="172" t="s">
        <v>315</v>
      </c>
      <c r="C14" s="207">
        <v>0</v>
      </c>
      <c r="D14" s="207">
        <v>2893</v>
      </c>
      <c r="E14" s="207">
        <v>674</v>
      </c>
      <c r="F14" s="207">
        <v>757</v>
      </c>
      <c r="G14" s="207">
        <v>794</v>
      </c>
      <c r="H14" s="207">
        <v>1091</v>
      </c>
      <c r="I14" s="207">
        <v>766</v>
      </c>
      <c r="J14" s="207">
        <v>762</v>
      </c>
      <c r="K14" s="207">
        <v>740</v>
      </c>
      <c r="L14" s="207">
        <v>644</v>
      </c>
      <c r="M14" s="207">
        <v>784</v>
      </c>
      <c r="N14" s="207">
        <v>784</v>
      </c>
      <c r="O14" s="207">
        <v>1043</v>
      </c>
      <c r="P14" s="557">
        <v>802</v>
      </c>
    </row>
    <row r="15" spans="1:16" ht="15.5">
      <c r="B15" s="172" t="s">
        <v>40</v>
      </c>
      <c r="C15" s="207">
        <v>0</v>
      </c>
      <c r="D15" s="207">
        <v>0</v>
      </c>
      <c r="E15" s="207">
        <v>0</v>
      </c>
      <c r="F15" s="207">
        <v>0</v>
      </c>
      <c r="G15" s="207">
        <v>0</v>
      </c>
      <c r="H15" s="207">
        <v>0</v>
      </c>
      <c r="I15" s="207">
        <v>0</v>
      </c>
      <c r="J15" s="207">
        <v>0</v>
      </c>
      <c r="K15" s="207">
        <v>0</v>
      </c>
      <c r="L15" s="207">
        <v>0</v>
      </c>
      <c r="M15" s="207">
        <v>0</v>
      </c>
      <c r="N15" s="207">
        <v>0</v>
      </c>
      <c r="O15" s="207">
        <v>0</v>
      </c>
      <c r="P15" s="557">
        <v>67</v>
      </c>
    </row>
    <row r="16" spans="1:16" ht="15.5">
      <c r="B16" s="172" t="s">
        <v>41</v>
      </c>
      <c r="C16" s="207">
        <v>14580</v>
      </c>
      <c r="D16" s="207">
        <v>14982</v>
      </c>
      <c r="E16" s="207">
        <v>4565</v>
      </c>
      <c r="F16" s="207">
        <v>4724</v>
      </c>
      <c r="G16" s="207">
        <v>4252</v>
      </c>
      <c r="H16" s="207">
        <v>4744</v>
      </c>
      <c r="I16" s="207">
        <v>4767</v>
      </c>
      <c r="J16" s="207">
        <v>5434</v>
      </c>
      <c r="K16" s="207">
        <v>5453</v>
      </c>
      <c r="L16" s="207">
        <f>5864-17</f>
        <v>5847</v>
      </c>
      <c r="M16" s="207">
        <v>5235</v>
      </c>
      <c r="N16" s="207">
        <v>5249</v>
      </c>
      <c r="O16" s="207">
        <v>4468</v>
      </c>
      <c r="P16" s="557">
        <v>5694</v>
      </c>
    </row>
    <row r="17" spans="2:18" ht="15.5">
      <c r="B17" s="232" t="s">
        <v>42</v>
      </c>
      <c r="C17" s="244">
        <f t="shared" ref="C17:N17" si="1">+SUM(C13:C15)-C16</f>
        <v>106678</v>
      </c>
      <c r="D17" s="244">
        <f t="shared" si="1"/>
        <v>113907</v>
      </c>
      <c r="E17" s="244">
        <f t="shared" si="1"/>
        <v>38468</v>
      </c>
      <c r="F17" s="244">
        <f t="shared" si="1"/>
        <v>39443</v>
      </c>
      <c r="G17" s="244">
        <f t="shared" si="1"/>
        <v>39022</v>
      </c>
      <c r="H17" s="244">
        <f t="shared" si="1"/>
        <v>39586</v>
      </c>
      <c r="I17" s="244">
        <f t="shared" si="1"/>
        <v>42245</v>
      </c>
      <c r="J17" s="244">
        <f t="shared" si="1"/>
        <v>42482</v>
      </c>
      <c r="K17" s="244">
        <f t="shared" si="1"/>
        <v>41816</v>
      </c>
      <c r="L17" s="244">
        <f t="shared" si="1"/>
        <v>41788</v>
      </c>
      <c r="M17" s="244">
        <f t="shared" si="1"/>
        <v>40414</v>
      </c>
      <c r="N17" s="244">
        <f t="shared" si="1"/>
        <v>43122</v>
      </c>
      <c r="O17" s="244">
        <v>45606</v>
      </c>
      <c r="P17" s="558">
        <f>+SUM(P13:P15)-P16</f>
        <v>43895</v>
      </c>
    </row>
    <row r="18" spans="2:18" ht="15.5">
      <c r="B18" s="174" t="s">
        <v>43</v>
      </c>
      <c r="C18" s="208">
        <f t="shared" ref="C18:N18" si="2">+C11+C17</f>
        <v>106678</v>
      </c>
      <c r="D18" s="208">
        <f t="shared" si="2"/>
        <v>114058</v>
      </c>
      <c r="E18" s="208">
        <f t="shared" si="2"/>
        <v>38545</v>
      </c>
      <c r="F18" s="208">
        <f t="shared" si="2"/>
        <v>39411</v>
      </c>
      <c r="G18" s="208">
        <f t="shared" si="2"/>
        <v>39036</v>
      </c>
      <c r="H18" s="208">
        <f t="shared" si="2"/>
        <v>39243</v>
      </c>
      <c r="I18" s="208">
        <f t="shared" si="2"/>
        <v>42245</v>
      </c>
      <c r="J18" s="208">
        <f t="shared" si="2"/>
        <v>42483</v>
      </c>
      <c r="K18" s="208">
        <f t="shared" si="2"/>
        <v>41817</v>
      </c>
      <c r="L18" s="208">
        <f t="shared" si="2"/>
        <v>41788</v>
      </c>
      <c r="M18" s="208">
        <f t="shared" si="2"/>
        <v>40414</v>
      </c>
      <c r="N18" s="208">
        <f t="shared" si="2"/>
        <v>43122</v>
      </c>
      <c r="O18" s="208">
        <v>45606</v>
      </c>
      <c r="P18" s="559">
        <f>+P11+P17</f>
        <v>43895</v>
      </c>
    </row>
    <row r="19" spans="2:18" ht="15.5">
      <c r="B19" s="171"/>
      <c r="C19" s="9"/>
      <c r="D19" s="9"/>
      <c r="E19" s="9"/>
      <c r="F19" s="9"/>
      <c r="G19" s="9"/>
      <c r="H19" s="9"/>
      <c r="I19" s="9"/>
      <c r="J19" s="9"/>
      <c r="K19" s="9"/>
      <c r="L19" s="9"/>
      <c r="M19" s="9"/>
      <c r="N19" s="9"/>
      <c r="O19" s="9"/>
      <c r="P19" s="556"/>
    </row>
    <row r="20" spans="2:18" ht="15.5">
      <c r="B20" s="172" t="s">
        <v>44</v>
      </c>
      <c r="C20" s="207">
        <v>32486</v>
      </c>
      <c r="D20" s="207">
        <v>35279</v>
      </c>
      <c r="E20" s="207">
        <v>13382</v>
      </c>
      <c r="F20" s="207">
        <v>13871</v>
      </c>
      <c r="G20" s="207">
        <v>13742</v>
      </c>
      <c r="H20" s="207">
        <v>12613</v>
      </c>
      <c r="I20" s="207">
        <v>13488</v>
      </c>
      <c r="J20" s="207">
        <v>13464</v>
      </c>
      <c r="K20" s="207">
        <v>13471</v>
      </c>
      <c r="L20" s="207">
        <v>12325</v>
      </c>
      <c r="M20" s="207">
        <v>14146</v>
      </c>
      <c r="N20" s="207">
        <v>14145</v>
      </c>
      <c r="O20" s="207">
        <v>14139</v>
      </c>
      <c r="P20" s="557">
        <v>13834</v>
      </c>
    </row>
    <row r="21" spans="2:18" ht="15.5">
      <c r="B21" s="172" t="s">
        <v>45</v>
      </c>
      <c r="C21" s="207">
        <v>0</v>
      </c>
      <c r="D21" s="207">
        <v>0</v>
      </c>
      <c r="E21" s="207">
        <v>0</v>
      </c>
      <c r="F21" s="207">
        <v>0</v>
      </c>
      <c r="G21" s="207">
        <v>0</v>
      </c>
      <c r="H21" s="207">
        <v>0</v>
      </c>
      <c r="I21" s="207">
        <v>0</v>
      </c>
      <c r="J21" s="207">
        <v>0</v>
      </c>
      <c r="K21" s="207">
        <v>0</v>
      </c>
      <c r="L21" s="207">
        <v>0</v>
      </c>
      <c r="M21" s="207">
        <v>0</v>
      </c>
      <c r="N21" s="207">
        <v>0</v>
      </c>
      <c r="O21" s="207">
        <v>0</v>
      </c>
      <c r="P21" s="557">
        <v>0</v>
      </c>
    </row>
    <row r="22" spans="2:18" ht="15.5">
      <c r="B22" s="172" t="s">
        <v>46</v>
      </c>
      <c r="C22" s="207">
        <v>1</v>
      </c>
      <c r="D22" s="207">
        <v>-504</v>
      </c>
      <c r="E22" s="207">
        <v>-142</v>
      </c>
      <c r="F22" s="207">
        <v>-64</v>
      </c>
      <c r="G22" s="207">
        <v>-135</v>
      </c>
      <c r="H22" s="207">
        <v>-210</v>
      </c>
      <c r="I22" s="207">
        <v>-30</v>
      </c>
      <c r="J22" s="207">
        <v>37</v>
      </c>
      <c r="K22" s="207">
        <v>-63</v>
      </c>
      <c r="L22" s="207">
        <v>-467</v>
      </c>
      <c r="M22" s="207">
        <v>76</v>
      </c>
      <c r="N22" s="207">
        <v>156</v>
      </c>
      <c r="O22" s="207">
        <v>-232</v>
      </c>
      <c r="P22" s="557">
        <f>-56+111</f>
        <v>55</v>
      </c>
      <c r="Q22" s="103"/>
      <c r="R22" s="103"/>
    </row>
    <row r="23" spans="2:18" ht="15.5">
      <c r="B23" s="174" t="s">
        <v>47</v>
      </c>
      <c r="C23" s="208">
        <f t="shared" ref="C23:M23" si="3">+C18-C20+C21+C22</f>
        <v>74193</v>
      </c>
      <c r="D23" s="208">
        <f t="shared" si="3"/>
        <v>78275</v>
      </c>
      <c r="E23" s="208">
        <f t="shared" si="3"/>
        <v>25021</v>
      </c>
      <c r="F23" s="208">
        <f t="shared" si="3"/>
        <v>25476</v>
      </c>
      <c r="G23" s="208">
        <f t="shared" si="3"/>
        <v>25159</v>
      </c>
      <c r="H23" s="208">
        <f t="shared" si="3"/>
        <v>26420</v>
      </c>
      <c r="I23" s="208">
        <f>+I18-I20+I21+I22</f>
        <v>28727</v>
      </c>
      <c r="J23" s="208">
        <f>+J18-J20+J21+J22</f>
        <v>29056</v>
      </c>
      <c r="K23" s="208">
        <f>+K18-K20+K21+K22</f>
        <v>28283</v>
      </c>
      <c r="L23" s="208">
        <f>+L18-L20+L21+L22</f>
        <v>28996</v>
      </c>
      <c r="M23" s="208">
        <f t="shared" si="3"/>
        <v>26344</v>
      </c>
      <c r="N23" s="208">
        <f>+N18-N20+N21+N22</f>
        <v>29133</v>
      </c>
      <c r="O23" s="208">
        <v>31235</v>
      </c>
      <c r="P23" s="559">
        <f>+P18-P20+P21+P22</f>
        <v>30116</v>
      </c>
    </row>
    <row r="24" spans="2:18" ht="15.5">
      <c r="B24" s="172"/>
      <c r="C24" s="167"/>
      <c r="D24" s="167"/>
      <c r="E24" s="167"/>
      <c r="F24" s="167"/>
      <c r="G24" s="167"/>
      <c r="H24" s="167"/>
      <c r="I24" s="167"/>
      <c r="J24" s="167"/>
      <c r="K24" s="167"/>
      <c r="L24" s="167"/>
      <c r="M24" s="167"/>
      <c r="N24" s="167"/>
      <c r="O24" s="167"/>
      <c r="P24" s="167"/>
    </row>
    <row r="25" spans="2:18" ht="15.5">
      <c r="B25" s="172" t="s">
        <v>48</v>
      </c>
      <c r="C25" s="207">
        <v>-10139</v>
      </c>
      <c r="D25" s="207">
        <v>-12892</v>
      </c>
      <c r="E25" s="207">
        <v>-6610</v>
      </c>
      <c r="F25" s="207">
        <v>-7362</v>
      </c>
      <c r="G25" s="207">
        <v>-6708</v>
      </c>
      <c r="H25" s="207">
        <v>-5977</v>
      </c>
      <c r="I25" s="207">
        <v>-6213</v>
      </c>
      <c r="J25" s="207">
        <f>-13819+7</f>
        <v>-13812</v>
      </c>
      <c r="K25" s="207">
        <v>-7203</v>
      </c>
      <c r="L25" s="207">
        <f>-5794-18</f>
        <v>-5812</v>
      </c>
      <c r="M25" s="207">
        <f>-ROUND(7043.06927,0)</f>
        <v>-7043</v>
      </c>
      <c r="N25" s="207">
        <v>-8426</v>
      </c>
      <c r="O25" s="207">
        <v>-7762</v>
      </c>
      <c r="P25" s="557">
        <v>-7773</v>
      </c>
    </row>
    <row r="26" spans="2:18" ht="15.5">
      <c r="B26" s="174" t="s">
        <v>49</v>
      </c>
      <c r="C26" s="209">
        <f t="shared" ref="C26:N26" si="4">+C23+C25</f>
        <v>64054</v>
      </c>
      <c r="D26" s="209">
        <f t="shared" si="4"/>
        <v>65383</v>
      </c>
      <c r="E26" s="209">
        <f t="shared" si="4"/>
        <v>18411</v>
      </c>
      <c r="F26" s="209">
        <f t="shared" si="4"/>
        <v>18114</v>
      </c>
      <c r="G26" s="209">
        <f t="shared" si="4"/>
        <v>18451</v>
      </c>
      <c r="H26" s="209">
        <f t="shared" si="4"/>
        <v>20443</v>
      </c>
      <c r="I26" s="209">
        <f t="shared" si="4"/>
        <v>22514</v>
      </c>
      <c r="J26" s="209">
        <f t="shared" si="4"/>
        <v>15244</v>
      </c>
      <c r="K26" s="209">
        <f t="shared" si="4"/>
        <v>21080</v>
      </c>
      <c r="L26" s="209">
        <f t="shared" si="4"/>
        <v>23184</v>
      </c>
      <c r="M26" s="209">
        <f t="shared" si="4"/>
        <v>19301</v>
      </c>
      <c r="N26" s="209">
        <f t="shared" si="4"/>
        <v>20707</v>
      </c>
      <c r="O26" s="209">
        <v>23473</v>
      </c>
      <c r="P26" s="560">
        <f>+P23+P25</f>
        <v>22343</v>
      </c>
    </row>
    <row r="27" spans="2:18" ht="15.5">
      <c r="B27" s="171"/>
      <c r="C27" s="9"/>
      <c r="D27" s="9"/>
      <c r="E27" s="9"/>
      <c r="F27" s="9"/>
      <c r="G27" s="9"/>
      <c r="H27" s="9"/>
      <c r="I27" s="9"/>
      <c r="J27" s="9"/>
      <c r="K27" s="9"/>
      <c r="L27" s="9"/>
      <c r="M27" s="9"/>
      <c r="N27" s="9"/>
      <c r="O27" s="9"/>
      <c r="P27" s="556"/>
    </row>
    <row r="28" spans="2:18" ht="15.5">
      <c r="B28" s="172" t="s">
        <v>50</v>
      </c>
      <c r="C28" s="207">
        <v>21027</v>
      </c>
      <c r="D28" s="207">
        <v>20810</v>
      </c>
      <c r="E28" s="207">
        <v>5794</v>
      </c>
      <c r="F28" s="207">
        <v>5691</v>
      </c>
      <c r="G28" s="207">
        <v>5679</v>
      </c>
      <c r="H28" s="207">
        <v>6558</v>
      </c>
      <c r="I28" s="207">
        <v>6894</v>
      </c>
      <c r="J28" s="207">
        <v>4476</v>
      </c>
      <c r="K28" s="207">
        <v>6566</v>
      </c>
      <c r="L28" s="207">
        <v>6727</v>
      </c>
      <c r="M28" s="207">
        <v>5790</v>
      </c>
      <c r="N28" s="207">
        <v>6200</v>
      </c>
      <c r="O28" s="207">
        <v>6955</v>
      </c>
      <c r="P28" s="557">
        <v>6895</v>
      </c>
    </row>
    <row r="29" spans="2:18" ht="15.5">
      <c r="B29" s="174" t="s">
        <v>53</v>
      </c>
      <c r="C29" s="209">
        <f t="shared" ref="C29:N29" si="5">+C26-C28</f>
        <v>43027</v>
      </c>
      <c r="D29" s="209">
        <f t="shared" si="5"/>
        <v>44573</v>
      </c>
      <c r="E29" s="209">
        <f t="shared" si="5"/>
        <v>12617</v>
      </c>
      <c r="F29" s="209">
        <f t="shared" si="5"/>
        <v>12423</v>
      </c>
      <c r="G29" s="209">
        <f t="shared" si="5"/>
        <v>12772</v>
      </c>
      <c r="H29" s="209">
        <f t="shared" si="5"/>
        <v>13885</v>
      </c>
      <c r="I29" s="209">
        <f t="shared" si="5"/>
        <v>15620</v>
      </c>
      <c r="J29" s="209">
        <f t="shared" si="5"/>
        <v>10768</v>
      </c>
      <c r="K29" s="209">
        <f t="shared" si="5"/>
        <v>14514</v>
      </c>
      <c r="L29" s="209">
        <f t="shared" si="5"/>
        <v>16457</v>
      </c>
      <c r="M29" s="209">
        <f t="shared" si="5"/>
        <v>13511</v>
      </c>
      <c r="N29" s="209">
        <f t="shared" si="5"/>
        <v>14507</v>
      </c>
      <c r="O29" s="209">
        <v>16518</v>
      </c>
      <c r="P29" s="560">
        <f>+P26-P28</f>
        <v>15448</v>
      </c>
    </row>
    <row r="30" spans="2:18" ht="15.5">
      <c r="B30" s="232"/>
      <c r="C30" s="244"/>
      <c r="D30" s="244"/>
      <c r="E30" s="244"/>
      <c r="F30" s="244"/>
      <c r="G30" s="244"/>
      <c r="H30" s="244"/>
      <c r="I30" s="244"/>
      <c r="J30" s="244"/>
      <c r="K30" s="244"/>
      <c r="L30" s="244"/>
      <c r="M30" s="244"/>
      <c r="N30" s="244"/>
      <c r="O30" s="244"/>
      <c r="P30" s="558"/>
    </row>
    <row r="31" spans="2:18" ht="15.5">
      <c r="B31" s="232"/>
      <c r="C31" s="244"/>
      <c r="D31" s="244"/>
      <c r="E31" s="244"/>
      <c r="F31" s="244"/>
      <c r="G31" s="244"/>
      <c r="H31" s="244"/>
      <c r="I31" s="244"/>
      <c r="J31" s="244"/>
      <c r="K31" s="244"/>
      <c r="L31" s="244"/>
      <c r="M31" s="244"/>
      <c r="N31" s="244"/>
      <c r="O31" s="244"/>
      <c r="P31" s="558"/>
    </row>
    <row r="32" spans="2:18" ht="15.5">
      <c r="B32" s="233"/>
      <c r="C32" s="233"/>
      <c r="D32" s="233"/>
      <c r="E32" s="233"/>
      <c r="F32" s="233"/>
      <c r="G32" s="233"/>
      <c r="H32" s="233"/>
      <c r="I32" s="233"/>
      <c r="J32" s="233"/>
      <c r="K32" s="233"/>
      <c r="L32" s="233"/>
      <c r="M32" s="233"/>
      <c r="N32" s="233"/>
      <c r="O32" s="233"/>
      <c r="P32" s="561"/>
    </row>
    <row r="33" spans="1:16" ht="15.5">
      <c r="A33" s="119" t="s">
        <v>105</v>
      </c>
      <c r="B33" s="12" t="s">
        <v>316</v>
      </c>
      <c r="C33" s="33"/>
      <c r="D33" s="33"/>
      <c r="E33" s="34"/>
      <c r="F33" s="33"/>
      <c r="G33" s="33"/>
      <c r="H33" s="33"/>
      <c r="I33" s="34"/>
      <c r="J33" s="33"/>
      <c r="K33" s="33"/>
      <c r="L33" s="33"/>
      <c r="M33" s="34"/>
      <c r="N33" s="33"/>
      <c r="O33" s="33"/>
      <c r="P33" s="562"/>
    </row>
    <row r="34" spans="1:16" ht="15.5">
      <c r="B34" s="14" t="s">
        <v>314</v>
      </c>
      <c r="C34" s="233"/>
      <c r="D34" s="233"/>
      <c r="E34" s="233"/>
      <c r="F34" s="233"/>
      <c r="G34" s="233"/>
      <c r="H34" s="233"/>
      <c r="I34" s="233"/>
      <c r="J34" s="233"/>
      <c r="K34" s="233"/>
      <c r="L34" s="233"/>
      <c r="M34" s="233"/>
      <c r="N34" s="233"/>
      <c r="O34" s="233"/>
      <c r="P34" s="561"/>
    </row>
    <row r="35" spans="1:16" ht="15.5">
      <c r="B35" s="14"/>
      <c r="C35" s="233"/>
      <c r="D35" s="233"/>
      <c r="E35" s="233"/>
      <c r="F35" s="233"/>
      <c r="G35" s="233"/>
      <c r="H35" s="233"/>
      <c r="I35" s="233"/>
      <c r="J35" s="233"/>
      <c r="K35" s="233"/>
      <c r="L35" s="233"/>
      <c r="M35" s="233"/>
      <c r="N35" s="233"/>
      <c r="O35" s="233"/>
      <c r="P35" s="561"/>
    </row>
    <row r="36" spans="1:16" ht="15.5" thickBot="1">
      <c r="B36" s="553"/>
      <c r="C36" s="554"/>
      <c r="D36" s="554"/>
      <c r="E36" s="554"/>
      <c r="F36" s="554"/>
      <c r="G36" s="554"/>
      <c r="H36" s="554"/>
      <c r="I36" s="554"/>
      <c r="J36" s="554"/>
      <c r="K36" s="554"/>
      <c r="L36" s="554"/>
      <c r="M36" s="554"/>
      <c r="N36" s="554"/>
      <c r="O36" s="554"/>
      <c r="P36" s="555"/>
    </row>
    <row r="37" spans="1:16" ht="15.5" thickBot="1">
      <c r="B37" s="214" t="s">
        <v>56</v>
      </c>
      <c r="C37" s="215"/>
      <c r="D37" s="215"/>
      <c r="E37" s="215"/>
      <c r="F37" s="215"/>
      <c r="G37" s="215"/>
      <c r="H37" s="215"/>
      <c r="I37" s="215"/>
      <c r="J37" s="215"/>
      <c r="K37" s="215"/>
      <c r="L37" s="215"/>
      <c r="M37" s="215"/>
      <c r="N37" s="215"/>
      <c r="O37" s="215"/>
      <c r="P37" s="563"/>
    </row>
    <row r="38" spans="1:16" ht="15.5" thickBot="1">
      <c r="B38" s="216" t="s">
        <v>57</v>
      </c>
      <c r="C38" s="217"/>
      <c r="D38" s="217"/>
      <c r="E38" s="217"/>
      <c r="F38" s="217"/>
      <c r="G38" s="217"/>
      <c r="H38" s="217"/>
      <c r="I38" s="217"/>
      <c r="J38" s="217"/>
      <c r="K38" s="217"/>
      <c r="L38" s="217"/>
      <c r="M38" s="217"/>
      <c r="N38" s="245"/>
      <c r="O38" s="245"/>
      <c r="P38" s="564"/>
    </row>
    <row r="39" spans="1:16" ht="15.5">
      <c r="B39" s="172" t="s">
        <v>58</v>
      </c>
      <c r="C39" s="207">
        <v>3100.344599999974</v>
      </c>
      <c r="D39" s="207">
        <v>22845.066629999998</v>
      </c>
      <c r="E39" s="207">
        <v>70681.831069999986</v>
      </c>
      <c r="F39" s="207">
        <v>9464.051300000001</v>
      </c>
      <c r="G39" s="207">
        <v>17494.000309999999</v>
      </c>
      <c r="H39" s="207">
        <v>24390.453149999998</v>
      </c>
      <c r="I39" s="207">
        <v>26200.126370000002</v>
      </c>
      <c r="J39" s="207">
        <v>48222.839619999999</v>
      </c>
      <c r="K39" s="207">
        <v>56073.660929999998</v>
      </c>
      <c r="L39" s="207">
        <v>34742.533000000003</v>
      </c>
      <c r="M39" s="207">
        <v>60515.888200000001</v>
      </c>
      <c r="N39" s="207">
        <v>77607.050920000009</v>
      </c>
      <c r="O39" s="207">
        <v>190640</v>
      </c>
      <c r="P39" s="557">
        <v>69361</v>
      </c>
    </row>
    <row r="40" spans="1:16" ht="15.5">
      <c r="B40" s="172" t="s">
        <v>317</v>
      </c>
      <c r="C40" s="207">
        <v>12810.560829999999</v>
      </c>
      <c r="D40" s="207">
        <v>17902.028999999999</v>
      </c>
      <c r="E40" s="207">
        <v>18674.970209999999</v>
      </c>
      <c r="F40" s="207">
        <v>19132.43346</v>
      </c>
      <c r="G40" s="207">
        <v>19834.966769999999</v>
      </c>
      <c r="H40" s="207">
        <v>22121.309000000001</v>
      </c>
      <c r="I40" s="207">
        <v>21651.036929999998</v>
      </c>
      <c r="J40" s="207">
        <v>21802.442440000003</v>
      </c>
      <c r="K40" s="207">
        <v>21421.465769999999</v>
      </c>
      <c r="L40" s="207">
        <v>22929.362000000001</v>
      </c>
      <c r="M40" s="207">
        <v>22076.112920000003</v>
      </c>
      <c r="N40" s="207">
        <v>23792.642019999999</v>
      </c>
      <c r="O40" s="207">
        <v>25650</v>
      </c>
      <c r="P40" s="557">
        <v>27395</v>
      </c>
    </row>
    <row r="41" spans="1:16" ht="15.5">
      <c r="B41" s="172" t="s">
        <v>318</v>
      </c>
      <c r="C41" s="207">
        <v>49989.800999999999</v>
      </c>
      <c r="D41" s="207">
        <v>17941.57</v>
      </c>
      <c r="E41" s="207">
        <v>16585.751039999999</v>
      </c>
      <c r="F41" s="207">
        <v>23471.900320000001</v>
      </c>
      <c r="G41" s="207">
        <v>23591.421739999998</v>
      </c>
      <c r="H41" s="207">
        <v>15075.039000000001</v>
      </c>
      <c r="I41" s="207">
        <v>19694.16762</v>
      </c>
      <c r="J41" s="207">
        <v>25493.541989999998</v>
      </c>
      <c r="K41" s="207">
        <v>29403.13377</v>
      </c>
      <c r="L41" s="207">
        <v>22255.904999999999</v>
      </c>
      <c r="M41" s="207">
        <v>29651.705600000001</v>
      </c>
      <c r="N41" s="207">
        <v>28825.336380000001</v>
      </c>
      <c r="O41" s="207">
        <v>12884</v>
      </c>
      <c r="P41" s="557">
        <v>19514</v>
      </c>
    </row>
    <row r="42" spans="1:16" ht="15.5">
      <c r="B42" s="172" t="s">
        <v>319</v>
      </c>
      <c r="C42" s="207">
        <v>5982.3008300000001</v>
      </c>
      <c r="D42" s="207">
        <v>3611.2267599999996</v>
      </c>
      <c r="E42" s="207">
        <v>4010.4315799999999</v>
      </c>
      <c r="F42" s="207">
        <v>4291.6916799999999</v>
      </c>
      <c r="G42" s="207">
        <v>4152.8440000000001</v>
      </c>
      <c r="H42" s="207">
        <v>5643.4131900000002</v>
      </c>
      <c r="I42" s="207">
        <v>5656.2311900000004</v>
      </c>
      <c r="J42" s="207">
        <v>5944.5310300000001</v>
      </c>
      <c r="K42" s="207">
        <v>5872.55357</v>
      </c>
      <c r="L42" s="207">
        <v>5777.8597499999996</v>
      </c>
      <c r="M42" s="207">
        <v>5696.3175700000002</v>
      </c>
      <c r="N42" s="207">
        <v>5735.0665799999997</v>
      </c>
      <c r="O42" s="207">
        <v>5988</v>
      </c>
      <c r="P42" s="557">
        <v>6263</v>
      </c>
    </row>
    <row r="43" spans="1:16" ht="15.5">
      <c r="B43" s="172" t="s">
        <v>320</v>
      </c>
      <c r="C43" s="207">
        <v>640.41286000000002</v>
      </c>
      <c r="D43" s="207">
        <v>884.24045999999998</v>
      </c>
      <c r="E43" s="207">
        <v>508.52312999999998</v>
      </c>
      <c r="F43" s="207">
        <v>100.48341000000001</v>
      </c>
      <c r="G43" s="207">
        <v>2835.7186000000002</v>
      </c>
      <c r="H43" s="207">
        <v>2309.1588999999999</v>
      </c>
      <c r="I43" s="207">
        <v>1847.0334399999999</v>
      </c>
      <c r="J43" s="207">
        <v>1382.75173</v>
      </c>
      <c r="K43" s="207">
        <v>1438.3046899999999</v>
      </c>
      <c r="L43" s="207">
        <v>1110.6847499999999</v>
      </c>
      <c r="M43" s="207">
        <v>3141.8599700000004</v>
      </c>
      <c r="N43" s="207">
        <v>2286.6473900000001</v>
      </c>
      <c r="O43" s="207">
        <v>3247</v>
      </c>
      <c r="P43" s="557">
        <v>2535</v>
      </c>
    </row>
    <row r="44" spans="1:16" ht="15.5">
      <c r="B44" s="172" t="s">
        <v>123</v>
      </c>
      <c r="C44" s="207">
        <v>0</v>
      </c>
      <c r="D44" s="207">
        <v>0</v>
      </c>
      <c r="E44" s="207">
        <v>0</v>
      </c>
      <c r="F44" s="207">
        <v>0</v>
      </c>
      <c r="G44" s="207">
        <v>0</v>
      </c>
      <c r="H44" s="207">
        <v>0</v>
      </c>
      <c r="I44" s="207">
        <v>0</v>
      </c>
      <c r="J44" s="207">
        <v>0</v>
      </c>
      <c r="K44" s="207">
        <v>0</v>
      </c>
      <c r="L44" s="207">
        <v>16800</v>
      </c>
      <c r="M44" s="207">
        <v>0</v>
      </c>
      <c r="N44" s="207">
        <v>0</v>
      </c>
      <c r="O44" s="207">
        <v>0</v>
      </c>
      <c r="P44" s="557">
        <v>87162</v>
      </c>
    </row>
    <row r="45" spans="1:16" ht="15.5">
      <c r="B45" s="172" t="s">
        <v>321</v>
      </c>
      <c r="C45" s="207">
        <v>1199.6198100000001</v>
      </c>
      <c r="D45" s="207">
        <v>228.60698000000002</v>
      </c>
      <c r="E45" s="207">
        <v>14306.933789999999</v>
      </c>
      <c r="F45" s="207">
        <v>16859.066079999997</v>
      </c>
      <c r="G45" s="207">
        <v>21160.5255</v>
      </c>
      <c r="H45" s="207">
        <v>25120.717840000001</v>
      </c>
      <c r="I45" s="207">
        <v>25053.772639999999</v>
      </c>
      <c r="J45" s="207">
        <v>25293.328850000002</v>
      </c>
      <c r="K45" s="207">
        <v>28194.066269999999</v>
      </c>
      <c r="L45" s="207">
        <v>26294.862000000001</v>
      </c>
      <c r="M45" s="207">
        <v>20390.904190000001</v>
      </c>
      <c r="N45" s="207">
        <v>18834.96312</v>
      </c>
      <c r="O45" s="207">
        <v>23028</v>
      </c>
      <c r="P45" s="557">
        <v>43538</v>
      </c>
    </row>
    <row r="46" spans="1:16" ht="15.5">
      <c r="B46" s="172" t="s">
        <v>979</v>
      </c>
      <c r="C46" s="207">
        <v>0</v>
      </c>
      <c r="D46" s="207">
        <v>0</v>
      </c>
      <c r="E46" s="207">
        <v>0</v>
      </c>
      <c r="F46" s="207">
        <v>0</v>
      </c>
      <c r="G46" s="207">
        <v>0</v>
      </c>
      <c r="H46" s="207">
        <v>0</v>
      </c>
      <c r="I46" s="207">
        <v>0</v>
      </c>
      <c r="J46" s="207">
        <v>0</v>
      </c>
      <c r="K46" s="207">
        <v>0</v>
      </c>
      <c r="L46" s="207">
        <v>0</v>
      </c>
      <c r="M46" s="207">
        <v>0</v>
      </c>
      <c r="N46" s="207">
        <v>0</v>
      </c>
      <c r="O46" s="207">
        <v>0</v>
      </c>
      <c r="P46" s="557">
        <v>2104</v>
      </c>
    </row>
    <row r="47" spans="1:16" ht="16" thickBot="1">
      <c r="B47" s="172" t="s">
        <v>980</v>
      </c>
      <c r="C47" s="207">
        <v>0</v>
      </c>
      <c r="D47" s="207">
        <v>0</v>
      </c>
      <c r="E47" s="207">
        <v>0</v>
      </c>
      <c r="F47" s="207">
        <v>0</v>
      </c>
      <c r="G47" s="207">
        <v>0</v>
      </c>
      <c r="H47" s="207">
        <v>0</v>
      </c>
      <c r="I47" s="207">
        <v>0</v>
      </c>
      <c r="J47" s="207">
        <v>0</v>
      </c>
      <c r="K47" s="207">
        <v>0</v>
      </c>
      <c r="L47" s="207">
        <v>0</v>
      </c>
      <c r="M47" s="207">
        <v>0</v>
      </c>
      <c r="N47" s="207">
        <v>0</v>
      </c>
      <c r="O47" s="207">
        <v>0</v>
      </c>
      <c r="P47" s="557">
        <v>8719</v>
      </c>
    </row>
    <row r="48" spans="1:16" ht="15.5" thickBot="1">
      <c r="B48" s="219" t="s">
        <v>64</v>
      </c>
      <c r="C48" s="220">
        <v>73723.039929999984</v>
      </c>
      <c r="D48" s="220">
        <v>63412.739829999991</v>
      </c>
      <c r="E48" s="220">
        <v>124768.44081999999</v>
      </c>
      <c r="F48" s="220">
        <v>73319.626250000001</v>
      </c>
      <c r="G48" s="220">
        <v>89069.476920000001</v>
      </c>
      <c r="H48" s="220">
        <v>94660.091079999998</v>
      </c>
      <c r="I48" s="220">
        <v>100102.36819000001</v>
      </c>
      <c r="J48" s="220">
        <v>128139.43566</v>
      </c>
      <c r="K48" s="220">
        <v>142403.185</v>
      </c>
      <c r="L48" s="220">
        <v>129911.2065</v>
      </c>
      <c r="M48" s="220">
        <v>141472.78844999999</v>
      </c>
      <c r="N48" s="246">
        <v>157081.70641000001</v>
      </c>
      <c r="O48" s="246">
        <v>261437</v>
      </c>
      <c r="P48" s="565">
        <f>SUM(P39:P47)</f>
        <v>266591</v>
      </c>
    </row>
    <row r="49" spans="2:16" ht="15.5" thickBot="1">
      <c r="B49" s="216" t="s">
        <v>65</v>
      </c>
      <c r="C49" s="217"/>
      <c r="D49" s="217"/>
      <c r="E49" s="217"/>
      <c r="F49" s="217"/>
      <c r="G49" s="217"/>
      <c r="H49" s="217"/>
      <c r="I49" s="217"/>
      <c r="J49" s="217"/>
      <c r="K49" s="217"/>
      <c r="L49" s="217"/>
      <c r="M49" s="217"/>
      <c r="N49" s="245"/>
      <c r="O49" s="245"/>
      <c r="P49" s="564"/>
    </row>
    <row r="50" spans="2:16" ht="15.5">
      <c r="B50" s="172" t="s">
        <v>317</v>
      </c>
      <c r="C50" s="207">
        <v>26053.380960000002</v>
      </c>
      <c r="D50" s="207">
        <v>25684.456999999999</v>
      </c>
      <c r="E50" s="207">
        <v>25924.948499999999</v>
      </c>
      <c r="F50" s="207">
        <v>26158.257160000001</v>
      </c>
      <c r="G50" s="207">
        <v>25897.892800000001</v>
      </c>
      <c r="H50" s="207">
        <v>25359.716</v>
      </c>
      <c r="I50" s="207">
        <v>25531.869409999999</v>
      </c>
      <c r="J50" s="207">
        <v>25760.963500000002</v>
      </c>
      <c r="K50" s="207">
        <v>25469.4611</v>
      </c>
      <c r="L50" s="207">
        <v>24672.55</v>
      </c>
      <c r="M50" s="207">
        <v>24818.98717</v>
      </c>
      <c r="N50" s="207">
        <v>24840.810519999999</v>
      </c>
      <c r="O50" s="207">
        <v>24498</v>
      </c>
      <c r="P50" s="557">
        <v>23676</v>
      </c>
    </row>
    <row r="51" spans="2:16" ht="15.5">
      <c r="B51" s="172" t="s">
        <v>318</v>
      </c>
      <c r="C51" s="207">
        <v>69146.199519999995</v>
      </c>
      <c r="D51" s="207">
        <v>73285.566999999995</v>
      </c>
      <c r="E51" s="207">
        <v>72258.835459999988</v>
      </c>
      <c r="F51" s="207">
        <v>69444.461089999997</v>
      </c>
      <c r="G51" s="207">
        <v>69033.159480000002</v>
      </c>
      <c r="H51" s="207">
        <v>71863.791089999999</v>
      </c>
      <c r="I51" s="207">
        <v>71883.734169999996</v>
      </c>
      <c r="J51" s="207">
        <v>72511.895310000007</v>
      </c>
      <c r="K51" s="207">
        <v>84611.131859999994</v>
      </c>
      <c r="L51" s="207">
        <v>102298.921</v>
      </c>
      <c r="M51" s="207">
        <v>112089.21623999999</v>
      </c>
      <c r="N51" s="207">
        <v>114768.61337000001</v>
      </c>
      <c r="O51" s="207">
        <v>120646</v>
      </c>
      <c r="P51" s="557">
        <v>127788</v>
      </c>
    </row>
    <row r="52" spans="2:16" ht="15.5">
      <c r="B52" s="172" t="s">
        <v>322</v>
      </c>
      <c r="C52" s="207">
        <v>17215.072319999999</v>
      </c>
      <c r="D52" s="207">
        <v>0</v>
      </c>
      <c r="E52" s="207">
        <v>0</v>
      </c>
      <c r="F52" s="207">
        <v>0</v>
      </c>
      <c r="G52" s="207">
        <v>0</v>
      </c>
      <c r="H52" s="207">
        <v>0</v>
      </c>
      <c r="I52" s="207">
        <v>0</v>
      </c>
      <c r="J52" s="207">
        <v>0</v>
      </c>
      <c r="K52" s="207">
        <v>0</v>
      </c>
      <c r="L52" s="207">
        <v>0</v>
      </c>
      <c r="M52" s="207">
        <v>0</v>
      </c>
      <c r="N52" s="207">
        <v>0</v>
      </c>
      <c r="O52" s="207">
        <v>0</v>
      </c>
      <c r="P52" s="557">
        <v>0</v>
      </c>
    </row>
    <row r="53" spans="2:16" ht="15.5">
      <c r="B53" s="172" t="s">
        <v>71</v>
      </c>
      <c r="C53" s="207">
        <v>2521.1970600000127</v>
      </c>
      <c r="D53" s="207">
        <v>2422.7654400000001</v>
      </c>
      <c r="E53" s="207">
        <v>2369.9827600000003</v>
      </c>
      <c r="F53" s="207">
        <v>2320.1573399999997</v>
      </c>
      <c r="G53" s="207">
        <v>2271.21227</v>
      </c>
      <c r="H53" s="207">
        <v>2325.6148800000005</v>
      </c>
      <c r="I53" s="207">
        <v>2347.1055999999999</v>
      </c>
      <c r="J53" s="207">
        <v>2334.5615100000005</v>
      </c>
      <c r="K53" s="207">
        <v>2338.6625500000005</v>
      </c>
      <c r="L53" s="207">
        <v>2652.39966</v>
      </c>
      <c r="M53" s="207">
        <v>2640.6403300000002</v>
      </c>
      <c r="N53" s="207">
        <v>2631.74235</v>
      </c>
      <c r="O53" s="207">
        <v>2702</v>
      </c>
      <c r="P53" s="557">
        <v>3277</v>
      </c>
    </row>
    <row r="54" spans="2:16" ht="15.5">
      <c r="B54" s="172" t="s">
        <v>74</v>
      </c>
      <c r="C54" s="207">
        <v>1131079.0943799999</v>
      </c>
      <c r="D54" s="207">
        <v>1267725.21312</v>
      </c>
      <c r="E54" s="207">
        <v>1277493.3783900002</v>
      </c>
      <c r="F54" s="207">
        <v>1281165.17221</v>
      </c>
      <c r="G54" s="207">
        <v>1281265.0287299999</v>
      </c>
      <c r="H54" s="207">
        <v>1280264.2017999999</v>
      </c>
      <c r="I54" s="207">
        <v>1273214.0362499999</v>
      </c>
      <c r="J54" s="207">
        <v>1264249.69933</v>
      </c>
      <c r="K54" s="207">
        <v>1259752.0421800001</v>
      </c>
      <c r="L54" s="207">
        <v>1276788.8507100001</v>
      </c>
      <c r="M54" s="207">
        <v>1289187.7552100001</v>
      </c>
      <c r="N54" s="207">
        <v>1307571.6147</v>
      </c>
      <c r="O54" s="207">
        <v>1350529</v>
      </c>
      <c r="P54" s="557">
        <v>1386473</v>
      </c>
    </row>
    <row r="55" spans="2:16" ht="15.5">
      <c r="B55" s="172" t="s">
        <v>62</v>
      </c>
      <c r="C55" s="207">
        <v>0</v>
      </c>
      <c r="D55" s="207">
        <v>0</v>
      </c>
      <c r="E55" s="207">
        <v>0</v>
      </c>
      <c r="F55" s="207">
        <v>0</v>
      </c>
      <c r="G55" s="207">
        <v>0</v>
      </c>
      <c r="H55" s="207">
        <v>0</v>
      </c>
      <c r="I55" s="207">
        <v>0</v>
      </c>
      <c r="J55" s="207">
        <v>0</v>
      </c>
      <c r="K55" s="207">
        <v>0</v>
      </c>
      <c r="L55" s="207">
        <v>0</v>
      </c>
      <c r="M55" s="207">
        <v>0</v>
      </c>
      <c r="N55" s="207">
        <v>0</v>
      </c>
      <c r="O55" s="207">
        <v>10002</v>
      </c>
      <c r="P55" s="557">
        <v>0</v>
      </c>
    </row>
    <row r="56" spans="2:16" ht="15.5">
      <c r="B56" s="172" t="s">
        <v>75</v>
      </c>
      <c r="C56" s="207">
        <v>0</v>
      </c>
      <c r="D56" s="207">
        <v>0</v>
      </c>
      <c r="E56" s="207">
        <v>0</v>
      </c>
      <c r="F56" s="207">
        <v>0</v>
      </c>
      <c r="G56" s="207">
        <v>0</v>
      </c>
      <c r="H56" s="207">
        <v>0</v>
      </c>
      <c r="I56" s="207">
        <v>0</v>
      </c>
      <c r="J56" s="207">
        <v>0</v>
      </c>
      <c r="K56" s="207">
        <v>0</v>
      </c>
      <c r="L56" s="207">
        <v>0</v>
      </c>
      <c r="M56" s="207">
        <v>0</v>
      </c>
      <c r="N56" s="207">
        <v>0</v>
      </c>
      <c r="O56" s="207">
        <v>0</v>
      </c>
      <c r="P56" s="557">
        <v>0</v>
      </c>
    </row>
    <row r="57" spans="2:16" ht="15.5">
      <c r="B57" s="172" t="s">
        <v>76</v>
      </c>
      <c r="C57" s="207">
        <v>0</v>
      </c>
      <c r="D57" s="207">
        <v>0</v>
      </c>
      <c r="E57" s="207">
        <v>0</v>
      </c>
      <c r="F57" s="207">
        <v>0</v>
      </c>
      <c r="G57" s="207">
        <v>0</v>
      </c>
      <c r="H57" s="207">
        <v>0</v>
      </c>
      <c r="I57" s="207">
        <v>0</v>
      </c>
      <c r="J57" s="207">
        <v>0</v>
      </c>
      <c r="K57" s="207">
        <v>0</v>
      </c>
      <c r="L57" s="207">
        <v>0</v>
      </c>
      <c r="M57" s="207">
        <v>0</v>
      </c>
      <c r="N57" s="207">
        <v>0</v>
      </c>
      <c r="O57" s="207">
        <v>0</v>
      </c>
      <c r="P57" s="557">
        <v>0</v>
      </c>
    </row>
    <row r="58" spans="2:16" ht="15.5">
      <c r="B58" s="172" t="s">
        <v>63</v>
      </c>
      <c r="C58" s="207">
        <v>0</v>
      </c>
      <c r="D58" s="207">
        <v>0</v>
      </c>
      <c r="E58" s="207">
        <v>0</v>
      </c>
      <c r="F58" s="207">
        <v>0</v>
      </c>
      <c r="G58" s="207">
        <v>0</v>
      </c>
      <c r="H58" s="207">
        <v>0</v>
      </c>
      <c r="I58" s="207">
        <v>0</v>
      </c>
      <c r="J58" s="207">
        <v>0</v>
      </c>
      <c r="K58" s="207">
        <v>0</v>
      </c>
      <c r="L58" s="207">
        <v>0</v>
      </c>
      <c r="M58" s="207">
        <v>0</v>
      </c>
      <c r="N58" s="207">
        <v>0</v>
      </c>
      <c r="O58" s="207">
        <v>0</v>
      </c>
      <c r="P58" s="557">
        <v>0</v>
      </c>
    </row>
    <row r="59" spans="2:16" ht="15.5" thickBot="1">
      <c r="B59" s="216" t="s">
        <v>78</v>
      </c>
      <c r="C59" s="221">
        <v>1246014.9442399999</v>
      </c>
      <c r="D59" s="221">
        <v>1369118.0025599999</v>
      </c>
      <c r="E59" s="221">
        <v>1378047.1451100002</v>
      </c>
      <c r="F59" s="221">
        <v>1379088.0478000001</v>
      </c>
      <c r="G59" s="221">
        <v>1378467.2932799999</v>
      </c>
      <c r="H59" s="221">
        <v>1379813.3237699999</v>
      </c>
      <c r="I59" s="221">
        <v>1372976.7454299999</v>
      </c>
      <c r="J59" s="221">
        <v>1364857.11965</v>
      </c>
      <c r="K59" s="221">
        <v>1372171.2976900002</v>
      </c>
      <c r="L59" s="221">
        <v>1406412.7213700002</v>
      </c>
      <c r="M59" s="221">
        <v>1428736.59895</v>
      </c>
      <c r="N59" s="247">
        <v>1449812.78094</v>
      </c>
      <c r="O59" s="247">
        <v>1508377</v>
      </c>
      <c r="P59" s="566">
        <f>SUM(P50:P58)</f>
        <v>1541214</v>
      </c>
    </row>
    <row r="60" spans="2:16" ht="15.5" thickBot="1">
      <c r="B60" s="222" t="s">
        <v>79</v>
      </c>
      <c r="C60" s="223">
        <v>1319737.9841699998</v>
      </c>
      <c r="D60" s="223">
        <v>1432530.74239</v>
      </c>
      <c r="E60" s="223">
        <v>1502815.5859300001</v>
      </c>
      <c r="F60" s="223">
        <v>1452407.67405</v>
      </c>
      <c r="G60" s="223">
        <v>1467536.7701999999</v>
      </c>
      <c r="H60" s="223">
        <v>1474473.4148499998</v>
      </c>
      <c r="I60" s="223">
        <v>1473079.11362</v>
      </c>
      <c r="J60" s="223">
        <v>1492996.55531</v>
      </c>
      <c r="K60" s="223">
        <v>1514574.4826900002</v>
      </c>
      <c r="L60" s="223">
        <v>1536323.9278700002</v>
      </c>
      <c r="M60" s="223">
        <v>1570209.3873999999</v>
      </c>
      <c r="N60" s="248">
        <v>1606894.4873500001</v>
      </c>
      <c r="O60" s="248">
        <v>1769814</v>
      </c>
      <c r="P60" s="567">
        <f>P48+P59</f>
        <v>1807805</v>
      </c>
    </row>
    <row r="61" spans="2:16" ht="15.5" thickBot="1">
      <c r="B61" s="224"/>
      <c r="C61" s="225"/>
      <c r="D61" s="225"/>
      <c r="E61" s="225"/>
      <c r="F61" s="225"/>
      <c r="G61" s="225"/>
      <c r="H61" s="225"/>
      <c r="I61" s="225"/>
      <c r="J61" s="225"/>
      <c r="K61" s="225"/>
      <c r="L61" s="225"/>
      <c r="M61" s="225"/>
      <c r="N61" s="249"/>
      <c r="O61" s="249"/>
      <c r="P61" s="568"/>
    </row>
    <row r="62" spans="2:16" ht="15.5" thickBot="1">
      <c r="B62" s="214" t="s">
        <v>80</v>
      </c>
      <c r="C62" s="226"/>
      <c r="D62" s="226"/>
      <c r="E62" s="226"/>
      <c r="F62" s="226"/>
      <c r="G62" s="226"/>
      <c r="H62" s="226"/>
      <c r="I62" s="226"/>
      <c r="J62" s="226"/>
      <c r="K62" s="226"/>
      <c r="L62" s="226"/>
      <c r="M62" s="226"/>
      <c r="N62" s="250"/>
      <c r="O62" s="250"/>
      <c r="P62" s="569"/>
    </row>
    <row r="63" spans="2:16" ht="15.5" thickBot="1">
      <c r="B63" s="216" t="s">
        <v>81</v>
      </c>
      <c r="C63" s="227"/>
      <c r="D63" s="227"/>
      <c r="E63" s="227"/>
      <c r="F63" s="227"/>
      <c r="G63" s="227"/>
      <c r="H63" s="227"/>
      <c r="I63" s="227"/>
      <c r="J63" s="227"/>
      <c r="K63" s="227"/>
      <c r="L63" s="227"/>
      <c r="M63" s="227"/>
      <c r="N63" s="251"/>
      <c r="O63" s="251"/>
      <c r="P63" s="570"/>
    </row>
    <row r="64" spans="2:16" ht="15.5">
      <c r="B64" s="172" t="s">
        <v>323</v>
      </c>
      <c r="C64" s="207">
        <v>4495.8558599999997</v>
      </c>
      <c r="D64" s="207">
        <v>8379.9310999999998</v>
      </c>
      <c r="E64" s="207">
        <v>3949.8318599999998</v>
      </c>
      <c r="F64" s="207">
        <v>1945.8644099999999</v>
      </c>
      <c r="G64" s="207">
        <v>2817.27684</v>
      </c>
      <c r="H64" s="207">
        <v>5854.0709999999999</v>
      </c>
      <c r="I64" s="207">
        <v>4322.3543099999997</v>
      </c>
      <c r="J64" s="207">
        <v>1260.0704599999999</v>
      </c>
      <c r="K64" s="207">
        <v>9281.5932100000009</v>
      </c>
      <c r="L64" s="207">
        <v>14163.288400000001</v>
      </c>
      <c r="M64" s="207">
        <v>12988.08389</v>
      </c>
      <c r="N64" s="207">
        <v>8293.1468299999997</v>
      </c>
      <c r="O64" s="207">
        <v>10073</v>
      </c>
      <c r="P64" s="557">
        <v>9299</v>
      </c>
    </row>
    <row r="65" spans="2:16" ht="15.5">
      <c r="B65" s="172" t="s">
        <v>324</v>
      </c>
      <c r="C65" s="207">
        <v>4734.8090000000002</v>
      </c>
      <c r="D65" s="207">
        <v>3878.7779999999998</v>
      </c>
      <c r="E65" s="207">
        <v>11361.17361</v>
      </c>
      <c r="F65" s="207">
        <v>13009.458359999997</v>
      </c>
      <c r="G65" s="207">
        <v>17959.353299999995</v>
      </c>
      <c r="H65" s="207">
        <v>6202.8850000000002</v>
      </c>
      <c r="I65" s="207">
        <v>17144.553680000005</v>
      </c>
      <c r="J65" s="207">
        <v>18190.772459999993</v>
      </c>
      <c r="K65" s="207">
        <v>26451.918600000001</v>
      </c>
      <c r="L65" s="207">
        <v>7624.3639999999996</v>
      </c>
      <c r="M65" s="207">
        <v>24128.544909999997</v>
      </c>
      <c r="N65" s="207">
        <v>13414.86085999999</v>
      </c>
      <c r="O65" s="207">
        <v>44110</v>
      </c>
      <c r="P65" s="557">
        <v>9934</v>
      </c>
    </row>
    <row r="66" spans="2:16" ht="15.5">
      <c r="B66" s="172" t="s">
        <v>325</v>
      </c>
      <c r="C66" s="207">
        <v>120368.42105263159</v>
      </c>
      <c r="D66" s="207">
        <v>28206.668000000001</v>
      </c>
      <c r="E66" s="207">
        <v>48207.599000000002</v>
      </c>
      <c r="F66" s="207">
        <v>90491.48083</v>
      </c>
      <c r="G66" s="207">
        <v>83422.414930000014</v>
      </c>
      <c r="H66" s="207">
        <v>90782.826109999995</v>
      </c>
      <c r="I66" s="207">
        <v>63930.995219999997</v>
      </c>
      <c r="J66" s="207">
        <v>15000</v>
      </c>
      <c r="K66" s="207">
        <v>0</v>
      </c>
      <c r="L66" s="207">
        <v>0</v>
      </c>
      <c r="M66" s="207">
        <v>0</v>
      </c>
      <c r="N66" s="207">
        <v>100000</v>
      </c>
      <c r="O66" s="207">
        <v>0</v>
      </c>
      <c r="P66" s="557">
        <v>1504</v>
      </c>
    </row>
    <row r="67" spans="2:16" ht="15.5">
      <c r="B67" s="172" t="s">
        <v>326</v>
      </c>
      <c r="C67" s="207">
        <v>23872.601119999999</v>
      </c>
      <c r="D67" s="207">
        <v>15878.199329999999</v>
      </c>
      <c r="E67" s="207">
        <v>72533.666549999994</v>
      </c>
      <c r="F67" s="207">
        <v>9023.5958100000007</v>
      </c>
      <c r="G67" s="207">
        <v>5316.5259400000004</v>
      </c>
      <c r="H67" s="207">
        <v>8541.9537700000001</v>
      </c>
      <c r="I67" s="207">
        <v>8397.3404300000002</v>
      </c>
      <c r="J67" s="207">
        <v>6750.1602400000002</v>
      </c>
      <c r="K67" s="207">
        <v>5295.8337300000003</v>
      </c>
      <c r="L67" s="207">
        <v>17222.496829999996</v>
      </c>
      <c r="M67" s="207">
        <v>14317.83124</v>
      </c>
      <c r="N67" s="207">
        <v>8715.1798500000004</v>
      </c>
      <c r="O67" s="207">
        <v>11257</v>
      </c>
      <c r="P67" s="557">
        <v>35091</v>
      </c>
    </row>
    <row r="68" spans="2:16" ht="15.5">
      <c r="B68" s="172" t="s">
        <v>327</v>
      </c>
      <c r="C68" s="207">
        <v>3456.252</v>
      </c>
      <c r="D68" s="207">
        <v>1676.0319999999999</v>
      </c>
      <c r="E68" s="207">
        <v>1614.67092</v>
      </c>
      <c r="F68" s="207">
        <v>1614.67092</v>
      </c>
      <c r="G68" s="207">
        <v>1614.67092</v>
      </c>
      <c r="H68" s="207">
        <v>1729.8309999999999</v>
      </c>
      <c r="I68" s="207">
        <v>1718.6699199999998</v>
      </c>
      <c r="J68" s="207">
        <v>1718.6699199999998</v>
      </c>
      <c r="K68" s="207">
        <v>1718.6699199999998</v>
      </c>
      <c r="L68" s="207">
        <v>2468.5070000000001</v>
      </c>
      <c r="M68" s="207">
        <v>2441.5359199999998</v>
      </c>
      <c r="N68" s="207">
        <v>2441.5359199999998</v>
      </c>
      <c r="O68" s="207">
        <v>2441</v>
      </c>
      <c r="P68" s="557">
        <v>3233</v>
      </c>
    </row>
    <row r="69" spans="2:16" ht="15.5" thickBot="1">
      <c r="B69" s="216" t="s">
        <v>89</v>
      </c>
      <c r="C69" s="221">
        <v>156927.93903263161</v>
      </c>
      <c r="D69" s="221">
        <v>58019.60843</v>
      </c>
      <c r="E69" s="221">
        <v>137666.94193999999</v>
      </c>
      <c r="F69" s="221">
        <v>116085.07033</v>
      </c>
      <c r="G69" s="221">
        <v>111130.24193000002</v>
      </c>
      <c r="H69" s="221">
        <v>113111.56688</v>
      </c>
      <c r="I69" s="221">
        <v>95513.913560000001</v>
      </c>
      <c r="J69" s="221">
        <v>42919.673079999993</v>
      </c>
      <c r="K69" s="221">
        <v>42748.015460000002</v>
      </c>
      <c r="L69" s="221">
        <v>41478.656229999993</v>
      </c>
      <c r="M69" s="221">
        <v>53875.99596</v>
      </c>
      <c r="N69" s="247">
        <v>132864.72346000001</v>
      </c>
      <c r="O69" s="247">
        <v>67881</v>
      </c>
      <c r="P69" s="566">
        <f>SUM(P64:P68)</f>
        <v>59061</v>
      </c>
    </row>
    <row r="70" spans="2:16" ht="15.5" thickBot="1">
      <c r="B70" s="228" t="s">
        <v>90</v>
      </c>
      <c r="C70" s="229"/>
      <c r="D70" s="229"/>
      <c r="E70" s="229"/>
      <c r="F70" s="229"/>
      <c r="G70" s="229"/>
      <c r="H70" s="229"/>
      <c r="I70" s="229"/>
      <c r="J70" s="229"/>
      <c r="K70" s="229"/>
      <c r="L70" s="229"/>
      <c r="M70" s="229"/>
      <c r="N70" s="252"/>
      <c r="O70" s="252"/>
      <c r="P70" s="571"/>
    </row>
    <row r="71" spans="2:16" ht="15.5">
      <c r="B71" s="172" t="s">
        <v>328</v>
      </c>
      <c r="C71" s="207">
        <v>1051.0146499999998</v>
      </c>
      <c r="D71" s="207">
        <v>1015.90939</v>
      </c>
      <c r="E71" s="207">
        <v>1015.90939</v>
      </c>
      <c r="F71" s="207">
        <v>919.55375000000004</v>
      </c>
      <c r="G71" s="207">
        <v>897.07326999999998</v>
      </c>
      <c r="H71" s="207">
        <v>874.90928000000008</v>
      </c>
      <c r="I71" s="207">
        <v>852.77043000000003</v>
      </c>
      <c r="J71" s="207">
        <v>830.54120999999998</v>
      </c>
      <c r="K71" s="207">
        <v>806.86728000000005</v>
      </c>
      <c r="L71" s="207">
        <v>783.90521000000001</v>
      </c>
      <c r="M71" s="207">
        <v>768.68551000000002</v>
      </c>
      <c r="N71" s="207">
        <v>737.74070999999992</v>
      </c>
      <c r="O71" s="207">
        <v>645</v>
      </c>
      <c r="P71" s="557">
        <v>1047</v>
      </c>
    </row>
    <row r="72" spans="2:16" ht="15.5">
      <c r="B72" s="172" t="s">
        <v>329</v>
      </c>
      <c r="C72" s="207">
        <v>616277.39800000004</v>
      </c>
      <c r="D72" s="207">
        <v>758206.64932999993</v>
      </c>
      <c r="E72" s="207">
        <v>793583.54624000005</v>
      </c>
      <c r="F72" s="207">
        <v>744631.88431999995</v>
      </c>
      <c r="G72" s="207">
        <v>745076.15850999998</v>
      </c>
      <c r="H72" s="207">
        <v>730999.56871000002</v>
      </c>
      <c r="I72" s="207">
        <v>724112.16554999992</v>
      </c>
      <c r="J72" s="207">
        <v>845118.49503000011</v>
      </c>
      <c r="K72" s="207">
        <v>844954.25805999991</v>
      </c>
      <c r="L72" s="207">
        <v>845164.12774000003</v>
      </c>
      <c r="M72" s="207">
        <v>845402.18974000006</v>
      </c>
      <c r="N72" s="207">
        <v>845597.47574000002</v>
      </c>
      <c r="O72" s="207">
        <v>1050000</v>
      </c>
      <c r="P72" s="557">
        <v>1075668</v>
      </c>
    </row>
    <row r="73" spans="2:16" ht="15.5">
      <c r="B73" s="172" t="s">
        <v>86</v>
      </c>
      <c r="C73" s="207">
        <v>7618.84</v>
      </c>
      <c r="D73" s="207">
        <v>11895.880060000001</v>
      </c>
      <c r="E73" s="207">
        <v>14123.878419999999</v>
      </c>
      <c r="F73" s="207">
        <v>16316.48659</v>
      </c>
      <c r="G73" s="207">
        <v>17611.174579999999</v>
      </c>
      <c r="H73" s="207">
        <v>16456.04435</v>
      </c>
      <c r="I73" s="207">
        <v>17562.629069999999</v>
      </c>
      <c r="J73" s="207">
        <v>18339.15669</v>
      </c>
      <c r="K73" s="207">
        <v>19195.551950000001</v>
      </c>
      <c r="L73" s="207">
        <v>18843.485760000003</v>
      </c>
      <c r="M73" s="207">
        <v>20808.110199999999</v>
      </c>
      <c r="N73" s="207">
        <v>22633.236260000001</v>
      </c>
      <c r="O73" s="207">
        <v>23991</v>
      </c>
      <c r="P73" s="557">
        <v>23173</v>
      </c>
    </row>
    <row r="74" spans="2:16" ht="15.5">
      <c r="B74" s="172" t="s">
        <v>330</v>
      </c>
      <c r="C74" s="207">
        <v>84072.864000000001</v>
      </c>
      <c r="D74" s="207">
        <v>0</v>
      </c>
      <c r="E74" s="207">
        <v>0</v>
      </c>
      <c r="F74" s="207">
        <v>0</v>
      </c>
      <c r="G74" s="207">
        <v>0</v>
      </c>
      <c r="H74" s="207">
        <v>0</v>
      </c>
      <c r="I74" s="207">
        <v>0</v>
      </c>
      <c r="J74" s="207">
        <v>0</v>
      </c>
      <c r="K74" s="207">
        <v>0</v>
      </c>
      <c r="L74" s="207">
        <v>0</v>
      </c>
      <c r="M74" s="207">
        <v>0</v>
      </c>
      <c r="N74" s="207">
        <v>0</v>
      </c>
      <c r="O74" s="207">
        <v>0</v>
      </c>
      <c r="P74" s="557">
        <v>0</v>
      </c>
    </row>
    <row r="75" spans="2:16" ht="15.5">
      <c r="B75" s="172" t="s">
        <v>117</v>
      </c>
      <c r="C75" s="207">
        <v>0</v>
      </c>
      <c r="D75" s="207">
        <v>104712.27099999999</v>
      </c>
      <c r="E75" s="207">
        <v>110128.52305</v>
      </c>
      <c r="F75" s="207">
        <v>115733.90889000001</v>
      </c>
      <c r="G75" s="207">
        <v>121330.149</v>
      </c>
      <c r="H75" s="207">
        <v>127971.56600000001</v>
      </c>
      <c r="I75" s="207">
        <v>134357.59452000001</v>
      </c>
      <c r="J75" s="207">
        <v>139341.226</v>
      </c>
      <c r="K75" s="207">
        <v>145907.77802</v>
      </c>
      <c r="L75" s="207">
        <v>152635.15982</v>
      </c>
      <c r="M75" s="207">
        <v>158425.17157000001</v>
      </c>
      <c r="N75" s="207">
        <v>164625.56788999998</v>
      </c>
      <c r="O75" s="207">
        <v>170342</v>
      </c>
      <c r="P75" s="557">
        <v>176453</v>
      </c>
    </row>
    <row r="76" spans="2:16" ht="15.5" thickBot="1">
      <c r="B76" s="216" t="s">
        <v>92</v>
      </c>
      <c r="C76" s="221">
        <v>709020.11664999998</v>
      </c>
      <c r="D76" s="221">
        <v>875830.70977999992</v>
      </c>
      <c r="E76" s="221">
        <v>918851.85710000002</v>
      </c>
      <c r="F76" s="221">
        <v>877601.83354999986</v>
      </c>
      <c r="G76" s="221">
        <v>884914.55536</v>
      </c>
      <c r="H76" s="221">
        <v>876302.08834000002</v>
      </c>
      <c r="I76" s="221">
        <v>876885.15957000002</v>
      </c>
      <c r="J76" s="221">
        <v>1003629.4189300002</v>
      </c>
      <c r="K76" s="221">
        <v>1010864.4553099999</v>
      </c>
      <c r="L76" s="221">
        <v>1017426.6785299999</v>
      </c>
      <c r="M76" s="221">
        <v>1025404.15702</v>
      </c>
      <c r="N76" s="247">
        <v>1033594.0206</v>
      </c>
      <c r="O76" s="247">
        <v>1244978</v>
      </c>
      <c r="P76" s="566">
        <f>SUM(P71:P75)</f>
        <v>1276341</v>
      </c>
    </row>
    <row r="77" spans="2:16" ht="15.5" thickBot="1">
      <c r="B77" s="222" t="s">
        <v>93</v>
      </c>
      <c r="C77" s="223">
        <v>865948.05568263156</v>
      </c>
      <c r="D77" s="223">
        <v>933850.31820999994</v>
      </c>
      <c r="E77" s="223">
        <v>1056518.79904</v>
      </c>
      <c r="F77" s="223">
        <v>993686.90387999988</v>
      </c>
      <c r="G77" s="223">
        <v>996044.79729000002</v>
      </c>
      <c r="H77" s="223">
        <v>989413.65522000007</v>
      </c>
      <c r="I77" s="223">
        <v>972399.07313000003</v>
      </c>
      <c r="J77" s="223">
        <v>1046549.0920100001</v>
      </c>
      <c r="K77" s="223">
        <v>1053612.4707699998</v>
      </c>
      <c r="L77" s="223">
        <v>1058905.33476</v>
      </c>
      <c r="M77" s="223">
        <v>1079280.15298</v>
      </c>
      <c r="N77" s="248">
        <v>1166458.7440599999</v>
      </c>
      <c r="O77" s="248">
        <v>1312859</v>
      </c>
      <c r="P77" s="567">
        <f>P69+P76</f>
        <v>1335402</v>
      </c>
    </row>
    <row r="78" spans="2:16" ht="15.5" thickBot="1">
      <c r="B78" s="224"/>
      <c r="C78" s="225"/>
      <c r="D78" s="225"/>
      <c r="E78" s="225"/>
      <c r="F78" s="225"/>
      <c r="G78" s="225"/>
      <c r="H78" s="225"/>
      <c r="I78" s="225"/>
      <c r="J78" s="225"/>
      <c r="K78" s="225"/>
      <c r="L78" s="225"/>
      <c r="M78" s="225"/>
      <c r="N78" s="249"/>
      <c r="O78" s="249"/>
      <c r="P78" s="568"/>
    </row>
    <row r="79" spans="2:16" ht="15.5" thickBot="1">
      <c r="B79" s="230" t="s">
        <v>94</v>
      </c>
      <c r="C79" s="229"/>
      <c r="D79" s="229"/>
      <c r="E79" s="229"/>
      <c r="F79" s="229"/>
      <c r="G79" s="229"/>
      <c r="H79" s="229"/>
      <c r="I79" s="229"/>
      <c r="J79" s="229"/>
      <c r="K79" s="229"/>
      <c r="L79" s="229"/>
      <c r="M79" s="229"/>
      <c r="N79" s="252"/>
      <c r="O79" s="252"/>
      <c r="P79" s="571"/>
    </row>
    <row r="80" spans="2:16" ht="15.5">
      <c r="B80" s="172" t="s">
        <v>95</v>
      </c>
      <c r="C80" s="207">
        <v>265409.19397999998</v>
      </c>
      <c r="D80" s="207">
        <v>265409.19397999998</v>
      </c>
      <c r="E80" s="207">
        <v>265409.19397999998</v>
      </c>
      <c r="F80" s="207">
        <v>265409.19397999998</v>
      </c>
      <c r="G80" s="207">
        <v>265409.19397999998</v>
      </c>
      <c r="H80" s="207">
        <v>265409.19397999998</v>
      </c>
      <c r="I80" s="207">
        <v>265409.19397999998</v>
      </c>
      <c r="J80" s="207">
        <v>265409.19397999998</v>
      </c>
      <c r="K80" s="207">
        <v>265409.19397999998</v>
      </c>
      <c r="L80" s="207">
        <v>265409.19397999998</v>
      </c>
      <c r="M80" s="207">
        <v>265409.19397999998</v>
      </c>
      <c r="N80" s="207">
        <v>265409.19397999998</v>
      </c>
      <c r="O80" s="207">
        <v>265409</v>
      </c>
      <c r="P80" s="557">
        <v>265409</v>
      </c>
    </row>
    <row r="81" spans="1:16" ht="15.5">
      <c r="B81" s="172" t="s">
        <v>96</v>
      </c>
      <c r="C81" s="207">
        <v>0</v>
      </c>
      <c r="D81" s="207">
        <v>0</v>
      </c>
      <c r="E81" s="207">
        <v>0</v>
      </c>
      <c r="F81" s="207">
        <v>0</v>
      </c>
      <c r="G81" s="207">
        <v>0</v>
      </c>
      <c r="H81" s="207">
        <v>0</v>
      </c>
      <c r="I81" s="207">
        <v>0</v>
      </c>
      <c r="J81" s="207">
        <v>0</v>
      </c>
      <c r="K81" s="207">
        <v>0</v>
      </c>
      <c r="L81" s="207">
        <v>0</v>
      </c>
      <c r="M81" s="207">
        <v>0</v>
      </c>
      <c r="N81" s="207">
        <v>0</v>
      </c>
      <c r="O81" s="207">
        <v>0</v>
      </c>
      <c r="P81" s="557">
        <v>0</v>
      </c>
    </row>
    <row r="82" spans="1:16" ht="15.5">
      <c r="B82" s="172" t="s">
        <v>331</v>
      </c>
      <c r="C82" s="207">
        <v>18213.73155</v>
      </c>
      <c r="D82" s="207">
        <v>22516.466550000001</v>
      </c>
      <c r="E82" s="207">
        <v>27005.51655</v>
      </c>
      <c r="F82" s="207">
        <v>27005.51655</v>
      </c>
      <c r="G82" s="207">
        <v>27005.51655</v>
      </c>
      <c r="H82" s="207">
        <v>27005.51655</v>
      </c>
      <c r="I82" s="207">
        <v>27005.517</v>
      </c>
      <c r="J82" s="207">
        <v>32175.186550000002</v>
      </c>
      <c r="K82" s="207">
        <v>32175.186550000002</v>
      </c>
      <c r="L82" s="207">
        <v>32175.186550000002</v>
      </c>
      <c r="M82" s="207">
        <v>37911.06955</v>
      </c>
      <c r="N82" s="207">
        <v>37911.06955</v>
      </c>
      <c r="O82" s="207">
        <v>37911</v>
      </c>
      <c r="P82" s="557">
        <v>37911</v>
      </c>
    </row>
    <row r="83" spans="1:16" ht="15.5">
      <c r="B83" s="172" t="s">
        <v>332</v>
      </c>
      <c r="C83" s="207">
        <v>127139.65247</v>
      </c>
      <c r="D83" s="207">
        <v>210754.76357999994</v>
      </c>
      <c r="E83" s="207">
        <v>153882.07629000003</v>
      </c>
      <c r="F83" s="207">
        <v>166306.05958</v>
      </c>
      <c r="G83" s="207">
        <v>179077.26233</v>
      </c>
      <c r="H83" s="207">
        <v>192645.04902999999</v>
      </c>
      <c r="I83" s="207">
        <v>208265.32913</v>
      </c>
      <c r="J83" s="207">
        <v>148863.08302000002</v>
      </c>
      <c r="K83" s="207">
        <v>163377.63139</v>
      </c>
      <c r="L83" s="207">
        <v>179834.21222999995</v>
      </c>
      <c r="M83" s="207">
        <v>187608.97097999998</v>
      </c>
      <c r="N83" s="207">
        <v>137115.47936999999</v>
      </c>
      <c r="O83" s="207">
        <v>153635</v>
      </c>
      <c r="P83" s="557">
        <v>169083</v>
      </c>
    </row>
    <row r="84" spans="1:16" ht="15.5">
      <c r="B84" s="172" t="s">
        <v>99</v>
      </c>
      <c r="C84" s="207">
        <v>43027.350349999993</v>
      </c>
      <c r="D84" s="207">
        <v>0</v>
      </c>
      <c r="E84" s="207">
        <v>0</v>
      </c>
      <c r="F84" s="207">
        <v>0</v>
      </c>
      <c r="G84" s="207">
        <v>0</v>
      </c>
      <c r="H84" s="207">
        <v>0</v>
      </c>
      <c r="I84" s="207">
        <v>0</v>
      </c>
      <c r="J84" s="207">
        <v>0</v>
      </c>
      <c r="K84" s="207">
        <v>0</v>
      </c>
      <c r="L84" s="207">
        <v>0</v>
      </c>
      <c r="M84" s="207">
        <v>0</v>
      </c>
      <c r="N84" s="207">
        <v>0</v>
      </c>
      <c r="O84" s="207">
        <v>0</v>
      </c>
      <c r="P84" s="557">
        <v>0</v>
      </c>
    </row>
    <row r="85" spans="1:16" ht="15.5">
      <c r="B85" s="172" t="s">
        <v>100</v>
      </c>
      <c r="C85" s="207">
        <v>0</v>
      </c>
      <c r="D85" s="207">
        <v>0</v>
      </c>
      <c r="E85" s="207">
        <v>0</v>
      </c>
      <c r="F85" s="207">
        <v>0</v>
      </c>
      <c r="G85" s="207">
        <v>0</v>
      </c>
      <c r="H85" s="207">
        <v>0</v>
      </c>
      <c r="I85" s="207">
        <v>0</v>
      </c>
      <c r="J85" s="207">
        <v>0</v>
      </c>
      <c r="K85" s="207">
        <v>0</v>
      </c>
      <c r="L85" s="207">
        <v>0</v>
      </c>
      <c r="M85" s="207">
        <v>0</v>
      </c>
      <c r="N85" s="207">
        <v>0</v>
      </c>
      <c r="O85" s="207">
        <v>0</v>
      </c>
      <c r="P85" s="557">
        <v>0</v>
      </c>
    </row>
    <row r="86" spans="1:16" ht="15.5" thickBot="1">
      <c r="B86" s="216" t="s">
        <v>103</v>
      </c>
      <c r="C86" s="221">
        <v>453789.92834999994</v>
      </c>
      <c r="D86" s="221">
        <v>498680.42410999991</v>
      </c>
      <c r="E86" s="221">
        <v>446296.78682000004</v>
      </c>
      <c r="F86" s="221">
        <v>458720.77010999998</v>
      </c>
      <c r="G86" s="221">
        <v>471491.97285999998</v>
      </c>
      <c r="H86" s="221">
        <v>485059.75955999998</v>
      </c>
      <c r="I86" s="221">
        <v>500680.04010999994</v>
      </c>
      <c r="J86" s="221">
        <v>446447.46354999999</v>
      </c>
      <c r="K86" s="221">
        <v>460962.01191999996</v>
      </c>
      <c r="L86" s="221">
        <v>477418.59275999991</v>
      </c>
      <c r="M86" s="221">
        <v>490929.23450999998</v>
      </c>
      <c r="N86" s="247">
        <v>440435.74289999995</v>
      </c>
      <c r="O86" s="247">
        <v>456955</v>
      </c>
      <c r="P86" s="566">
        <f>SUM(P80:P85)</f>
        <v>472403</v>
      </c>
    </row>
    <row r="87" spans="1:16" ht="15.5" thickBot="1">
      <c r="B87" s="231" t="s">
        <v>104</v>
      </c>
      <c r="C87" s="223">
        <v>1319737.9840326314</v>
      </c>
      <c r="D87" s="223">
        <v>1432530.7423199997</v>
      </c>
      <c r="E87" s="223">
        <v>1502815.58586</v>
      </c>
      <c r="F87" s="223">
        <v>1452407.6739899998</v>
      </c>
      <c r="G87" s="223">
        <v>1467536.77015</v>
      </c>
      <c r="H87" s="223">
        <v>1474473.41478</v>
      </c>
      <c r="I87" s="223">
        <v>1473079.1132399999</v>
      </c>
      <c r="J87" s="223">
        <v>1492996.5555600002</v>
      </c>
      <c r="K87" s="223">
        <v>1514574.4826899997</v>
      </c>
      <c r="L87" s="223">
        <v>1536323.9275199999</v>
      </c>
      <c r="M87" s="223">
        <v>1570209.3874900001</v>
      </c>
      <c r="N87" s="248">
        <v>1606894.4869599999</v>
      </c>
      <c r="O87" s="248">
        <v>1769814</v>
      </c>
      <c r="P87" s="567">
        <f>P77+P86</f>
        <v>1807805</v>
      </c>
    </row>
    <row r="88" spans="1:16" ht="15.5">
      <c r="B88" s="167"/>
      <c r="C88" s="253">
        <f>+C60-C77-C86</f>
        <v>1.3736833352595568E-4</v>
      </c>
      <c r="D88" s="253">
        <f t="shared" ref="D88:N88" si="6">+D60-D77-D86</f>
        <v>7.0000183768570423E-5</v>
      </c>
      <c r="E88" s="253">
        <f t="shared" si="6"/>
        <v>7.0000067353248596E-5</v>
      </c>
      <c r="F88" s="253">
        <f t="shared" si="6"/>
        <v>6.0000165831297636E-5</v>
      </c>
      <c r="G88" s="253">
        <f t="shared" si="6"/>
        <v>4.9999915063381195E-5</v>
      </c>
      <c r="H88" s="253">
        <f t="shared" si="6"/>
        <v>6.9999776314944029E-5</v>
      </c>
      <c r="I88" s="253">
        <f t="shared" si="6"/>
        <v>3.7999998312443495E-4</v>
      </c>
      <c r="J88" s="253">
        <f t="shared" si="6"/>
        <v>-2.5000015739351511E-4</v>
      </c>
      <c r="K88" s="253">
        <f t="shared" si="6"/>
        <v>4.6566128730773926E-10</v>
      </c>
      <c r="L88" s="253">
        <f t="shared" si="6"/>
        <v>3.5000033676624298E-4</v>
      </c>
      <c r="M88" s="253">
        <f t="shared" si="6"/>
        <v>-9.000010322779417E-5</v>
      </c>
      <c r="N88" s="253">
        <f t="shared" si="6"/>
        <v>3.9000017568469048E-4</v>
      </c>
      <c r="O88" s="253">
        <v>0</v>
      </c>
      <c r="P88" s="253">
        <f>+P60-P77-P86</f>
        <v>0</v>
      </c>
    </row>
    <row r="89" spans="1:16" ht="15.5">
      <c r="B89" s="167"/>
      <c r="C89" s="205">
        <f>+C29-C84</f>
        <v>-0.35034999999334104</v>
      </c>
      <c r="D89" s="205">
        <f>+D29-D86</f>
        <v>-454107.42410999991</v>
      </c>
      <c r="E89" s="205">
        <f>+E29-E84</f>
        <v>12617</v>
      </c>
      <c r="F89" s="205">
        <f>+E29+F29-F84</f>
        <v>25040</v>
      </c>
      <c r="G89" s="205">
        <f>+G29+F29+E29-G84</f>
        <v>37812</v>
      </c>
      <c r="H89" s="205">
        <f>+H29+G29+F29+E29-H84</f>
        <v>51697</v>
      </c>
      <c r="I89" s="205">
        <f>+I29-I84</f>
        <v>15620</v>
      </c>
      <c r="J89" s="205">
        <f>+I29+J29-J84</f>
        <v>26388</v>
      </c>
      <c r="K89" s="205">
        <f>+K29+J29+I29-K84</f>
        <v>40902</v>
      </c>
      <c r="L89" s="205">
        <f>+L29+K29+J29+I29-L84</f>
        <v>57359</v>
      </c>
      <c r="M89" s="205">
        <f>+M29-M84</f>
        <v>13511</v>
      </c>
      <c r="N89" s="205">
        <f>+M29+N29-N84</f>
        <v>28018</v>
      </c>
      <c r="O89" s="205">
        <v>31025</v>
      </c>
      <c r="P89" s="205"/>
    </row>
    <row r="90" spans="1:16" ht="15.5">
      <c r="B90" s="167"/>
      <c r="C90" s="167"/>
      <c r="D90" s="167"/>
      <c r="E90" s="167"/>
      <c r="F90" s="167"/>
      <c r="G90" s="167"/>
      <c r="H90" s="167"/>
      <c r="I90" s="167"/>
      <c r="J90" s="167"/>
      <c r="K90" s="167"/>
      <c r="L90" s="167"/>
      <c r="M90" s="167"/>
      <c r="N90" s="167"/>
      <c r="O90" s="167"/>
      <c r="P90" s="167"/>
    </row>
    <row r="91" spans="1:16" ht="15.5">
      <c r="A91" s="119" t="s">
        <v>105</v>
      </c>
      <c r="B91" s="12" t="s">
        <v>333</v>
      </c>
      <c r="C91" s="167"/>
      <c r="D91" s="167"/>
      <c r="E91" s="167"/>
      <c r="F91" s="167"/>
      <c r="G91" s="167"/>
      <c r="H91" s="167"/>
      <c r="I91" s="167"/>
      <c r="J91" s="167"/>
      <c r="K91" s="167"/>
      <c r="L91" s="167"/>
      <c r="M91" s="167"/>
      <c r="N91" s="167"/>
      <c r="O91" s="167"/>
      <c r="P91" s="167"/>
    </row>
    <row r="92" spans="1:16" ht="15.5">
      <c r="B92" s="14" t="s">
        <v>314</v>
      </c>
      <c r="C92" s="167"/>
      <c r="D92" s="167"/>
      <c r="E92" s="167"/>
      <c r="F92" s="167"/>
      <c r="G92" s="167"/>
      <c r="H92" s="211"/>
      <c r="I92" s="211"/>
      <c r="J92" s="211"/>
      <c r="K92" s="167"/>
      <c r="L92" s="211"/>
      <c r="M92" s="167"/>
      <c r="N92" s="167"/>
      <c r="O92" s="167"/>
      <c r="P92" s="167"/>
    </row>
    <row r="93" spans="1:16" ht="15.5">
      <c r="B93" s="167"/>
      <c r="C93" s="167"/>
      <c r="D93" s="167"/>
      <c r="E93" s="211"/>
      <c r="F93" s="211"/>
      <c r="G93" s="211"/>
      <c r="H93" s="211"/>
      <c r="I93" s="167"/>
      <c r="J93" s="167"/>
      <c r="K93" s="167"/>
      <c r="L93" s="211"/>
      <c r="M93" s="167"/>
      <c r="N93" s="167"/>
      <c r="O93" s="167"/>
      <c r="P93" s="167"/>
    </row>
    <row r="94" spans="1:16" ht="15">
      <c r="B94" s="553"/>
      <c r="C94" s="554">
        <v>2016</v>
      </c>
      <c r="D94" s="554">
        <v>2017</v>
      </c>
      <c r="E94" s="554" t="s">
        <v>20</v>
      </c>
      <c r="F94" s="554" t="s">
        <v>21</v>
      </c>
      <c r="G94" s="554" t="s">
        <v>22</v>
      </c>
      <c r="H94" s="554" t="s">
        <v>23</v>
      </c>
      <c r="I94" s="554" t="s">
        <v>24</v>
      </c>
      <c r="J94" s="554" t="s">
        <v>25</v>
      </c>
      <c r="K94" s="554" t="s">
        <v>26</v>
      </c>
      <c r="L94" s="554" t="s">
        <v>27</v>
      </c>
      <c r="M94" s="554" t="s">
        <v>28</v>
      </c>
      <c r="N94" s="554" t="s">
        <v>29</v>
      </c>
      <c r="O94" s="554" t="s">
        <v>30</v>
      </c>
      <c r="P94" s="555" t="s">
        <v>954</v>
      </c>
    </row>
    <row r="95" spans="1:16" ht="15.5">
      <c r="B95" s="243"/>
      <c r="C95" s="35"/>
      <c r="D95" s="35"/>
      <c r="E95" s="35"/>
      <c r="F95" s="35"/>
      <c r="G95" s="35"/>
      <c r="H95" s="35"/>
      <c r="I95" s="35"/>
      <c r="J95" s="35"/>
      <c r="K95" s="35"/>
      <c r="L95" s="35"/>
      <c r="M95" s="35"/>
      <c r="N95" s="35"/>
      <c r="O95" s="35"/>
      <c r="P95" s="556"/>
    </row>
    <row r="96" spans="1:16" ht="15.5">
      <c r="B96" s="172" t="s">
        <v>31</v>
      </c>
      <c r="C96" s="207">
        <v>30837</v>
      </c>
      <c r="D96" s="207">
        <v>18651</v>
      </c>
      <c r="E96" s="207">
        <v>681</v>
      </c>
      <c r="F96" s="207">
        <v>847</v>
      </c>
      <c r="G96" s="207">
        <v>985</v>
      </c>
      <c r="H96" s="207">
        <v>10662</v>
      </c>
      <c r="I96" s="207">
        <v>3583</v>
      </c>
      <c r="J96" s="207">
        <v>1753</v>
      </c>
      <c r="K96" s="207">
        <v>287</v>
      </c>
      <c r="L96" s="207">
        <v>1795</v>
      </c>
      <c r="M96" s="207">
        <v>3646</v>
      </c>
      <c r="N96" s="207">
        <v>4418</v>
      </c>
      <c r="O96" s="207">
        <v>11173</v>
      </c>
      <c r="P96" s="557">
        <v>1779</v>
      </c>
    </row>
    <row r="97" spans="2:18" ht="15.5">
      <c r="B97" s="172" t="s">
        <v>32</v>
      </c>
      <c r="C97" s="207">
        <v>30808</v>
      </c>
      <c r="D97" s="207">
        <v>18251</v>
      </c>
      <c r="E97" s="207">
        <v>504</v>
      </c>
      <c r="F97" s="207">
        <v>943</v>
      </c>
      <c r="G97" s="207">
        <v>949</v>
      </c>
      <c r="H97" s="207">
        <v>11129</v>
      </c>
      <c r="I97" s="207">
        <v>3593</v>
      </c>
      <c r="J97" s="207">
        <v>1742</v>
      </c>
      <c r="K97" s="207">
        <v>284</v>
      </c>
      <c r="L97" s="207">
        <v>1800</v>
      </c>
      <c r="M97" s="207">
        <v>3646</v>
      </c>
      <c r="N97" s="207">
        <v>4418</v>
      </c>
      <c r="O97" s="207">
        <v>11173</v>
      </c>
      <c r="P97" s="557">
        <v>1831</v>
      </c>
    </row>
    <row r="98" spans="2:18" ht="15.5">
      <c r="B98" s="232" t="s">
        <v>33</v>
      </c>
      <c r="C98" s="244">
        <f t="shared" ref="C98:P98" si="7">+C96-C97</f>
        <v>29</v>
      </c>
      <c r="D98" s="244">
        <f t="shared" si="7"/>
        <v>400</v>
      </c>
      <c r="E98" s="244">
        <f t="shared" si="7"/>
        <v>177</v>
      </c>
      <c r="F98" s="244">
        <f t="shared" si="7"/>
        <v>-96</v>
      </c>
      <c r="G98" s="244">
        <f t="shared" si="7"/>
        <v>36</v>
      </c>
      <c r="H98" s="244">
        <f t="shared" si="7"/>
        <v>-467</v>
      </c>
      <c r="I98" s="244">
        <f t="shared" si="7"/>
        <v>-10</v>
      </c>
      <c r="J98" s="244">
        <f t="shared" si="7"/>
        <v>11</v>
      </c>
      <c r="K98" s="244">
        <f t="shared" si="7"/>
        <v>3</v>
      </c>
      <c r="L98" s="244">
        <f t="shared" si="7"/>
        <v>-5</v>
      </c>
      <c r="M98" s="244">
        <f t="shared" si="7"/>
        <v>0</v>
      </c>
      <c r="N98" s="244">
        <f t="shared" si="7"/>
        <v>0</v>
      </c>
      <c r="O98" s="244">
        <v>0</v>
      </c>
      <c r="P98" s="558">
        <f t="shared" si="7"/>
        <v>-52</v>
      </c>
    </row>
    <row r="99" spans="2:18" ht="15.5">
      <c r="B99" s="243"/>
      <c r="C99" s="9"/>
      <c r="D99" s="9"/>
      <c r="E99" s="9"/>
      <c r="F99" s="9"/>
      <c r="G99" s="9"/>
      <c r="H99" s="9"/>
      <c r="I99" s="9"/>
      <c r="J99" s="9"/>
      <c r="K99" s="9"/>
      <c r="L99" s="9"/>
      <c r="M99" s="9"/>
      <c r="N99" s="9"/>
      <c r="O99" s="9"/>
      <c r="P99" s="556"/>
    </row>
    <row r="100" spans="2:18" ht="15.5">
      <c r="B100" s="172" t="s">
        <v>334</v>
      </c>
      <c r="C100" s="207">
        <v>116591</v>
      </c>
      <c r="D100" s="207">
        <v>128337</v>
      </c>
      <c r="E100" s="207">
        <v>33702</v>
      </c>
      <c r="F100" s="207">
        <v>35790</v>
      </c>
      <c r="G100" s="207">
        <v>35784</v>
      </c>
      <c r="H100" s="207">
        <v>38494</v>
      </c>
      <c r="I100" s="207">
        <v>36262</v>
      </c>
      <c r="J100" s="207">
        <v>37670</v>
      </c>
      <c r="K100" s="207">
        <v>38176</v>
      </c>
      <c r="L100" s="207">
        <v>37354</v>
      </c>
      <c r="M100" s="207">
        <v>35845</v>
      </c>
      <c r="N100" s="207">
        <v>38423</v>
      </c>
      <c r="O100" s="207">
        <v>37404</v>
      </c>
      <c r="P100" s="557">
        <v>37287</v>
      </c>
    </row>
    <row r="101" spans="2:18" ht="15.5">
      <c r="B101" s="172" t="s">
        <v>335</v>
      </c>
      <c r="C101" s="207">
        <v>20342</v>
      </c>
      <c r="D101" s="207">
        <v>16295</v>
      </c>
      <c r="E101" s="207">
        <v>4469</v>
      </c>
      <c r="F101" s="207">
        <v>3864</v>
      </c>
      <c r="G101" s="207">
        <v>4195</v>
      </c>
      <c r="H101" s="207">
        <v>9449</v>
      </c>
      <c r="I101" s="207">
        <v>4704</v>
      </c>
      <c r="J101" s="207">
        <v>5108</v>
      </c>
      <c r="K101" s="207">
        <v>4686</v>
      </c>
      <c r="L101" s="207">
        <v>4629</v>
      </c>
      <c r="M101" s="207">
        <v>4859</v>
      </c>
      <c r="N101" s="207">
        <v>4684</v>
      </c>
      <c r="O101" s="207">
        <v>4392</v>
      </c>
      <c r="P101" s="557">
        <v>4767</v>
      </c>
    </row>
    <row r="102" spans="2:18" ht="15.5">
      <c r="B102" s="172" t="s">
        <v>336</v>
      </c>
      <c r="C102" s="207">
        <v>0</v>
      </c>
      <c r="D102" s="207">
        <v>0</v>
      </c>
      <c r="E102" s="207">
        <v>0</v>
      </c>
      <c r="F102" s="207">
        <v>0</v>
      </c>
      <c r="G102" s="207">
        <v>0</v>
      </c>
      <c r="H102" s="207">
        <v>0</v>
      </c>
      <c r="I102" s="207">
        <v>0</v>
      </c>
      <c r="J102" s="207">
        <v>0</v>
      </c>
      <c r="K102" s="207">
        <v>0</v>
      </c>
      <c r="L102" s="207">
        <v>0</v>
      </c>
      <c r="M102" s="207">
        <v>0</v>
      </c>
      <c r="N102" s="207">
        <v>0</v>
      </c>
      <c r="O102" s="207">
        <v>0</v>
      </c>
      <c r="P102" s="557">
        <v>110</v>
      </c>
    </row>
    <row r="103" spans="2:18" ht="15.5">
      <c r="B103" s="172" t="s">
        <v>41</v>
      </c>
      <c r="C103" s="207">
        <v>44261</v>
      </c>
      <c r="D103" s="207">
        <f>41857+2222</f>
        <v>44079</v>
      </c>
      <c r="E103" s="207">
        <v>11359</v>
      </c>
      <c r="F103" s="207">
        <v>11199</v>
      </c>
      <c r="G103" s="207">
        <v>11646</v>
      </c>
      <c r="H103" s="254">
        <v>12170</v>
      </c>
      <c r="I103" s="207">
        <v>11111</v>
      </c>
      <c r="J103" s="207">
        <v>11834</v>
      </c>
      <c r="K103" s="207">
        <v>10933</v>
      </c>
      <c r="L103" s="207">
        <v>9452</v>
      </c>
      <c r="M103" s="207">
        <v>10188</v>
      </c>
      <c r="N103" s="207">
        <v>10939</v>
      </c>
      <c r="O103" s="207">
        <v>11062</v>
      </c>
      <c r="P103" s="557">
        <v>13809</v>
      </c>
    </row>
    <row r="104" spans="2:18" ht="15.5">
      <c r="B104" s="232" t="s">
        <v>42</v>
      </c>
      <c r="C104" s="244">
        <f t="shared" ref="C104:P104" si="8">+SUM(C100:C102)-C103</f>
        <v>92672</v>
      </c>
      <c r="D104" s="244">
        <f t="shared" si="8"/>
        <v>100553</v>
      </c>
      <c r="E104" s="244">
        <f t="shared" si="8"/>
        <v>26812</v>
      </c>
      <c r="F104" s="244">
        <f t="shared" si="8"/>
        <v>28455</v>
      </c>
      <c r="G104" s="244">
        <f t="shared" si="8"/>
        <v>28333</v>
      </c>
      <c r="H104" s="244">
        <f t="shared" si="8"/>
        <v>35773</v>
      </c>
      <c r="I104" s="244">
        <f t="shared" si="8"/>
        <v>29855</v>
      </c>
      <c r="J104" s="244">
        <f t="shared" si="8"/>
        <v>30944</v>
      </c>
      <c r="K104" s="244">
        <f t="shared" si="8"/>
        <v>31929</v>
      </c>
      <c r="L104" s="244">
        <f t="shared" si="8"/>
        <v>32531</v>
      </c>
      <c r="M104" s="244">
        <f t="shared" si="8"/>
        <v>30516</v>
      </c>
      <c r="N104" s="244">
        <f t="shared" si="8"/>
        <v>32168</v>
      </c>
      <c r="O104" s="244">
        <v>30734</v>
      </c>
      <c r="P104" s="558">
        <f t="shared" si="8"/>
        <v>28355</v>
      </c>
    </row>
    <row r="105" spans="2:18" ht="15.5">
      <c r="B105" s="174" t="s">
        <v>112</v>
      </c>
      <c r="C105" s="208">
        <f>+C98+C104</f>
        <v>92701</v>
      </c>
      <c r="D105" s="208">
        <f t="shared" ref="D105:P105" si="9">+D98+D104</f>
        <v>100953</v>
      </c>
      <c r="E105" s="208">
        <f t="shared" si="9"/>
        <v>26989</v>
      </c>
      <c r="F105" s="208">
        <f t="shared" si="9"/>
        <v>28359</v>
      </c>
      <c r="G105" s="208">
        <f t="shared" si="9"/>
        <v>28369</v>
      </c>
      <c r="H105" s="208">
        <f t="shared" si="9"/>
        <v>35306</v>
      </c>
      <c r="I105" s="208">
        <f t="shared" si="9"/>
        <v>29845</v>
      </c>
      <c r="J105" s="208">
        <f t="shared" si="9"/>
        <v>30955</v>
      </c>
      <c r="K105" s="208">
        <f t="shared" si="9"/>
        <v>31932</v>
      </c>
      <c r="L105" s="208">
        <f t="shared" si="9"/>
        <v>32526</v>
      </c>
      <c r="M105" s="208">
        <f t="shared" si="9"/>
        <v>30516</v>
      </c>
      <c r="N105" s="208">
        <f t="shared" si="9"/>
        <v>32168</v>
      </c>
      <c r="O105" s="208">
        <v>30734</v>
      </c>
      <c r="P105" s="559">
        <f t="shared" si="9"/>
        <v>28303</v>
      </c>
    </row>
    <row r="106" spans="2:18" ht="15.5">
      <c r="B106" s="171"/>
      <c r="C106" s="9"/>
      <c r="D106" s="9"/>
      <c r="E106" s="9"/>
      <c r="F106" s="9"/>
      <c r="G106" s="9"/>
      <c r="H106" s="9"/>
      <c r="I106" s="9"/>
      <c r="J106" s="9"/>
      <c r="K106" s="9"/>
      <c r="L106" s="9"/>
      <c r="M106" s="9"/>
      <c r="N106" s="9"/>
      <c r="O106" s="9"/>
      <c r="P106" s="556"/>
    </row>
    <row r="107" spans="2:18" ht="15.5">
      <c r="B107" s="172" t="s">
        <v>44</v>
      </c>
      <c r="C107" s="255">
        <v>39467</v>
      </c>
      <c r="D107" s="255">
        <v>42909</v>
      </c>
      <c r="E107" s="255">
        <v>10593</v>
      </c>
      <c r="F107" s="255">
        <v>10578</v>
      </c>
      <c r="G107" s="255">
        <v>10546</v>
      </c>
      <c r="H107" s="255">
        <v>10617</v>
      </c>
      <c r="I107" s="255">
        <v>10571</v>
      </c>
      <c r="J107" s="255">
        <v>10974</v>
      </c>
      <c r="K107" s="255">
        <v>10897</v>
      </c>
      <c r="L107" s="255">
        <v>-8660</v>
      </c>
      <c r="M107" s="255">
        <v>10418</v>
      </c>
      <c r="N107" s="255">
        <v>10487</v>
      </c>
      <c r="O107" s="255">
        <v>10439</v>
      </c>
      <c r="P107" s="572">
        <v>11202</v>
      </c>
    </row>
    <row r="108" spans="2:18" ht="15.5">
      <c r="B108" s="172" t="s">
        <v>45</v>
      </c>
      <c r="C108" s="207">
        <v>0</v>
      </c>
      <c r="D108" s="207">
        <v>0</v>
      </c>
      <c r="E108" s="207">
        <v>0</v>
      </c>
      <c r="F108" s="207">
        <v>0</v>
      </c>
      <c r="G108" s="207">
        <v>0</v>
      </c>
      <c r="H108" s="207">
        <v>0</v>
      </c>
      <c r="I108" s="207">
        <v>0</v>
      </c>
      <c r="J108" s="207">
        <v>0</v>
      </c>
      <c r="K108" s="207">
        <v>0</v>
      </c>
      <c r="L108" s="207">
        <v>0</v>
      </c>
      <c r="M108" s="207">
        <v>0</v>
      </c>
      <c r="N108" s="207">
        <v>0</v>
      </c>
      <c r="O108" s="207">
        <v>0</v>
      </c>
      <c r="P108" s="557">
        <v>0</v>
      </c>
    </row>
    <row r="109" spans="2:18" ht="15.5">
      <c r="B109" s="172" t="s">
        <v>46</v>
      </c>
      <c r="C109" s="207">
        <v>1312</v>
      </c>
      <c r="D109" s="207">
        <v>2222</v>
      </c>
      <c r="E109" s="207">
        <v>358</v>
      </c>
      <c r="F109" s="207">
        <v>192</v>
      </c>
      <c r="G109" s="207">
        <v>575</v>
      </c>
      <c r="H109" s="207">
        <f>1609-E109-F109-G109</f>
        <v>484</v>
      </c>
      <c r="I109" s="207">
        <v>-218</v>
      </c>
      <c r="J109" s="207">
        <v>-84</v>
      </c>
      <c r="K109" s="207">
        <v>-267</v>
      </c>
      <c r="L109" s="207">
        <v>-130</v>
      </c>
      <c r="M109" s="207">
        <f>-ROUND(161225.72/1000,0)</f>
        <v>-161</v>
      </c>
      <c r="N109" s="207">
        <f>-ROUND(110194.07/1000,0)</f>
        <v>-110</v>
      </c>
      <c r="O109" s="207">
        <v>271</v>
      </c>
      <c r="P109" s="557">
        <v>0</v>
      </c>
      <c r="Q109" s="118"/>
      <c r="R109" s="118"/>
    </row>
    <row r="110" spans="2:18" ht="15.5">
      <c r="B110" s="174" t="s">
        <v>47</v>
      </c>
      <c r="C110" s="208">
        <f>+C105-C107+C108+C109</f>
        <v>54546</v>
      </c>
      <c r="D110" s="208">
        <f t="shared" ref="D110:P110" si="10">+D105-D107+D108+D109</f>
        <v>60266</v>
      </c>
      <c r="E110" s="208">
        <f t="shared" si="10"/>
        <v>16754</v>
      </c>
      <c r="F110" s="208">
        <f t="shared" si="10"/>
        <v>17973</v>
      </c>
      <c r="G110" s="208">
        <f t="shared" si="10"/>
        <v>18398</v>
      </c>
      <c r="H110" s="208">
        <f t="shared" si="10"/>
        <v>25173</v>
      </c>
      <c r="I110" s="208">
        <f t="shared" si="10"/>
        <v>19056</v>
      </c>
      <c r="J110" s="208">
        <f t="shared" si="10"/>
        <v>19897</v>
      </c>
      <c r="K110" s="208">
        <f t="shared" si="10"/>
        <v>20768</v>
      </c>
      <c r="L110" s="208">
        <f t="shared" si="10"/>
        <v>41056</v>
      </c>
      <c r="M110" s="208">
        <f t="shared" si="10"/>
        <v>19937</v>
      </c>
      <c r="N110" s="208">
        <f t="shared" si="10"/>
        <v>21571</v>
      </c>
      <c r="O110" s="208">
        <v>20566</v>
      </c>
      <c r="P110" s="559">
        <f t="shared" si="10"/>
        <v>17101</v>
      </c>
    </row>
    <row r="111" spans="2:18" ht="15.5">
      <c r="B111" s="172"/>
      <c r="C111" s="207"/>
      <c r="D111" s="207"/>
      <c r="E111" s="207"/>
      <c r="F111" s="207"/>
      <c r="G111" s="207"/>
      <c r="H111" s="207"/>
      <c r="I111" s="207"/>
      <c r="J111" s="207"/>
      <c r="K111" s="207"/>
      <c r="L111" s="207"/>
      <c r="M111" s="207"/>
      <c r="N111" s="207"/>
      <c r="O111" s="207"/>
      <c r="P111" s="557"/>
    </row>
    <row r="112" spans="2:18" ht="15.5">
      <c r="B112" s="172" t="s">
        <v>48</v>
      </c>
      <c r="C112" s="207">
        <v>-14091</v>
      </c>
      <c r="D112" s="207">
        <v>-11195</v>
      </c>
      <c r="E112" s="207">
        <v>-3430</v>
      </c>
      <c r="F112" s="207">
        <v>-2930</v>
      </c>
      <c r="G112" s="207">
        <v>-3295</v>
      </c>
      <c r="H112" s="207">
        <v>-3146</v>
      </c>
      <c r="I112" s="207">
        <v>-2574</v>
      </c>
      <c r="J112" s="207">
        <v>-3014</v>
      </c>
      <c r="K112" s="207">
        <v>-3347</v>
      </c>
      <c r="L112" s="207">
        <f>-10438-I112-J112-K112</f>
        <v>-1503</v>
      </c>
      <c r="M112" s="207">
        <v>-3889</v>
      </c>
      <c r="N112" s="207">
        <v>-4279</v>
      </c>
      <c r="O112" s="207">
        <v>-3844</v>
      </c>
      <c r="P112" s="557">
        <v>-2344</v>
      </c>
    </row>
    <row r="113" spans="1:16" ht="15.5">
      <c r="B113" s="174" t="s">
        <v>49</v>
      </c>
      <c r="C113" s="209">
        <f>+C110+C112</f>
        <v>40455</v>
      </c>
      <c r="D113" s="209">
        <f t="shared" ref="D113:P113" si="11">+D110+D112</f>
        <v>49071</v>
      </c>
      <c r="E113" s="209">
        <f t="shared" si="11"/>
        <v>13324</v>
      </c>
      <c r="F113" s="209">
        <f t="shared" si="11"/>
        <v>15043</v>
      </c>
      <c r="G113" s="209">
        <f t="shared" si="11"/>
        <v>15103</v>
      </c>
      <c r="H113" s="209">
        <f t="shared" si="11"/>
        <v>22027</v>
      </c>
      <c r="I113" s="209">
        <f t="shared" si="11"/>
        <v>16482</v>
      </c>
      <c r="J113" s="209">
        <f t="shared" si="11"/>
        <v>16883</v>
      </c>
      <c r="K113" s="209">
        <f t="shared" si="11"/>
        <v>17421</v>
      </c>
      <c r="L113" s="209">
        <f t="shared" si="11"/>
        <v>39553</v>
      </c>
      <c r="M113" s="209">
        <f t="shared" si="11"/>
        <v>16048</v>
      </c>
      <c r="N113" s="209">
        <f t="shared" si="11"/>
        <v>17292</v>
      </c>
      <c r="O113" s="209">
        <v>16722</v>
      </c>
      <c r="P113" s="560">
        <f t="shared" si="11"/>
        <v>14757</v>
      </c>
    </row>
    <row r="114" spans="1:16" ht="15.5">
      <c r="B114" s="171"/>
      <c r="C114" s="9"/>
      <c r="D114" s="9"/>
      <c r="E114" s="9"/>
      <c r="F114" s="9"/>
      <c r="G114" s="9"/>
      <c r="H114" s="9"/>
      <c r="I114" s="256"/>
      <c r="J114" s="256"/>
      <c r="K114" s="9"/>
      <c r="L114" s="9"/>
      <c r="M114" s="9"/>
      <c r="N114" s="9"/>
      <c r="O114" s="9"/>
      <c r="P114" s="556"/>
    </row>
    <row r="115" spans="1:16" ht="15.5">
      <c r="B115" s="172" t="s">
        <v>50</v>
      </c>
      <c r="C115" s="207">
        <v>10419</v>
      </c>
      <c r="D115" s="207">
        <v>18827</v>
      </c>
      <c r="E115" s="207">
        <v>3617</v>
      </c>
      <c r="F115" s="207">
        <v>4519</v>
      </c>
      <c r="G115" s="207">
        <v>4188</v>
      </c>
      <c r="H115" s="207">
        <v>6136</v>
      </c>
      <c r="I115" s="207">
        <v>4530</v>
      </c>
      <c r="J115" s="207">
        <v>5066</v>
      </c>
      <c r="K115" s="207">
        <v>4601</v>
      </c>
      <c r="L115" s="207">
        <v>11208</v>
      </c>
      <c r="M115" s="207">
        <v>4337</v>
      </c>
      <c r="N115" s="207">
        <v>4700</v>
      </c>
      <c r="O115" s="207">
        <v>4539</v>
      </c>
      <c r="P115" s="557">
        <v>5036</v>
      </c>
    </row>
    <row r="116" spans="1:16" ht="15.5">
      <c r="B116" s="174" t="s">
        <v>53</v>
      </c>
      <c r="C116" s="209">
        <f>+C113-C115</f>
        <v>30036</v>
      </c>
      <c r="D116" s="209">
        <f t="shared" ref="D116:P116" si="12">+D113-D115</f>
        <v>30244</v>
      </c>
      <c r="E116" s="209">
        <f t="shared" si="12"/>
        <v>9707</v>
      </c>
      <c r="F116" s="209">
        <f t="shared" si="12"/>
        <v>10524</v>
      </c>
      <c r="G116" s="209">
        <f t="shared" si="12"/>
        <v>10915</v>
      </c>
      <c r="H116" s="209">
        <f t="shared" si="12"/>
        <v>15891</v>
      </c>
      <c r="I116" s="209">
        <f t="shared" si="12"/>
        <v>11952</v>
      </c>
      <c r="J116" s="209">
        <f t="shared" si="12"/>
        <v>11817</v>
      </c>
      <c r="K116" s="209">
        <f t="shared" si="12"/>
        <v>12820</v>
      </c>
      <c r="L116" s="209">
        <f t="shared" si="12"/>
        <v>28345</v>
      </c>
      <c r="M116" s="209">
        <f t="shared" si="12"/>
        <v>11711</v>
      </c>
      <c r="N116" s="209">
        <f t="shared" si="12"/>
        <v>12592</v>
      </c>
      <c r="O116" s="209">
        <v>12183</v>
      </c>
      <c r="P116" s="560">
        <f t="shared" si="12"/>
        <v>9721</v>
      </c>
    </row>
    <row r="117" spans="1:16" ht="15.5">
      <c r="B117" s="257"/>
      <c r="C117" s="167"/>
      <c r="D117" s="167"/>
      <c r="E117" s="167"/>
      <c r="F117" s="167"/>
      <c r="G117" s="167"/>
      <c r="H117" s="167"/>
      <c r="I117" s="167"/>
      <c r="J117" s="167"/>
      <c r="K117" s="167"/>
      <c r="L117" s="167"/>
      <c r="M117" s="167"/>
      <c r="N117" s="167"/>
      <c r="O117" s="167"/>
      <c r="P117" s="167"/>
    </row>
    <row r="118" spans="1:16" ht="15.5">
      <c r="B118" s="257"/>
      <c r="C118" s="167"/>
      <c r="D118" s="167"/>
      <c r="E118" s="167"/>
      <c r="F118" s="167"/>
      <c r="G118" s="167"/>
      <c r="H118" s="167"/>
      <c r="I118" s="167"/>
      <c r="J118" s="167"/>
      <c r="K118" s="167"/>
      <c r="L118" s="167"/>
      <c r="M118" s="167"/>
      <c r="N118" s="167"/>
      <c r="O118" s="167"/>
      <c r="P118" s="167"/>
    </row>
    <row r="119" spans="1:16" ht="15.5">
      <c r="A119" s="119" t="s">
        <v>105</v>
      </c>
      <c r="B119" s="12" t="s">
        <v>337</v>
      </c>
      <c r="C119" s="33"/>
      <c r="D119" s="33"/>
      <c r="E119" s="34"/>
      <c r="F119" s="167"/>
      <c r="G119" s="33"/>
      <c r="H119" s="33"/>
      <c r="I119" s="34"/>
      <c r="J119" s="33"/>
      <c r="K119" s="33"/>
      <c r="L119" s="33"/>
      <c r="M119" s="34"/>
      <c r="N119" s="33"/>
      <c r="O119" s="33"/>
      <c r="P119" s="562"/>
    </row>
    <row r="120" spans="1:16" ht="15.5">
      <c r="B120" s="573" t="s">
        <v>19</v>
      </c>
      <c r="C120" s="233"/>
      <c r="D120" s="233"/>
      <c r="E120" s="233"/>
      <c r="F120" s="233"/>
      <c r="G120" s="233"/>
      <c r="H120" s="233"/>
      <c r="I120" s="233"/>
      <c r="J120" s="233"/>
      <c r="K120" s="233"/>
      <c r="L120" s="233"/>
      <c r="M120" s="233"/>
      <c r="N120" s="233"/>
      <c r="O120" s="233"/>
      <c r="P120" s="561"/>
    </row>
    <row r="121" spans="1:16" ht="15.5" thickBot="1">
      <c r="B121" s="553"/>
      <c r="C121" s="554">
        <v>2016</v>
      </c>
      <c r="D121" s="554">
        <v>2017</v>
      </c>
      <c r="E121" s="554" t="s">
        <v>20</v>
      </c>
      <c r="F121" s="554" t="s">
        <v>21</v>
      </c>
      <c r="G121" s="554" t="s">
        <v>22</v>
      </c>
      <c r="H121" s="554" t="s">
        <v>23</v>
      </c>
      <c r="I121" s="554" t="s">
        <v>24</v>
      </c>
      <c r="J121" s="554" t="s">
        <v>25</v>
      </c>
      <c r="K121" s="554" t="s">
        <v>26</v>
      </c>
      <c r="L121" s="554" t="s">
        <v>27</v>
      </c>
      <c r="M121" s="554" t="s">
        <v>28</v>
      </c>
      <c r="N121" s="554" t="s">
        <v>29</v>
      </c>
      <c r="O121" s="554" t="s">
        <v>30</v>
      </c>
      <c r="P121" s="555" t="s">
        <v>954</v>
      </c>
    </row>
    <row r="122" spans="1:16" ht="15.5" thickBot="1">
      <c r="B122" s="214" t="s">
        <v>56</v>
      </c>
      <c r="C122" s="215"/>
      <c r="D122" s="215"/>
      <c r="E122" s="215"/>
      <c r="F122" s="215"/>
      <c r="G122" s="215"/>
      <c r="H122" s="215"/>
      <c r="I122" s="215"/>
      <c r="J122" s="215"/>
      <c r="K122" s="215"/>
      <c r="L122" s="215"/>
      <c r="M122" s="215"/>
      <c r="N122" s="215"/>
      <c r="O122" s="215"/>
      <c r="P122" s="563"/>
    </row>
    <row r="123" spans="1:16" ht="15.5" thickBot="1">
      <c r="B123" s="216" t="s">
        <v>57</v>
      </c>
      <c r="C123" s="217"/>
      <c r="D123" s="217"/>
      <c r="E123" s="217"/>
      <c r="F123" s="217"/>
      <c r="G123" s="217"/>
      <c r="H123" s="217"/>
      <c r="I123" s="217"/>
      <c r="J123" s="217"/>
      <c r="K123" s="217"/>
      <c r="L123" s="217"/>
      <c r="M123" s="217"/>
      <c r="N123" s="245"/>
      <c r="O123" s="245"/>
      <c r="P123" s="564"/>
    </row>
    <row r="124" spans="1:16" ht="15.5">
      <c r="B124" s="172" t="s">
        <v>58</v>
      </c>
      <c r="C124" s="207">
        <v>12954</v>
      </c>
      <c r="D124" s="207">
        <v>16516</v>
      </c>
      <c r="E124" s="207">
        <v>50094</v>
      </c>
      <c r="F124" s="207">
        <v>15029</v>
      </c>
      <c r="G124" s="207">
        <v>20655</v>
      </c>
      <c r="H124" s="207">
        <v>15110</v>
      </c>
      <c r="I124" s="207">
        <v>26636</v>
      </c>
      <c r="J124" s="207">
        <v>5281</v>
      </c>
      <c r="K124" s="207">
        <v>2631</v>
      </c>
      <c r="L124" s="207">
        <v>18809</v>
      </c>
      <c r="M124" s="207">
        <v>83848</v>
      </c>
      <c r="N124" s="207">
        <v>34398</v>
      </c>
      <c r="O124" s="207">
        <v>5725</v>
      </c>
      <c r="P124" s="557">
        <v>12617</v>
      </c>
    </row>
    <row r="125" spans="1:16" ht="15.5">
      <c r="B125" s="172" t="s">
        <v>317</v>
      </c>
      <c r="C125" s="207">
        <v>17931</v>
      </c>
      <c r="D125" s="207">
        <v>17804</v>
      </c>
      <c r="E125" s="207">
        <v>19522</v>
      </c>
      <c r="F125" s="207">
        <v>20736</v>
      </c>
      <c r="G125" s="207">
        <v>20980</v>
      </c>
      <c r="H125" s="207">
        <v>27724</v>
      </c>
      <c r="I125" s="207">
        <v>26728</v>
      </c>
      <c r="J125" s="207">
        <v>26095</v>
      </c>
      <c r="K125" s="207">
        <v>24761</v>
      </c>
      <c r="L125" s="207">
        <v>23202</v>
      </c>
      <c r="M125" s="207">
        <v>19902</v>
      </c>
      <c r="N125" s="207">
        <v>19622</v>
      </c>
      <c r="O125" s="207">
        <v>20037</v>
      </c>
      <c r="P125" s="557">
        <v>19787</v>
      </c>
    </row>
    <row r="126" spans="1:16" ht="15.5">
      <c r="B126" s="172" t="s">
        <v>338</v>
      </c>
      <c r="C126" s="207">
        <v>769</v>
      </c>
      <c r="D126" s="207">
        <v>1477</v>
      </c>
      <c r="E126" s="207">
        <v>1270</v>
      </c>
      <c r="F126" s="207">
        <v>931</v>
      </c>
      <c r="G126" s="207">
        <v>468</v>
      </c>
      <c r="H126" s="207">
        <v>970</v>
      </c>
      <c r="I126" s="207">
        <v>709</v>
      </c>
      <c r="J126" s="207">
        <v>1948</v>
      </c>
      <c r="K126" s="207">
        <v>1181</v>
      </c>
      <c r="L126" s="207">
        <v>1259</v>
      </c>
      <c r="M126" s="207">
        <v>1568</v>
      </c>
      <c r="N126" s="207">
        <v>1159</v>
      </c>
      <c r="O126" s="207">
        <v>1634</v>
      </c>
      <c r="P126" s="557">
        <v>854</v>
      </c>
    </row>
    <row r="127" spans="1:16" ht="15.5">
      <c r="B127" s="172" t="s">
        <v>318</v>
      </c>
      <c r="C127" s="207">
        <v>4662</v>
      </c>
      <c r="D127" s="207">
        <v>2715</v>
      </c>
      <c r="E127" s="207">
        <v>3596</v>
      </c>
      <c r="F127" s="207">
        <v>4652</v>
      </c>
      <c r="G127" s="207">
        <v>4096</v>
      </c>
      <c r="H127" s="207">
        <v>2324</v>
      </c>
      <c r="I127" s="207">
        <v>1930</v>
      </c>
      <c r="J127" s="207">
        <v>1643</v>
      </c>
      <c r="K127" s="207">
        <v>3589</v>
      </c>
      <c r="L127" s="207">
        <v>5044</v>
      </c>
      <c r="M127" s="207">
        <v>4869</v>
      </c>
      <c r="N127" s="207">
        <v>4108</v>
      </c>
      <c r="O127" s="207">
        <v>2740</v>
      </c>
      <c r="P127" s="557">
        <v>3745</v>
      </c>
    </row>
    <row r="128" spans="1:16" ht="15.5">
      <c r="B128" s="172" t="s">
        <v>339</v>
      </c>
      <c r="C128" s="207">
        <v>10198</v>
      </c>
      <c r="D128" s="207">
        <v>9221</v>
      </c>
      <c r="E128" s="207">
        <v>9241</v>
      </c>
      <c r="F128" s="207">
        <v>10129</v>
      </c>
      <c r="G128" s="207">
        <v>10316</v>
      </c>
      <c r="H128" s="207">
        <v>10836</v>
      </c>
      <c r="I128" s="207">
        <v>9527</v>
      </c>
      <c r="J128" s="207">
        <v>9316</v>
      </c>
      <c r="K128" s="207">
        <v>9487</v>
      </c>
      <c r="L128" s="207">
        <v>11562</v>
      </c>
      <c r="M128" s="207">
        <v>11626</v>
      </c>
      <c r="N128" s="207">
        <v>11004</v>
      </c>
      <c r="O128" s="207">
        <v>11001</v>
      </c>
      <c r="P128" s="557">
        <v>10698</v>
      </c>
    </row>
    <row r="129" spans="2:16" ht="15.5">
      <c r="B129" s="172" t="s">
        <v>123</v>
      </c>
      <c r="C129" s="207">
        <v>0</v>
      </c>
      <c r="D129" s="207">
        <v>0</v>
      </c>
      <c r="E129" s="207">
        <v>0</v>
      </c>
      <c r="F129" s="207">
        <v>0</v>
      </c>
      <c r="G129" s="207">
        <v>0</v>
      </c>
      <c r="H129" s="207">
        <v>0</v>
      </c>
      <c r="I129" s="207">
        <v>0</v>
      </c>
      <c r="J129" s="207">
        <v>0</v>
      </c>
      <c r="K129" s="207">
        <v>0</v>
      </c>
      <c r="L129" s="207">
        <v>2900</v>
      </c>
      <c r="M129" s="207">
        <v>0</v>
      </c>
      <c r="N129" s="207">
        <v>0</v>
      </c>
      <c r="O129" s="207">
        <v>0</v>
      </c>
      <c r="P129" s="557">
        <v>8206</v>
      </c>
    </row>
    <row r="130" spans="2:16" ht="16" thickBot="1">
      <c r="B130" s="172" t="s">
        <v>340</v>
      </c>
      <c r="C130" s="207">
        <v>93</v>
      </c>
      <c r="D130" s="207">
        <v>858</v>
      </c>
      <c r="E130" s="207">
        <v>583</v>
      </c>
      <c r="F130" s="207">
        <v>402</v>
      </c>
      <c r="G130" s="207">
        <v>2367</v>
      </c>
      <c r="H130" s="207">
        <v>1814</v>
      </c>
      <c r="I130" s="207">
        <v>1506</v>
      </c>
      <c r="J130" s="207">
        <v>1027</v>
      </c>
      <c r="K130" s="207">
        <v>541</v>
      </c>
      <c r="L130" s="207">
        <v>114</v>
      </c>
      <c r="M130" s="207">
        <v>2205</v>
      </c>
      <c r="N130" s="207">
        <v>1585</v>
      </c>
      <c r="O130" s="207">
        <v>1450</v>
      </c>
      <c r="P130" s="557">
        <v>913</v>
      </c>
    </row>
    <row r="131" spans="2:16" ht="15.5" thickBot="1">
      <c r="B131" s="219" t="s">
        <v>64</v>
      </c>
      <c r="C131" s="220">
        <v>46607</v>
      </c>
      <c r="D131" s="220">
        <v>48591</v>
      </c>
      <c r="E131" s="220">
        <v>84306</v>
      </c>
      <c r="F131" s="220">
        <v>51879</v>
      </c>
      <c r="G131" s="220">
        <v>58882</v>
      </c>
      <c r="H131" s="220">
        <v>58778</v>
      </c>
      <c r="I131" s="220">
        <v>67036</v>
      </c>
      <c r="J131" s="220">
        <v>45310</v>
      </c>
      <c r="K131" s="220">
        <v>42190</v>
      </c>
      <c r="L131" s="220">
        <v>62890</v>
      </c>
      <c r="M131" s="220">
        <v>124018</v>
      </c>
      <c r="N131" s="246">
        <v>71876</v>
      </c>
      <c r="O131" s="246">
        <v>42587</v>
      </c>
      <c r="P131" s="565">
        <f>SUM(P124:P130)</f>
        <v>56820</v>
      </c>
    </row>
    <row r="132" spans="2:16" ht="15.5" thickBot="1">
      <c r="B132" s="216" t="s">
        <v>65</v>
      </c>
      <c r="C132" s="217"/>
      <c r="D132" s="217"/>
      <c r="E132" s="217"/>
      <c r="F132" s="217"/>
      <c r="G132" s="217"/>
      <c r="H132" s="217"/>
      <c r="I132" s="217"/>
      <c r="J132" s="217"/>
      <c r="K132" s="217"/>
      <c r="L132" s="217"/>
      <c r="M132" s="217"/>
      <c r="N132" s="245"/>
      <c r="O132" s="245"/>
      <c r="P132" s="564"/>
    </row>
    <row r="133" spans="2:16" ht="15.5">
      <c r="B133" s="172" t="s">
        <v>341</v>
      </c>
      <c r="C133" s="207">
        <v>0</v>
      </c>
      <c r="D133" s="207">
        <v>486</v>
      </c>
      <c r="E133" s="207">
        <v>0</v>
      </c>
      <c r="F133" s="207">
        <v>0</v>
      </c>
      <c r="G133" s="207">
        <v>0</v>
      </c>
      <c r="H133" s="207">
        <v>0</v>
      </c>
      <c r="I133" s="207">
        <v>0</v>
      </c>
      <c r="J133" s="207">
        <v>0</v>
      </c>
      <c r="K133" s="207">
        <v>0</v>
      </c>
      <c r="L133" s="207">
        <v>0</v>
      </c>
      <c r="M133" s="207">
        <v>0</v>
      </c>
      <c r="N133" s="207">
        <v>0</v>
      </c>
      <c r="O133" s="207">
        <v>0</v>
      </c>
      <c r="P133" s="557">
        <v>0</v>
      </c>
    </row>
    <row r="134" spans="2:16" ht="15.5">
      <c r="B134" s="172" t="s">
        <v>342</v>
      </c>
      <c r="C134" s="207">
        <v>1051</v>
      </c>
      <c r="D134" s="207">
        <v>965</v>
      </c>
      <c r="E134" s="207">
        <v>951</v>
      </c>
      <c r="F134" s="207">
        <v>920</v>
      </c>
      <c r="G134" s="207">
        <v>897</v>
      </c>
      <c r="H134" s="207">
        <v>875</v>
      </c>
      <c r="I134" s="207">
        <v>853</v>
      </c>
      <c r="J134" s="207">
        <v>831</v>
      </c>
      <c r="K134" s="207">
        <v>807</v>
      </c>
      <c r="L134" s="207">
        <v>784</v>
      </c>
      <c r="M134" s="207">
        <v>769</v>
      </c>
      <c r="N134" s="207">
        <v>738</v>
      </c>
      <c r="O134" s="207">
        <v>645</v>
      </c>
      <c r="P134" s="557">
        <v>1047</v>
      </c>
    </row>
    <row r="135" spans="2:16" ht="15.5">
      <c r="B135" s="172" t="s">
        <v>343</v>
      </c>
      <c r="C135" s="207">
        <v>5087</v>
      </c>
      <c r="D135" s="207">
        <v>4950</v>
      </c>
      <c r="E135" s="207">
        <v>4942</v>
      </c>
      <c r="F135" s="207">
        <v>4907</v>
      </c>
      <c r="G135" s="207">
        <v>4873</v>
      </c>
      <c r="H135" s="207">
        <v>4859</v>
      </c>
      <c r="I135" s="207">
        <v>4829</v>
      </c>
      <c r="J135" s="207">
        <v>4797</v>
      </c>
      <c r="K135" s="207">
        <v>4762</v>
      </c>
      <c r="L135" s="207">
        <v>4714</v>
      </c>
      <c r="M135" s="207">
        <v>4692</v>
      </c>
      <c r="N135" s="207">
        <v>4643</v>
      </c>
      <c r="O135" s="207">
        <v>4600</v>
      </c>
      <c r="P135" s="557">
        <v>4558</v>
      </c>
    </row>
    <row r="136" spans="2:16" ht="15.5">
      <c r="B136" s="172" t="s">
        <v>344</v>
      </c>
      <c r="C136" s="207">
        <v>13915</v>
      </c>
      <c r="D136" s="207">
        <v>11392</v>
      </c>
      <c r="E136" s="207">
        <v>10908</v>
      </c>
      <c r="F136" s="207">
        <v>10443</v>
      </c>
      <c r="G136" s="207">
        <v>10194</v>
      </c>
      <c r="H136" s="207">
        <v>10130</v>
      </c>
      <c r="I136" s="207">
        <v>9757</v>
      </c>
      <c r="J136" s="207">
        <v>9412</v>
      </c>
      <c r="K136" s="207">
        <v>8981</v>
      </c>
      <c r="L136" s="207">
        <v>8688</v>
      </c>
      <c r="M136" s="207">
        <v>8547</v>
      </c>
      <c r="N136" s="207">
        <v>8619</v>
      </c>
      <c r="O136" s="207">
        <v>7495</v>
      </c>
      <c r="P136" s="557">
        <v>9982</v>
      </c>
    </row>
    <row r="137" spans="2:16" ht="15.5">
      <c r="B137" s="172" t="s">
        <v>345</v>
      </c>
      <c r="C137" s="207">
        <v>0</v>
      </c>
      <c r="D137" s="207">
        <v>0</v>
      </c>
      <c r="E137" s="207">
        <v>0</v>
      </c>
      <c r="F137" s="207">
        <v>0</v>
      </c>
      <c r="G137" s="207">
        <v>0</v>
      </c>
      <c r="H137" s="207">
        <v>0</v>
      </c>
      <c r="I137" s="207">
        <v>0</v>
      </c>
      <c r="J137" s="207">
        <v>0</v>
      </c>
      <c r="K137" s="207">
        <v>0</v>
      </c>
      <c r="L137" s="207">
        <v>8178</v>
      </c>
      <c r="M137" s="207">
        <v>8021</v>
      </c>
      <c r="N137" s="207">
        <v>7863</v>
      </c>
      <c r="O137" s="207">
        <v>8673</v>
      </c>
      <c r="P137" s="557">
        <v>7851</v>
      </c>
    </row>
    <row r="138" spans="2:16" ht="15.5">
      <c r="B138" s="172" t="s">
        <v>346</v>
      </c>
      <c r="C138" s="207">
        <v>460058</v>
      </c>
      <c r="D138" s="207">
        <v>449579</v>
      </c>
      <c r="E138" s="207">
        <v>442321</v>
      </c>
      <c r="F138" s="207">
        <v>435023</v>
      </c>
      <c r="G138" s="207">
        <v>428216</v>
      </c>
      <c r="H138" s="207">
        <v>431266</v>
      </c>
      <c r="I138" s="207">
        <v>427302</v>
      </c>
      <c r="J138" s="207">
        <v>421072</v>
      </c>
      <c r="K138" s="207">
        <v>413561</v>
      </c>
      <c r="L138" s="207">
        <v>427337</v>
      </c>
      <c r="M138" s="207">
        <v>424263</v>
      </c>
      <c r="N138" s="207">
        <v>421959</v>
      </c>
      <c r="O138" s="207">
        <v>426470</v>
      </c>
      <c r="P138" s="557">
        <v>421755</v>
      </c>
    </row>
    <row r="139" spans="2:16" ht="15.5" thickBot="1">
      <c r="B139" s="216" t="s">
        <v>78</v>
      </c>
      <c r="C139" s="221">
        <v>480111</v>
      </c>
      <c r="D139" s="221">
        <v>467372</v>
      </c>
      <c r="E139" s="221">
        <v>459122</v>
      </c>
      <c r="F139" s="221">
        <v>451293</v>
      </c>
      <c r="G139" s="221">
        <v>444180</v>
      </c>
      <c r="H139" s="221">
        <v>447130</v>
      </c>
      <c r="I139" s="221">
        <v>442741</v>
      </c>
      <c r="J139" s="221">
        <v>436112</v>
      </c>
      <c r="K139" s="221">
        <v>428111</v>
      </c>
      <c r="L139" s="221">
        <v>449701</v>
      </c>
      <c r="M139" s="221">
        <v>446292</v>
      </c>
      <c r="N139" s="247">
        <v>443822</v>
      </c>
      <c r="O139" s="247">
        <v>447883</v>
      </c>
      <c r="P139" s="566">
        <f>SUM(P133:P138)</f>
        <v>445193</v>
      </c>
    </row>
    <row r="140" spans="2:16" ht="15.5" thickBot="1">
      <c r="B140" s="222" t="s">
        <v>79</v>
      </c>
      <c r="C140" s="223">
        <v>526718</v>
      </c>
      <c r="D140" s="223">
        <v>515963</v>
      </c>
      <c r="E140" s="223">
        <v>543428</v>
      </c>
      <c r="F140" s="223">
        <v>503172</v>
      </c>
      <c r="G140" s="223">
        <v>503062</v>
      </c>
      <c r="H140" s="223">
        <v>505908</v>
      </c>
      <c r="I140" s="223">
        <v>509777</v>
      </c>
      <c r="J140" s="223">
        <v>481422</v>
      </c>
      <c r="K140" s="223">
        <v>470301</v>
      </c>
      <c r="L140" s="223">
        <v>512591</v>
      </c>
      <c r="M140" s="223">
        <v>570310</v>
      </c>
      <c r="N140" s="248">
        <v>515698</v>
      </c>
      <c r="O140" s="248">
        <v>490470</v>
      </c>
      <c r="P140" s="567">
        <f>P131+P139</f>
        <v>502013</v>
      </c>
    </row>
    <row r="141" spans="2:16" ht="15.5" thickBot="1">
      <c r="B141" s="224"/>
      <c r="C141" s="225"/>
      <c r="D141" s="225"/>
      <c r="E141" s="225"/>
      <c r="F141" s="225"/>
      <c r="G141" s="225"/>
      <c r="H141" s="225"/>
      <c r="I141" s="225"/>
      <c r="J141" s="225"/>
      <c r="K141" s="225"/>
      <c r="L141" s="225"/>
      <c r="M141" s="225"/>
      <c r="N141" s="249"/>
      <c r="O141" s="249"/>
      <c r="P141" s="568"/>
    </row>
    <row r="142" spans="2:16" ht="15.5" thickBot="1">
      <c r="B142" s="214" t="s">
        <v>80</v>
      </c>
      <c r="C142" s="226"/>
      <c r="D142" s="226"/>
      <c r="E142" s="226"/>
      <c r="F142" s="226"/>
      <c r="G142" s="226"/>
      <c r="H142" s="226"/>
      <c r="I142" s="226"/>
      <c r="J142" s="226"/>
      <c r="K142" s="226"/>
      <c r="L142" s="226"/>
      <c r="M142" s="226"/>
      <c r="N142" s="250"/>
      <c r="O142" s="250"/>
      <c r="P142" s="569"/>
    </row>
    <row r="143" spans="2:16" ht="15.5" thickBot="1">
      <c r="B143" s="216" t="s">
        <v>81</v>
      </c>
      <c r="C143" s="227"/>
      <c r="D143" s="227"/>
      <c r="E143" s="227"/>
      <c r="F143" s="227"/>
      <c r="G143" s="227"/>
      <c r="H143" s="227"/>
      <c r="I143" s="227"/>
      <c r="J143" s="227"/>
      <c r="K143" s="227"/>
      <c r="L143" s="227"/>
      <c r="M143" s="227"/>
      <c r="N143" s="251"/>
      <c r="O143" s="251"/>
      <c r="P143" s="570"/>
    </row>
    <row r="144" spans="2:16" ht="15.5">
      <c r="B144" s="172" t="s">
        <v>323</v>
      </c>
      <c r="C144" s="207">
        <v>11450</v>
      </c>
      <c r="D144" s="207">
        <v>8714</v>
      </c>
      <c r="E144" s="207">
        <v>5921</v>
      </c>
      <c r="F144" s="207">
        <v>5349</v>
      </c>
      <c r="G144" s="207">
        <v>4755</v>
      </c>
      <c r="H144" s="207">
        <v>11309</v>
      </c>
      <c r="I144" s="207">
        <v>6822</v>
      </c>
      <c r="J144" s="207">
        <v>5120</v>
      </c>
      <c r="K144" s="207">
        <v>4322</v>
      </c>
      <c r="L144" s="207">
        <v>10451</v>
      </c>
      <c r="M144" s="207">
        <v>5498</v>
      </c>
      <c r="N144" s="207">
        <v>4317</v>
      </c>
      <c r="O144" s="207">
        <v>8840</v>
      </c>
      <c r="P144" s="557">
        <v>11085</v>
      </c>
    </row>
    <row r="145" spans="2:16" ht="15.5">
      <c r="B145" s="172" t="s">
        <v>347</v>
      </c>
      <c r="C145" s="207">
        <v>1777</v>
      </c>
      <c r="D145" s="207">
        <v>1424</v>
      </c>
      <c r="E145" s="207">
        <v>41547</v>
      </c>
      <c r="F145" s="207">
        <v>773</v>
      </c>
      <c r="G145" s="207">
        <v>1262</v>
      </c>
      <c r="H145" s="207">
        <v>1778</v>
      </c>
      <c r="I145" s="207">
        <v>61817</v>
      </c>
      <c r="J145" s="207">
        <v>1019</v>
      </c>
      <c r="K145" s="207">
        <v>1583</v>
      </c>
      <c r="L145" s="207">
        <v>2065</v>
      </c>
      <c r="M145" s="207">
        <v>1028</v>
      </c>
      <c r="N145" s="207">
        <v>1295</v>
      </c>
      <c r="O145" s="207">
        <v>1827</v>
      </c>
      <c r="P145" s="557">
        <v>2205</v>
      </c>
    </row>
    <row r="146" spans="2:16" ht="15.5">
      <c r="B146" s="172" t="s">
        <v>348</v>
      </c>
      <c r="C146" s="207">
        <v>1523</v>
      </c>
      <c r="D146" s="207">
        <v>3723</v>
      </c>
      <c r="E146" s="207">
        <v>2826</v>
      </c>
      <c r="F146" s="207">
        <v>3633</v>
      </c>
      <c r="G146" s="207">
        <v>5398</v>
      </c>
      <c r="H146" s="207">
        <v>7378</v>
      </c>
      <c r="I146" s="207">
        <v>5283</v>
      </c>
      <c r="J146" s="207">
        <v>2407</v>
      </c>
      <c r="K146" s="207">
        <v>2818</v>
      </c>
      <c r="L146" s="207">
        <v>3276</v>
      </c>
      <c r="M146" s="207">
        <v>1293</v>
      </c>
      <c r="N146" s="207">
        <v>2946</v>
      </c>
      <c r="O146" s="207">
        <v>1655</v>
      </c>
      <c r="P146" s="557">
        <v>3914</v>
      </c>
    </row>
    <row r="147" spans="2:16" ht="15.5">
      <c r="B147" s="172" t="s">
        <v>324</v>
      </c>
      <c r="C147" s="207">
        <v>8344</v>
      </c>
      <c r="D147" s="207">
        <v>7385</v>
      </c>
      <c r="E147" s="207">
        <v>9019</v>
      </c>
      <c r="F147" s="207">
        <v>9011</v>
      </c>
      <c r="G147" s="207">
        <v>10392</v>
      </c>
      <c r="H147" s="207">
        <v>9223</v>
      </c>
      <c r="I147" s="207">
        <v>9244</v>
      </c>
      <c r="J147" s="207">
        <v>9188</v>
      </c>
      <c r="K147" s="207">
        <v>9847</v>
      </c>
      <c r="L147" s="207">
        <v>8502</v>
      </c>
      <c r="M147" s="207">
        <v>9283</v>
      </c>
      <c r="N147" s="207">
        <v>10035</v>
      </c>
      <c r="O147" s="207">
        <v>10974</v>
      </c>
      <c r="P147" s="557">
        <f>2875+6614</f>
        <v>9489</v>
      </c>
    </row>
    <row r="148" spans="2:16" ht="15.5">
      <c r="B148" s="172" t="s">
        <v>86</v>
      </c>
      <c r="C148" s="207">
        <v>10683</v>
      </c>
      <c r="D148" s="207">
        <v>13110</v>
      </c>
      <c r="E148" s="207">
        <v>13044</v>
      </c>
      <c r="F148" s="207">
        <v>13128</v>
      </c>
      <c r="G148" s="207">
        <v>12915</v>
      </c>
      <c r="H148" s="207">
        <v>15206</v>
      </c>
      <c r="I148" s="207">
        <v>15377</v>
      </c>
      <c r="J148" s="207">
        <v>15206</v>
      </c>
      <c r="K148" s="207">
        <v>14860</v>
      </c>
      <c r="L148" s="207">
        <v>16876</v>
      </c>
      <c r="M148" s="207">
        <v>16844</v>
      </c>
      <c r="N148" s="207">
        <v>16909</v>
      </c>
      <c r="O148" s="207">
        <v>16909</v>
      </c>
      <c r="P148" s="557">
        <v>16382</v>
      </c>
    </row>
    <row r="149" spans="2:16" ht="15.5">
      <c r="B149" s="172" t="s">
        <v>349</v>
      </c>
      <c r="C149" s="207">
        <v>45993</v>
      </c>
      <c r="D149" s="207">
        <v>75887</v>
      </c>
      <c r="E149" s="207">
        <v>45887</v>
      </c>
      <c r="F149" s="207">
        <v>45282</v>
      </c>
      <c r="G149" s="207">
        <v>72793</v>
      </c>
      <c r="H149" s="207">
        <v>72089</v>
      </c>
      <c r="I149" s="207">
        <v>71601</v>
      </c>
      <c r="J149" s="207">
        <v>71358</v>
      </c>
      <c r="K149" s="207">
        <v>3358</v>
      </c>
      <c r="L149" s="207">
        <v>3730</v>
      </c>
      <c r="M149" s="207">
        <v>58359</v>
      </c>
      <c r="N149" s="207">
        <v>58360</v>
      </c>
      <c r="O149" s="207">
        <v>18360</v>
      </c>
      <c r="P149" s="557">
        <v>19049</v>
      </c>
    </row>
    <row r="150" spans="2:16" ht="15.5" thickBot="1">
      <c r="B150" s="216" t="s">
        <v>89</v>
      </c>
      <c r="C150" s="221">
        <v>79770</v>
      </c>
      <c r="D150" s="221">
        <v>110243</v>
      </c>
      <c r="E150" s="221">
        <v>118244</v>
      </c>
      <c r="F150" s="221">
        <v>77176</v>
      </c>
      <c r="G150" s="221">
        <v>107515</v>
      </c>
      <c r="H150" s="221">
        <v>116983</v>
      </c>
      <c r="I150" s="221">
        <v>170144</v>
      </c>
      <c r="J150" s="221">
        <v>104298</v>
      </c>
      <c r="K150" s="221">
        <v>36788</v>
      </c>
      <c r="L150" s="221">
        <v>44900</v>
      </c>
      <c r="M150" s="221">
        <v>92305</v>
      </c>
      <c r="N150" s="247">
        <v>93862</v>
      </c>
      <c r="O150" s="247">
        <v>58565</v>
      </c>
      <c r="P150" s="566">
        <f>SUM(P144:P149)</f>
        <v>62124</v>
      </c>
    </row>
    <row r="151" spans="2:16" ht="15.5" thickBot="1">
      <c r="B151" s="228" t="s">
        <v>90</v>
      </c>
      <c r="C151" s="229"/>
      <c r="D151" s="229"/>
      <c r="E151" s="229"/>
      <c r="F151" s="229"/>
      <c r="G151" s="229"/>
      <c r="H151" s="229"/>
      <c r="I151" s="229"/>
      <c r="J151" s="229"/>
      <c r="K151" s="229"/>
      <c r="L151" s="229"/>
      <c r="M151" s="229"/>
      <c r="N151" s="252"/>
      <c r="O151" s="252"/>
      <c r="P151" s="571"/>
    </row>
    <row r="152" spans="2:16" ht="15.5">
      <c r="B152" s="172" t="s">
        <v>350</v>
      </c>
      <c r="C152" s="207">
        <v>232</v>
      </c>
      <c r="D152" s="207">
        <v>105</v>
      </c>
      <c r="E152" s="207">
        <v>73</v>
      </c>
      <c r="F152" s="207">
        <v>32</v>
      </c>
      <c r="G152" s="207">
        <v>0</v>
      </c>
      <c r="H152" s="207">
        <v>0</v>
      </c>
      <c r="I152" s="207">
        <v>0</v>
      </c>
      <c r="J152" s="207">
        <v>0</v>
      </c>
      <c r="K152" s="207">
        <v>0</v>
      </c>
      <c r="L152" s="207">
        <v>0</v>
      </c>
      <c r="M152" s="207">
        <v>7983</v>
      </c>
      <c r="N152" s="207">
        <v>8139</v>
      </c>
      <c r="O152" s="207">
        <v>7998</v>
      </c>
      <c r="P152" s="557">
        <v>125</v>
      </c>
    </row>
    <row r="153" spans="2:16" ht="15.5">
      <c r="B153" s="172" t="s">
        <v>351</v>
      </c>
      <c r="C153" s="207">
        <v>29340</v>
      </c>
      <c r="D153" s="207">
        <v>30048</v>
      </c>
      <c r="E153" s="207">
        <v>32825</v>
      </c>
      <c r="F153" s="207">
        <v>35334</v>
      </c>
      <c r="G153" s="207">
        <v>36492</v>
      </c>
      <c r="H153" s="207">
        <v>28464</v>
      </c>
      <c r="I153" s="207">
        <v>29539</v>
      </c>
      <c r="J153" s="207">
        <v>30928</v>
      </c>
      <c r="K153" s="207">
        <v>32270</v>
      </c>
      <c r="L153" s="207">
        <v>23534</v>
      </c>
      <c r="M153" s="207">
        <v>25061</v>
      </c>
      <c r="N153" s="207">
        <v>27403</v>
      </c>
      <c r="O153" s="207">
        <v>27069</v>
      </c>
      <c r="P153" s="557">
        <v>24170</v>
      </c>
    </row>
    <row r="154" spans="2:16" ht="15.5">
      <c r="B154" s="172" t="s">
        <v>352</v>
      </c>
      <c r="C154" s="207">
        <v>178724</v>
      </c>
      <c r="D154" s="207">
        <v>144712</v>
      </c>
      <c r="E154" s="207">
        <v>192993</v>
      </c>
      <c r="F154" s="207">
        <v>181203</v>
      </c>
      <c r="G154" s="207">
        <v>139125</v>
      </c>
      <c r="H154" s="207">
        <v>138123</v>
      </c>
      <c r="I154" s="207">
        <v>137475</v>
      </c>
      <c r="J154" s="207">
        <v>162768</v>
      </c>
      <c r="K154" s="207">
        <v>205251</v>
      </c>
      <c r="L154" s="207">
        <v>213549</v>
      </c>
      <c r="M154" s="207">
        <v>202051</v>
      </c>
      <c r="N154" s="207">
        <v>200788</v>
      </c>
      <c r="O154" s="207">
        <v>198685</v>
      </c>
      <c r="P154" s="557">
        <v>206497</v>
      </c>
    </row>
    <row r="155" spans="2:16" ht="15.5">
      <c r="B155" s="172" t="s">
        <v>353</v>
      </c>
      <c r="C155" s="207">
        <v>28448</v>
      </c>
      <c r="D155" s="207">
        <v>20542</v>
      </c>
      <c r="E155" s="207">
        <v>18860</v>
      </c>
      <c r="F155" s="207">
        <v>19362</v>
      </c>
      <c r="G155" s="207">
        <v>19762</v>
      </c>
      <c r="H155" s="207">
        <v>22055</v>
      </c>
      <c r="I155" s="207">
        <v>20530</v>
      </c>
      <c r="J155" s="207">
        <v>20908</v>
      </c>
      <c r="K155" s="207">
        <v>20870</v>
      </c>
      <c r="L155" s="207">
        <v>19267</v>
      </c>
      <c r="M155" s="207">
        <v>21844</v>
      </c>
      <c r="N155" s="207">
        <v>22330</v>
      </c>
      <c r="O155" s="207">
        <v>22624</v>
      </c>
      <c r="P155" s="557">
        <v>22357</v>
      </c>
    </row>
    <row r="156" spans="2:16" ht="15.5">
      <c r="B156" s="172" t="s">
        <v>354</v>
      </c>
      <c r="C156" s="207">
        <v>10484</v>
      </c>
      <c r="D156" s="207">
        <v>15944</v>
      </c>
      <c r="E156" s="207">
        <v>15025</v>
      </c>
      <c r="F156" s="207">
        <v>13794</v>
      </c>
      <c r="G156" s="207">
        <v>12820</v>
      </c>
      <c r="H156" s="207">
        <v>13423</v>
      </c>
      <c r="I156" s="207">
        <v>12892</v>
      </c>
      <c r="J156" s="207">
        <v>11867</v>
      </c>
      <c r="K156" s="207">
        <v>10985</v>
      </c>
      <c r="L156" s="207">
        <v>18035</v>
      </c>
      <c r="M156" s="207">
        <v>16639</v>
      </c>
      <c r="N156" s="207">
        <v>15711</v>
      </c>
      <c r="O156" s="207">
        <v>15289</v>
      </c>
      <c r="P156" s="557">
        <v>16334</v>
      </c>
    </row>
    <row r="157" spans="2:16" ht="15.5" thickBot="1">
      <c r="B157" s="216" t="s">
        <v>92</v>
      </c>
      <c r="C157" s="221">
        <v>247228</v>
      </c>
      <c r="D157" s="221">
        <v>211351</v>
      </c>
      <c r="E157" s="221">
        <v>259776</v>
      </c>
      <c r="F157" s="221">
        <v>249725</v>
      </c>
      <c r="G157" s="221">
        <v>208199</v>
      </c>
      <c r="H157" s="221">
        <v>202065</v>
      </c>
      <c r="I157" s="221">
        <v>200436</v>
      </c>
      <c r="J157" s="221">
        <v>226471</v>
      </c>
      <c r="K157" s="221">
        <v>269376</v>
      </c>
      <c r="L157" s="221">
        <v>274385</v>
      </c>
      <c r="M157" s="221">
        <v>273578</v>
      </c>
      <c r="N157" s="247">
        <v>274371</v>
      </c>
      <c r="O157" s="247">
        <v>271665</v>
      </c>
      <c r="P157" s="566">
        <f>SUM(P152:P156)</f>
        <v>269483</v>
      </c>
    </row>
    <row r="158" spans="2:16" ht="15.5" thickBot="1">
      <c r="B158" s="222" t="s">
        <v>93</v>
      </c>
      <c r="C158" s="223">
        <v>326998</v>
      </c>
      <c r="D158" s="223">
        <v>321594</v>
      </c>
      <c r="E158" s="223">
        <v>378020</v>
      </c>
      <c r="F158" s="223">
        <v>326901</v>
      </c>
      <c r="G158" s="223">
        <v>315714</v>
      </c>
      <c r="H158" s="223">
        <v>319048</v>
      </c>
      <c r="I158" s="223">
        <v>370580</v>
      </c>
      <c r="J158" s="223">
        <v>330769</v>
      </c>
      <c r="K158" s="223">
        <v>306164</v>
      </c>
      <c r="L158" s="223">
        <v>319285</v>
      </c>
      <c r="M158" s="223">
        <v>365883</v>
      </c>
      <c r="N158" s="248">
        <v>368233</v>
      </c>
      <c r="O158" s="248">
        <v>330230</v>
      </c>
      <c r="P158" s="567">
        <f>P150+P157</f>
        <v>331607</v>
      </c>
    </row>
    <row r="159" spans="2:16" ht="15.5" thickBot="1">
      <c r="B159" s="224"/>
      <c r="C159" s="225"/>
      <c r="D159" s="225"/>
      <c r="E159" s="225"/>
      <c r="F159" s="225"/>
      <c r="G159" s="225"/>
      <c r="H159" s="225"/>
      <c r="I159" s="225"/>
      <c r="J159" s="225"/>
      <c r="K159" s="225"/>
      <c r="L159" s="225"/>
      <c r="M159" s="225"/>
      <c r="N159" s="249"/>
      <c r="O159" s="249"/>
      <c r="P159" s="568"/>
    </row>
    <row r="160" spans="2:16" ht="15.5" thickBot="1">
      <c r="B160" s="230" t="s">
        <v>94</v>
      </c>
      <c r="C160" s="229"/>
      <c r="D160" s="229"/>
      <c r="E160" s="229"/>
      <c r="F160" s="229"/>
      <c r="G160" s="229"/>
      <c r="H160" s="229"/>
      <c r="I160" s="229"/>
      <c r="J160" s="229"/>
      <c r="K160" s="229"/>
      <c r="L160" s="229"/>
      <c r="M160" s="229"/>
      <c r="N160" s="252"/>
      <c r="O160" s="252"/>
      <c r="P160" s="571"/>
    </row>
    <row r="161" spans="1:16" ht="15.5">
      <c r="B161" s="172" t="s">
        <v>355</v>
      </c>
      <c r="C161" s="207">
        <v>23683</v>
      </c>
      <c r="D161" s="207">
        <v>23683</v>
      </c>
      <c r="E161" s="207">
        <v>23683</v>
      </c>
      <c r="F161" s="207">
        <v>23683</v>
      </c>
      <c r="G161" s="207">
        <v>23683</v>
      </c>
      <c r="H161" s="207">
        <v>23683</v>
      </c>
      <c r="I161" s="207">
        <v>23683</v>
      </c>
      <c r="J161" s="207">
        <v>23683</v>
      </c>
      <c r="K161" s="207">
        <v>23683</v>
      </c>
      <c r="L161" s="207">
        <v>23683</v>
      </c>
      <c r="M161" s="207">
        <v>23683</v>
      </c>
      <c r="N161" s="207">
        <v>23683</v>
      </c>
      <c r="O161" s="207">
        <v>23683</v>
      </c>
      <c r="P161" s="557">
        <v>23683</v>
      </c>
    </row>
    <row r="162" spans="1:16" ht="15.5">
      <c r="B162" s="172" t="s">
        <v>356</v>
      </c>
      <c r="C162" s="207">
        <v>97571</v>
      </c>
      <c r="D162" s="207">
        <v>97571</v>
      </c>
      <c r="E162" s="207">
        <v>97571</v>
      </c>
      <c r="F162" s="207">
        <v>97571</v>
      </c>
      <c r="G162" s="207">
        <v>97571</v>
      </c>
      <c r="H162" s="207">
        <v>97571</v>
      </c>
      <c r="I162" s="207">
        <v>97571</v>
      </c>
      <c r="J162" s="207">
        <v>97571</v>
      </c>
      <c r="K162" s="207">
        <v>97571</v>
      </c>
      <c r="L162" s="207">
        <v>97571</v>
      </c>
      <c r="M162" s="207">
        <v>97571</v>
      </c>
      <c r="N162" s="207">
        <v>97571</v>
      </c>
      <c r="O162" s="207">
        <v>97571</v>
      </c>
      <c r="P162" s="557">
        <v>97571</v>
      </c>
    </row>
    <row r="163" spans="1:16" ht="15.5">
      <c r="B163" s="172" t="s">
        <v>331</v>
      </c>
      <c r="C163" s="207">
        <v>4737</v>
      </c>
      <c r="D163" s="207">
        <v>4737</v>
      </c>
      <c r="E163" s="207">
        <v>4737</v>
      </c>
      <c r="F163" s="207">
        <v>4737</v>
      </c>
      <c r="G163" s="207">
        <v>4737</v>
      </c>
      <c r="H163" s="207">
        <v>4737</v>
      </c>
      <c r="I163" s="207">
        <v>4737</v>
      </c>
      <c r="J163" s="207">
        <v>4737</v>
      </c>
      <c r="K163" s="207">
        <v>4737</v>
      </c>
      <c r="L163" s="207">
        <v>4737</v>
      </c>
      <c r="M163" s="207">
        <v>4737</v>
      </c>
      <c r="N163" s="207">
        <v>4737</v>
      </c>
      <c r="O163" s="207">
        <v>4737</v>
      </c>
      <c r="P163" s="557">
        <v>4737</v>
      </c>
    </row>
    <row r="164" spans="1:16" ht="15.5">
      <c r="B164" s="172" t="s">
        <v>357</v>
      </c>
      <c r="C164" s="207">
        <v>-9189</v>
      </c>
      <c r="D164" s="207">
        <v>-4784</v>
      </c>
      <c r="E164" s="207">
        <v>-3874</v>
      </c>
      <c r="F164" s="207">
        <v>-3534</v>
      </c>
      <c r="G164" s="207">
        <v>-3372</v>
      </c>
      <c r="H164" s="207">
        <v>-4330</v>
      </c>
      <c r="I164" s="207">
        <v>-3944</v>
      </c>
      <c r="J164" s="207">
        <v>-4306</v>
      </c>
      <c r="K164" s="207">
        <v>-3642</v>
      </c>
      <c r="L164" s="207">
        <v>-2817</v>
      </c>
      <c r="M164" s="207">
        <v>-3407</v>
      </c>
      <c r="N164" s="207">
        <v>-2829</v>
      </c>
      <c r="O164" s="207">
        <v>-2237</v>
      </c>
      <c r="P164" s="557">
        <v>-1793</v>
      </c>
    </row>
    <row r="165" spans="1:16" ht="15.5">
      <c r="B165" s="172" t="s">
        <v>332</v>
      </c>
      <c r="C165" s="207">
        <v>82918</v>
      </c>
      <c r="D165" s="207">
        <v>73162</v>
      </c>
      <c r="E165" s="207">
        <v>43291</v>
      </c>
      <c r="F165" s="207">
        <v>53814</v>
      </c>
      <c r="G165" s="207">
        <v>64729</v>
      </c>
      <c r="H165" s="207">
        <v>65199</v>
      </c>
      <c r="I165" s="207">
        <v>17150</v>
      </c>
      <c r="J165" s="207">
        <v>28968</v>
      </c>
      <c r="K165" s="207">
        <v>41788</v>
      </c>
      <c r="L165" s="207">
        <v>70132</v>
      </c>
      <c r="M165" s="207">
        <v>81843</v>
      </c>
      <c r="N165" s="207">
        <v>24303</v>
      </c>
      <c r="O165" s="207">
        <v>36486</v>
      </c>
      <c r="P165" s="557">
        <v>46208</v>
      </c>
    </row>
    <row r="166" spans="1:16" ht="15.5" thickBot="1">
      <c r="B166" s="216" t="s">
        <v>103</v>
      </c>
      <c r="C166" s="221">
        <v>199720</v>
      </c>
      <c r="D166" s="221">
        <v>194369</v>
      </c>
      <c r="E166" s="221">
        <v>165408</v>
      </c>
      <c r="F166" s="221">
        <v>176271</v>
      </c>
      <c r="G166" s="221">
        <v>187348</v>
      </c>
      <c r="H166" s="221">
        <v>186860</v>
      </c>
      <c r="I166" s="221">
        <v>139197</v>
      </c>
      <c r="J166" s="221">
        <v>150653</v>
      </c>
      <c r="K166" s="221">
        <v>164137</v>
      </c>
      <c r="L166" s="221">
        <v>193306</v>
      </c>
      <c r="M166" s="221">
        <v>204427</v>
      </c>
      <c r="N166" s="247">
        <v>147465</v>
      </c>
      <c r="O166" s="247">
        <v>160240</v>
      </c>
      <c r="P166" s="566">
        <f>SUM(P161:P165)</f>
        <v>170406</v>
      </c>
    </row>
    <row r="167" spans="1:16" ht="15.5" thickBot="1">
      <c r="B167" s="231" t="s">
        <v>104</v>
      </c>
      <c r="C167" s="223">
        <v>526718</v>
      </c>
      <c r="D167" s="223">
        <v>515963</v>
      </c>
      <c r="E167" s="223">
        <v>543428</v>
      </c>
      <c r="F167" s="223">
        <v>503172</v>
      </c>
      <c r="G167" s="223">
        <v>503062</v>
      </c>
      <c r="H167" s="223">
        <v>505908</v>
      </c>
      <c r="I167" s="223">
        <v>509777</v>
      </c>
      <c r="J167" s="223">
        <v>481422</v>
      </c>
      <c r="K167" s="223">
        <v>470301</v>
      </c>
      <c r="L167" s="223">
        <v>512591</v>
      </c>
      <c r="M167" s="223">
        <v>570310</v>
      </c>
      <c r="N167" s="248">
        <v>515698</v>
      </c>
      <c r="O167" s="248">
        <v>490470</v>
      </c>
      <c r="P167" s="567">
        <f>P158+P166</f>
        <v>502013</v>
      </c>
    </row>
    <row r="168" spans="1:16" ht="15.5">
      <c r="B168" s="167"/>
      <c r="C168" s="211">
        <f>+C140-C158-C166</f>
        <v>0</v>
      </c>
      <c r="D168" s="211">
        <f t="shared" ref="D168:P168" si="13">+D140-D158-D166</f>
        <v>0</v>
      </c>
      <c r="E168" s="211">
        <f t="shared" si="13"/>
        <v>0</v>
      </c>
      <c r="F168" s="211">
        <f t="shared" si="13"/>
        <v>0</v>
      </c>
      <c r="G168" s="211">
        <f t="shared" si="13"/>
        <v>0</v>
      </c>
      <c r="H168" s="211">
        <f t="shared" si="13"/>
        <v>0</v>
      </c>
      <c r="I168" s="211">
        <f t="shared" si="13"/>
        <v>0</v>
      </c>
      <c r="J168" s="211">
        <f t="shared" si="13"/>
        <v>0</v>
      </c>
      <c r="K168" s="211">
        <f t="shared" si="13"/>
        <v>0</v>
      </c>
      <c r="L168" s="211">
        <f t="shared" si="13"/>
        <v>0</v>
      </c>
      <c r="M168" s="211">
        <f t="shared" si="13"/>
        <v>0</v>
      </c>
      <c r="N168" s="211">
        <f t="shared" si="13"/>
        <v>0</v>
      </c>
      <c r="O168" s="211">
        <v>0</v>
      </c>
      <c r="P168" s="211">
        <f t="shared" si="13"/>
        <v>0</v>
      </c>
    </row>
    <row r="169" spans="1:16" ht="15.5">
      <c r="B169" s="167"/>
      <c r="C169" s="167"/>
      <c r="D169" s="167"/>
      <c r="E169" s="167"/>
      <c r="F169" s="167"/>
      <c r="G169" s="167"/>
      <c r="H169" s="167"/>
      <c r="I169" s="167"/>
      <c r="J169" s="167"/>
      <c r="K169" s="167"/>
      <c r="L169" s="167"/>
      <c r="M169" s="167"/>
      <c r="N169" s="167"/>
      <c r="O169" s="167"/>
      <c r="P169" s="167"/>
    </row>
    <row r="170" spans="1:16" ht="15.5">
      <c r="B170" s="167"/>
      <c r="C170" s="167"/>
      <c r="D170" s="167"/>
      <c r="E170" s="167"/>
      <c r="F170" s="167"/>
      <c r="G170" s="167"/>
      <c r="H170" s="167"/>
      <c r="I170" s="167"/>
      <c r="J170" s="167"/>
      <c r="K170" s="167"/>
      <c r="L170" s="167"/>
      <c r="M170" s="167"/>
      <c r="N170" s="167"/>
      <c r="O170" s="167"/>
      <c r="P170" s="167"/>
    </row>
    <row r="171" spans="1:16" ht="15.5">
      <c r="A171" s="119" t="s">
        <v>105</v>
      </c>
      <c r="B171" s="12" t="s">
        <v>358</v>
      </c>
      <c r="C171" s="205"/>
      <c r="D171" s="205"/>
      <c r="E171" s="205"/>
      <c r="F171" s="205"/>
      <c r="G171" s="205"/>
      <c r="H171" s="205"/>
      <c r="I171" s="167"/>
      <c r="J171" s="167"/>
      <c r="K171" s="167"/>
      <c r="L171" s="167"/>
      <c r="M171" s="205"/>
      <c r="N171" s="205"/>
      <c r="O171" s="205"/>
      <c r="P171" s="205"/>
    </row>
    <row r="172" spans="1:16" ht="15.5">
      <c r="B172" s="14" t="s">
        <v>314</v>
      </c>
      <c r="C172" s="205"/>
      <c r="D172" s="205"/>
      <c r="E172" s="167"/>
      <c r="F172" s="167"/>
      <c r="G172" s="167"/>
      <c r="H172" s="167"/>
      <c r="I172" s="167"/>
      <c r="J172" s="167"/>
      <c r="K172" s="167"/>
      <c r="L172" s="167"/>
      <c r="M172" s="167"/>
      <c r="N172" s="167"/>
      <c r="O172" s="167"/>
      <c r="P172" s="167"/>
    </row>
    <row r="173" spans="1:16" ht="15.5">
      <c r="B173" s="167"/>
      <c r="C173" s="205">
        <f>8328-C190</f>
        <v>0</v>
      </c>
      <c r="D173" s="205">
        <f>9521-D190</f>
        <v>0</v>
      </c>
      <c r="E173" s="167"/>
      <c r="F173" s="167"/>
      <c r="G173" s="167"/>
      <c r="H173" s="167"/>
      <c r="I173" s="205"/>
      <c r="J173" s="205"/>
      <c r="K173" s="205"/>
      <c r="L173" s="205"/>
      <c r="M173" s="167"/>
      <c r="N173" s="167"/>
      <c r="O173" s="167"/>
      <c r="P173" s="167"/>
    </row>
    <row r="174" spans="1:16" ht="15">
      <c r="B174" s="553"/>
      <c r="C174" s="554">
        <v>2016</v>
      </c>
      <c r="D174" s="554">
        <v>2017</v>
      </c>
      <c r="E174" s="554" t="s">
        <v>20</v>
      </c>
      <c r="F174" s="554" t="s">
        <v>21</v>
      </c>
      <c r="G174" s="554" t="s">
        <v>22</v>
      </c>
      <c r="H174" s="554" t="s">
        <v>23</v>
      </c>
      <c r="I174" s="554" t="s">
        <v>24</v>
      </c>
      <c r="J174" s="554" t="s">
        <v>25</v>
      </c>
      <c r="K174" s="554" t="s">
        <v>26</v>
      </c>
      <c r="L174" s="554" t="s">
        <v>27</v>
      </c>
      <c r="M174" s="554" t="s">
        <v>28</v>
      </c>
      <c r="N174" s="554" t="s">
        <v>29</v>
      </c>
      <c r="O174" s="554" t="s">
        <v>30</v>
      </c>
      <c r="P174" s="555" t="s">
        <v>954</v>
      </c>
    </row>
    <row r="175" spans="1:16" ht="15.5">
      <c r="B175" s="259"/>
      <c r="C175" s="260"/>
      <c r="D175" s="260"/>
      <c r="E175" s="260"/>
      <c r="F175" s="260"/>
      <c r="G175" s="260"/>
      <c r="H175" s="260"/>
      <c r="I175" s="260"/>
      <c r="J175" s="260"/>
      <c r="K175" s="260"/>
      <c r="L175" s="260"/>
      <c r="M175" s="260"/>
      <c r="N175" s="260"/>
      <c r="O175" s="260"/>
      <c r="P175" s="556"/>
    </row>
    <row r="176" spans="1:16" ht="15.5">
      <c r="B176" s="261" t="s">
        <v>31</v>
      </c>
      <c r="C176" s="262">
        <v>19784</v>
      </c>
      <c r="D176" s="262">
        <v>32</v>
      </c>
      <c r="E176" s="262">
        <v>0</v>
      </c>
      <c r="F176" s="262">
        <v>0</v>
      </c>
      <c r="G176" s="262">
        <v>0</v>
      </c>
      <c r="H176" s="262">
        <v>0</v>
      </c>
      <c r="I176" s="262">
        <v>0</v>
      </c>
      <c r="J176" s="262">
        <v>0</v>
      </c>
      <c r="K176" s="262">
        <v>0</v>
      </c>
      <c r="L176" s="262">
        <v>0</v>
      </c>
      <c r="M176" s="262">
        <v>0</v>
      </c>
      <c r="N176" s="262">
        <v>0</v>
      </c>
      <c r="O176" s="262">
        <v>0</v>
      </c>
      <c r="P176" s="557">
        <v>0</v>
      </c>
    </row>
    <row r="177" spans="2:16" ht="15.5">
      <c r="B177" s="261" t="s">
        <v>32</v>
      </c>
      <c r="C177" s="262">
        <v>19784</v>
      </c>
      <c r="D177" s="262">
        <v>32</v>
      </c>
      <c r="E177" s="262">
        <v>0</v>
      </c>
      <c r="F177" s="262">
        <v>0</v>
      </c>
      <c r="G177" s="262">
        <v>0</v>
      </c>
      <c r="H177" s="262">
        <v>0</v>
      </c>
      <c r="I177" s="262">
        <v>0</v>
      </c>
      <c r="J177" s="262">
        <v>0</v>
      </c>
      <c r="K177" s="262">
        <v>0</v>
      </c>
      <c r="L177" s="262">
        <v>0</v>
      </c>
      <c r="M177" s="262">
        <v>0</v>
      </c>
      <c r="N177" s="262">
        <v>0</v>
      </c>
      <c r="O177" s="262">
        <v>0</v>
      </c>
      <c r="P177" s="557">
        <v>0</v>
      </c>
    </row>
    <row r="178" spans="2:16" ht="15.5">
      <c r="B178" s="263" t="s">
        <v>33</v>
      </c>
      <c r="C178" s="264">
        <f t="shared" ref="C178:N178" si="14">+C176-C177</f>
        <v>0</v>
      </c>
      <c r="D178" s="264">
        <f t="shared" si="14"/>
        <v>0</v>
      </c>
      <c r="E178" s="264">
        <f t="shared" si="14"/>
        <v>0</v>
      </c>
      <c r="F178" s="264">
        <f t="shared" si="14"/>
        <v>0</v>
      </c>
      <c r="G178" s="264">
        <f t="shared" si="14"/>
        <v>0</v>
      </c>
      <c r="H178" s="264">
        <f t="shared" si="14"/>
        <v>0</v>
      </c>
      <c r="I178" s="264">
        <f t="shared" si="14"/>
        <v>0</v>
      </c>
      <c r="J178" s="264">
        <f t="shared" si="14"/>
        <v>0</v>
      </c>
      <c r="K178" s="264">
        <f t="shared" si="14"/>
        <v>0</v>
      </c>
      <c r="L178" s="264">
        <f t="shared" si="14"/>
        <v>0</v>
      </c>
      <c r="M178" s="264">
        <f t="shared" si="14"/>
        <v>0</v>
      </c>
      <c r="N178" s="264">
        <f t="shared" si="14"/>
        <v>0</v>
      </c>
      <c r="O178" s="264">
        <v>0</v>
      </c>
      <c r="P178" s="558">
        <v>0</v>
      </c>
    </row>
    <row r="179" spans="2:16" ht="15.5">
      <c r="B179" s="243"/>
      <c r="C179" s="35"/>
      <c r="D179" s="35"/>
      <c r="E179" s="35"/>
      <c r="F179" s="35"/>
      <c r="G179" s="35"/>
      <c r="H179" s="35"/>
      <c r="I179" s="35"/>
      <c r="J179" s="35"/>
      <c r="K179" s="35"/>
      <c r="L179" s="35"/>
      <c r="M179" s="35"/>
      <c r="N179" s="35"/>
      <c r="O179" s="35"/>
      <c r="P179" s="556"/>
    </row>
    <row r="180" spans="2:16" ht="15.5">
      <c r="B180" s="172" t="s">
        <v>334</v>
      </c>
      <c r="C180" s="207">
        <v>13606</v>
      </c>
      <c r="D180" s="207">
        <v>15366</v>
      </c>
      <c r="E180" s="207">
        <v>3791</v>
      </c>
      <c r="F180" s="207">
        <v>4173</v>
      </c>
      <c r="G180" s="207">
        <v>4437</v>
      </c>
      <c r="H180" s="207">
        <v>4492</v>
      </c>
      <c r="I180" s="207">
        <v>4679</v>
      </c>
      <c r="J180" s="207">
        <v>4737</v>
      </c>
      <c r="K180" s="207">
        <v>4226</v>
      </c>
      <c r="L180" s="207">
        <v>4536</v>
      </c>
      <c r="M180" s="207">
        <v>4398</v>
      </c>
      <c r="N180" s="207">
        <v>4633</v>
      </c>
      <c r="O180" s="207">
        <v>4692</v>
      </c>
      <c r="P180" s="557">
        <v>4711</v>
      </c>
    </row>
    <row r="181" spans="2:16" ht="15.5">
      <c r="B181" s="172" t="s">
        <v>335</v>
      </c>
      <c r="C181" s="207">
        <v>121</v>
      </c>
      <c r="D181" s="207">
        <v>163</v>
      </c>
      <c r="E181" s="207">
        <v>25</v>
      </c>
      <c r="F181" s="207">
        <v>25</v>
      </c>
      <c r="G181" s="207">
        <v>25</v>
      </c>
      <c r="H181" s="207">
        <v>30</v>
      </c>
      <c r="I181" s="207">
        <v>21</v>
      </c>
      <c r="J181" s="207">
        <v>30</v>
      </c>
      <c r="K181" s="207">
        <v>25</v>
      </c>
      <c r="L181" s="207">
        <v>30</v>
      </c>
      <c r="M181" s="207">
        <v>30</v>
      </c>
      <c r="N181" s="207">
        <v>27</v>
      </c>
      <c r="O181" s="207">
        <v>25</v>
      </c>
      <c r="P181" s="557">
        <v>36</v>
      </c>
    </row>
    <row r="182" spans="2:16" ht="15.5">
      <c r="B182" s="261" t="s">
        <v>336</v>
      </c>
      <c r="C182" s="207">
        <v>0</v>
      </c>
      <c r="D182" s="207">
        <v>0</v>
      </c>
      <c r="E182" s="207">
        <v>0</v>
      </c>
      <c r="F182" s="207">
        <v>0</v>
      </c>
      <c r="G182" s="207">
        <v>0</v>
      </c>
      <c r="H182" s="207">
        <v>0</v>
      </c>
      <c r="I182" s="207">
        <v>0</v>
      </c>
      <c r="J182" s="207">
        <v>0</v>
      </c>
      <c r="K182" s="207">
        <v>0</v>
      </c>
      <c r="L182" s="207">
        <v>0</v>
      </c>
      <c r="M182" s="207">
        <v>0</v>
      </c>
      <c r="N182" s="207">
        <v>0</v>
      </c>
      <c r="O182" s="207">
        <v>0</v>
      </c>
      <c r="P182" s="557">
        <v>0</v>
      </c>
    </row>
    <row r="183" spans="2:16" ht="15.5">
      <c r="B183" s="172" t="s">
        <v>41</v>
      </c>
      <c r="C183" s="207">
        <v>1637</v>
      </c>
      <c r="D183" s="207">
        <v>1842</v>
      </c>
      <c r="E183" s="207">
        <v>387</v>
      </c>
      <c r="F183" s="207">
        <v>462</v>
      </c>
      <c r="G183" s="207">
        <v>573</v>
      </c>
      <c r="H183" s="207">
        <v>591</v>
      </c>
      <c r="I183" s="207">
        <v>504</v>
      </c>
      <c r="J183" s="207">
        <v>493</v>
      </c>
      <c r="K183" s="207">
        <v>636</v>
      </c>
      <c r="L183" s="207">
        <v>701</v>
      </c>
      <c r="M183" s="207">
        <v>661</v>
      </c>
      <c r="N183" s="207">
        <v>695</v>
      </c>
      <c r="O183" s="207">
        <v>1758</v>
      </c>
      <c r="P183" s="557">
        <v>782</v>
      </c>
    </row>
    <row r="184" spans="2:16" ht="15.5">
      <c r="B184" s="263" t="s">
        <v>42</v>
      </c>
      <c r="C184" s="264">
        <f t="shared" ref="C184:N184" si="15">+SUM(C180:C182)-C183</f>
        <v>12090</v>
      </c>
      <c r="D184" s="264">
        <f t="shared" si="15"/>
        <v>13687</v>
      </c>
      <c r="E184" s="264">
        <f t="shared" si="15"/>
        <v>3429</v>
      </c>
      <c r="F184" s="264">
        <f t="shared" si="15"/>
        <v>3736</v>
      </c>
      <c r="G184" s="264">
        <f t="shared" si="15"/>
        <v>3889</v>
      </c>
      <c r="H184" s="264">
        <f t="shared" si="15"/>
        <v>3931</v>
      </c>
      <c r="I184" s="264">
        <f t="shared" si="15"/>
        <v>4196</v>
      </c>
      <c r="J184" s="264">
        <f t="shared" si="15"/>
        <v>4274</v>
      </c>
      <c r="K184" s="264">
        <f t="shared" si="15"/>
        <v>3615</v>
      </c>
      <c r="L184" s="264">
        <f t="shared" si="15"/>
        <v>3865</v>
      </c>
      <c r="M184" s="264">
        <f t="shared" si="15"/>
        <v>3767</v>
      </c>
      <c r="N184" s="264">
        <f t="shared" si="15"/>
        <v>3965</v>
      </c>
      <c r="O184" s="264">
        <v>2959</v>
      </c>
      <c r="P184" s="558">
        <f>+SUM(P180:P182)-P183</f>
        <v>3965</v>
      </c>
    </row>
    <row r="185" spans="2:16" ht="15.5">
      <c r="B185" s="265" t="s">
        <v>112</v>
      </c>
      <c r="C185" s="266">
        <f t="shared" ref="C185:P185" si="16">+C178+C184</f>
        <v>12090</v>
      </c>
      <c r="D185" s="266">
        <f t="shared" si="16"/>
        <v>13687</v>
      </c>
      <c r="E185" s="266">
        <f t="shared" si="16"/>
        <v>3429</v>
      </c>
      <c r="F185" s="266">
        <f t="shared" si="16"/>
        <v>3736</v>
      </c>
      <c r="G185" s="266">
        <f t="shared" si="16"/>
        <v>3889</v>
      </c>
      <c r="H185" s="266">
        <f t="shared" si="16"/>
        <v>3931</v>
      </c>
      <c r="I185" s="266">
        <f t="shared" si="16"/>
        <v>4196</v>
      </c>
      <c r="J185" s="266">
        <f t="shared" si="16"/>
        <v>4274</v>
      </c>
      <c r="K185" s="266">
        <f t="shared" si="16"/>
        <v>3615</v>
      </c>
      <c r="L185" s="266">
        <f t="shared" si="16"/>
        <v>3865</v>
      </c>
      <c r="M185" s="266">
        <f t="shared" si="16"/>
        <v>3767</v>
      </c>
      <c r="N185" s="266">
        <f t="shared" si="16"/>
        <v>3965</v>
      </c>
      <c r="O185" s="266">
        <v>2959</v>
      </c>
      <c r="P185" s="559">
        <f t="shared" si="16"/>
        <v>3965</v>
      </c>
    </row>
    <row r="186" spans="2:16" ht="15.5">
      <c r="B186" s="171"/>
      <c r="C186" s="9"/>
      <c r="D186" s="9"/>
      <c r="E186" s="9"/>
      <c r="F186" s="9"/>
      <c r="G186" s="9"/>
      <c r="H186" s="9"/>
      <c r="I186" s="9"/>
      <c r="J186" s="256"/>
      <c r="K186" s="256"/>
      <c r="L186" s="256"/>
      <c r="M186" s="9"/>
      <c r="N186" s="256"/>
      <c r="O186" s="256"/>
      <c r="P186" s="574"/>
    </row>
    <row r="187" spans="2:16" ht="15.5">
      <c r="B187" s="172" t="s">
        <v>44</v>
      </c>
      <c r="C187" s="262">
        <v>3601</v>
      </c>
      <c r="D187" s="262">
        <v>4089</v>
      </c>
      <c r="E187" s="262">
        <v>975</v>
      </c>
      <c r="F187" s="262">
        <v>977</v>
      </c>
      <c r="G187" s="262">
        <v>975</v>
      </c>
      <c r="H187" s="262">
        <v>976</v>
      </c>
      <c r="I187" s="262">
        <v>901</v>
      </c>
      <c r="J187" s="262">
        <v>901</v>
      </c>
      <c r="K187" s="262">
        <v>900</v>
      </c>
      <c r="L187" s="262">
        <v>-596</v>
      </c>
      <c r="M187" s="262">
        <v>915</v>
      </c>
      <c r="N187" s="262">
        <v>915</v>
      </c>
      <c r="O187" s="262">
        <v>915</v>
      </c>
      <c r="P187" s="557">
        <v>972</v>
      </c>
    </row>
    <row r="188" spans="2:16" ht="15.5">
      <c r="B188" s="172" t="s">
        <v>45</v>
      </c>
      <c r="C188" s="207">
        <v>0</v>
      </c>
      <c r="D188" s="207">
        <v>0</v>
      </c>
      <c r="E188" s="207">
        <v>0</v>
      </c>
      <c r="F188" s="207">
        <v>0</v>
      </c>
      <c r="G188" s="207">
        <v>0</v>
      </c>
      <c r="H188" s="207">
        <v>0</v>
      </c>
      <c r="I188" s="207">
        <v>0</v>
      </c>
      <c r="J188" s="207">
        <v>0</v>
      </c>
      <c r="K188" s="207">
        <v>0</v>
      </c>
      <c r="L188" s="207">
        <v>0</v>
      </c>
      <c r="M188" s="207">
        <v>0</v>
      </c>
      <c r="N188" s="207">
        <v>0</v>
      </c>
      <c r="O188" s="207">
        <v>0</v>
      </c>
      <c r="P188" s="557">
        <v>0</v>
      </c>
    </row>
    <row r="189" spans="2:16" ht="15.5">
      <c r="B189" s="172" t="s">
        <v>46</v>
      </c>
      <c r="C189" s="207">
        <v>-161</v>
      </c>
      <c r="D189" s="207">
        <v>-77</v>
      </c>
      <c r="E189" s="207">
        <v>-17</v>
      </c>
      <c r="F189" s="207">
        <v>-15</v>
      </c>
      <c r="G189" s="207">
        <v>0</v>
      </c>
      <c r="H189" s="207">
        <v>-22</v>
      </c>
      <c r="I189" s="207">
        <v>1</v>
      </c>
      <c r="J189" s="207">
        <v>0</v>
      </c>
      <c r="K189" s="207">
        <v>-1</v>
      </c>
      <c r="L189" s="207">
        <v>-3</v>
      </c>
      <c r="M189" s="207">
        <v>0</v>
      </c>
      <c r="N189" s="207">
        <v>-21</v>
      </c>
      <c r="O189" s="207">
        <v>54</v>
      </c>
      <c r="P189" s="557">
        <v>2</v>
      </c>
    </row>
    <row r="190" spans="2:16" ht="15.5">
      <c r="B190" s="174" t="s">
        <v>47</v>
      </c>
      <c r="C190" s="209">
        <f t="shared" ref="C190:P190" si="17">C185-C187+C188+C189</f>
        <v>8328</v>
      </c>
      <c r="D190" s="209">
        <f t="shared" si="17"/>
        <v>9521</v>
      </c>
      <c r="E190" s="209">
        <f t="shared" si="17"/>
        <v>2437</v>
      </c>
      <c r="F190" s="209">
        <f t="shared" si="17"/>
        <v>2744</v>
      </c>
      <c r="G190" s="209">
        <f t="shared" si="17"/>
        <v>2914</v>
      </c>
      <c r="H190" s="209">
        <f t="shared" si="17"/>
        <v>2933</v>
      </c>
      <c r="I190" s="209">
        <f t="shared" si="17"/>
        <v>3296</v>
      </c>
      <c r="J190" s="209">
        <f t="shared" si="17"/>
        <v>3373</v>
      </c>
      <c r="K190" s="209">
        <f t="shared" si="17"/>
        <v>2714</v>
      </c>
      <c r="L190" s="209">
        <f t="shared" si="17"/>
        <v>4458</v>
      </c>
      <c r="M190" s="209">
        <f t="shared" si="17"/>
        <v>2852</v>
      </c>
      <c r="N190" s="209">
        <f t="shared" si="17"/>
        <v>3029</v>
      </c>
      <c r="O190" s="209">
        <v>2098</v>
      </c>
      <c r="P190" s="560">
        <f t="shared" si="17"/>
        <v>2995</v>
      </c>
    </row>
    <row r="191" spans="2:16" ht="15.5">
      <c r="B191" s="172"/>
      <c r="C191" s="207"/>
      <c r="D191" s="207"/>
      <c r="E191" s="207"/>
      <c r="F191" s="207"/>
      <c r="G191" s="207"/>
      <c r="H191" s="207"/>
      <c r="I191" s="207"/>
      <c r="J191" s="207"/>
      <c r="K191" s="207"/>
      <c r="L191" s="207"/>
      <c r="M191" s="207"/>
      <c r="N191" s="207"/>
      <c r="O191" s="207"/>
      <c r="P191" s="557"/>
    </row>
    <row r="192" spans="2:16" ht="15.5">
      <c r="B192" s="172" t="s">
        <v>48</v>
      </c>
      <c r="C192" s="207">
        <v>-541</v>
      </c>
      <c r="D192" s="207">
        <v>-1453</v>
      </c>
      <c r="E192" s="207">
        <v>-355</v>
      </c>
      <c r="F192" s="207">
        <v>-399</v>
      </c>
      <c r="G192" s="207">
        <v>-365</v>
      </c>
      <c r="H192" s="207">
        <f>-1368-E192-F192+-G192</f>
        <v>-249</v>
      </c>
      <c r="I192" s="262">
        <v>-286</v>
      </c>
      <c r="J192" s="262">
        <v>-223</v>
      </c>
      <c r="K192" s="262">
        <v>-308</v>
      </c>
      <c r="L192" s="262">
        <v>-35</v>
      </c>
      <c r="M192" s="262">
        <v>-259</v>
      </c>
      <c r="N192" s="262">
        <v>-290</v>
      </c>
      <c r="O192" s="262">
        <v>-497</v>
      </c>
      <c r="P192" s="557">
        <v>863</v>
      </c>
    </row>
    <row r="193" spans="1:16" ht="15.5">
      <c r="B193" s="174" t="s">
        <v>49</v>
      </c>
      <c r="C193" s="209">
        <f>+C190+C192</f>
        <v>7787</v>
      </c>
      <c r="D193" s="209">
        <f t="shared" ref="D193:P193" si="18">+D190+D192</f>
        <v>8068</v>
      </c>
      <c r="E193" s="209">
        <f t="shared" si="18"/>
        <v>2082</v>
      </c>
      <c r="F193" s="209">
        <f t="shared" si="18"/>
        <v>2345</v>
      </c>
      <c r="G193" s="209">
        <f t="shared" si="18"/>
        <v>2549</v>
      </c>
      <c r="H193" s="209">
        <f t="shared" si="18"/>
        <v>2684</v>
      </c>
      <c r="I193" s="209">
        <f t="shared" si="18"/>
        <v>3010</v>
      </c>
      <c r="J193" s="209">
        <f t="shared" si="18"/>
        <v>3150</v>
      </c>
      <c r="K193" s="209">
        <f t="shared" si="18"/>
        <v>2406</v>
      </c>
      <c r="L193" s="209">
        <f t="shared" si="18"/>
        <v>4423</v>
      </c>
      <c r="M193" s="209">
        <f t="shared" si="18"/>
        <v>2593</v>
      </c>
      <c r="N193" s="209">
        <f t="shared" si="18"/>
        <v>2739</v>
      </c>
      <c r="O193" s="209">
        <v>1601</v>
      </c>
      <c r="P193" s="560">
        <f t="shared" si="18"/>
        <v>3858</v>
      </c>
    </row>
    <row r="194" spans="1:16" ht="15.5">
      <c r="B194" s="171"/>
      <c r="C194" s="9"/>
      <c r="D194" s="9"/>
      <c r="E194" s="9"/>
      <c r="F194" s="9"/>
      <c r="G194" s="9"/>
      <c r="H194" s="9"/>
      <c r="I194" s="9"/>
      <c r="J194" s="9"/>
      <c r="K194" s="9"/>
      <c r="L194" s="9"/>
      <c r="M194" s="9"/>
      <c r="N194" s="9"/>
      <c r="O194" s="9"/>
      <c r="P194" s="556"/>
    </row>
    <row r="195" spans="1:16" ht="15.5">
      <c r="B195" s="172" t="s">
        <v>50</v>
      </c>
      <c r="C195" s="207">
        <v>1728</v>
      </c>
      <c r="D195" s="207">
        <v>2015</v>
      </c>
      <c r="E195" s="262">
        <v>456</v>
      </c>
      <c r="F195" s="262">
        <v>517</v>
      </c>
      <c r="G195" s="262">
        <v>701</v>
      </c>
      <c r="H195" s="262">
        <v>558</v>
      </c>
      <c r="I195" s="207">
        <v>666</v>
      </c>
      <c r="J195" s="207">
        <v>742</v>
      </c>
      <c r="K195" s="207">
        <v>528</v>
      </c>
      <c r="L195" s="207">
        <v>959</v>
      </c>
      <c r="M195" s="262">
        <v>570</v>
      </c>
      <c r="N195" s="262">
        <v>679</v>
      </c>
      <c r="O195" s="262">
        <v>255</v>
      </c>
      <c r="P195" s="557">
        <v>449</v>
      </c>
    </row>
    <row r="196" spans="1:16" ht="15.5">
      <c r="B196" s="174" t="s">
        <v>53</v>
      </c>
      <c r="C196" s="209">
        <f>+C193-C195</f>
        <v>6059</v>
      </c>
      <c r="D196" s="209">
        <f t="shared" ref="D196:P196" si="19">+D193-D195</f>
        <v>6053</v>
      </c>
      <c r="E196" s="209">
        <f t="shared" si="19"/>
        <v>1626</v>
      </c>
      <c r="F196" s="209">
        <f t="shared" si="19"/>
        <v>1828</v>
      </c>
      <c r="G196" s="209">
        <f t="shared" si="19"/>
        <v>1848</v>
      </c>
      <c r="H196" s="209">
        <f t="shared" si="19"/>
        <v>2126</v>
      </c>
      <c r="I196" s="209">
        <f t="shared" si="19"/>
        <v>2344</v>
      </c>
      <c r="J196" s="209">
        <f t="shared" si="19"/>
        <v>2408</v>
      </c>
      <c r="K196" s="209">
        <f t="shared" si="19"/>
        <v>1878</v>
      </c>
      <c r="L196" s="209">
        <f t="shared" si="19"/>
        <v>3464</v>
      </c>
      <c r="M196" s="209">
        <f t="shared" si="19"/>
        <v>2023</v>
      </c>
      <c r="N196" s="209">
        <f t="shared" si="19"/>
        <v>2060</v>
      </c>
      <c r="O196" s="209">
        <v>1346</v>
      </c>
      <c r="P196" s="560">
        <f t="shared" si="19"/>
        <v>3409</v>
      </c>
    </row>
    <row r="197" spans="1:16" ht="15.5">
      <c r="B197" s="232"/>
      <c r="C197" s="244"/>
      <c r="D197" s="244"/>
      <c r="E197" s="244"/>
      <c r="F197" s="244"/>
      <c r="G197" s="244"/>
      <c r="H197" s="244"/>
      <c r="I197" s="244"/>
      <c r="J197" s="244"/>
      <c r="K197" s="244"/>
      <c r="L197" s="244"/>
      <c r="M197" s="244"/>
      <c r="N197" s="244"/>
      <c r="O197" s="244"/>
      <c r="P197" s="558"/>
    </row>
    <row r="198" spans="1:16" ht="15.5">
      <c r="B198" s="233"/>
      <c r="C198" s="233"/>
      <c r="D198" s="233"/>
      <c r="E198" s="267"/>
      <c r="F198" s="267"/>
      <c r="G198" s="267"/>
      <c r="H198" s="267"/>
      <c r="I198" s="233"/>
      <c r="J198" s="233"/>
      <c r="K198" s="233"/>
      <c r="L198" s="233"/>
      <c r="M198" s="233"/>
      <c r="N198" s="233"/>
      <c r="O198" s="233"/>
      <c r="P198" s="561"/>
    </row>
    <row r="199" spans="1:16" ht="15.5">
      <c r="A199" s="119" t="s">
        <v>105</v>
      </c>
      <c r="B199" s="12" t="s">
        <v>359</v>
      </c>
      <c r="C199" s="33"/>
      <c r="D199" s="33"/>
      <c r="E199" s="34"/>
      <c r="F199" s="33"/>
      <c r="G199" s="33"/>
      <c r="H199" s="33"/>
      <c r="I199" s="34"/>
      <c r="J199" s="33"/>
      <c r="K199" s="33"/>
      <c r="L199" s="33"/>
      <c r="M199" s="34"/>
      <c r="N199" s="33"/>
      <c r="O199" s="33"/>
      <c r="P199" s="562"/>
    </row>
    <row r="200" spans="1:16" ht="15.5">
      <c r="B200" s="573" t="s">
        <v>19</v>
      </c>
      <c r="C200" s="233"/>
      <c r="D200" s="233"/>
      <c r="E200" s="233"/>
      <c r="F200" s="233"/>
      <c r="G200" s="233"/>
      <c r="H200" s="233"/>
      <c r="I200" s="233"/>
      <c r="J200" s="233"/>
      <c r="K200" s="233"/>
      <c r="L200" s="233"/>
      <c r="M200" s="233"/>
      <c r="N200" s="233"/>
      <c r="O200" s="233"/>
      <c r="P200" s="561"/>
    </row>
    <row r="201" spans="1:16" ht="15.5" thickBot="1">
      <c r="B201" s="553"/>
      <c r="C201" s="554">
        <v>2016</v>
      </c>
      <c r="D201" s="554">
        <v>2017</v>
      </c>
      <c r="E201" s="554" t="s">
        <v>20</v>
      </c>
      <c r="F201" s="554" t="s">
        <v>21</v>
      </c>
      <c r="G201" s="554" t="s">
        <v>22</v>
      </c>
      <c r="H201" s="554" t="s">
        <v>23</v>
      </c>
      <c r="I201" s="554" t="s">
        <v>24</v>
      </c>
      <c r="J201" s="554" t="s">
        <v>25</v>
      </c>
      <c r="K201" s="554" t="s">
        <v>26</v>
      </c>
      <c r="L201" s="554" t="s">
        <v>27</v>
      </c>
      <c r="M201" s="554" t="s">
        <v>28</v>
      </c>
      <c r="N201" s="554" t="s">
        <v>29</v>
      </c>
      <c r="O201" s="554" t="s">
        <v>30</v>
      </c>
      <c r="P201" s="555" t="s">
        <v>954</v>
      </c>
    </row>
    <row r="202" spans="1:16" ht="15.5" thickBot="1">
      <c r="B202" s="214" t="s">
        <v>56</v>
      </c>
      <c r="C202" s="215"/>
      <c r="D202" s="215"/>
      <c r="E202" s="215"/>
      <c r="F202" s="215"/>
      <c r="G202" s="215"/>
      <c r="H202" s="215"/>
      <c r="I202" s="215"/>
      <c r="J202" s="215"/>
      <c r="K202" s="215"/>
      <c r="L202" s="215"/>
      <c r="M202" s="215"/>
      <c r="N202" s="215"/>
      <c r="O202" s="215"/>
      <c r="P202" s="563"/>
    </row>
    <row r="203" spans="1:16" ht="15.5" thickBot="1">
      <c r="B203" s="216" t="s">
        <v>57</v>
      </c>
      <c r="C203" s="217"/>
      <c r="D203" s="217"/>
      <c r="E203" s="217"/>
      <c r="F203" s="217"/>
      <c r="G203" s="217"/>
      <c r="H203" s="217"/>
      <c r="I203" s="217"/>
      <c r="J203" s="217"/>
      <c r="K203" s="217"/>
      <c r="L203" s="217"/>
      <c r="M203" s="217"/>
      <c r="N203" s="217"/>
      <c r="O203" s="217"/>
      <c r="P203" s="575"/>
    </row>
    <row r="204" spans="1:16" ht="16" thickBot="1">
      <c r="B204" s="218" t="s">
        <v>360</v>
      </c>
      <c r="C204" s="206">
        <v>4811.0870000000004</v>
      </c>
      <c r="D204" s="206">
        <v>7632.4707900000003</v>
      </c>
      <c r="E204" s="206">
        <v>2960.3437300000001</v>
      </c>
      <c r="F204" s="206">
        <v>4209.6983300000002</v>
      </c>
      <c r="G204" s="206">
        <v>5845.4695499999998</v>
      </c>
      <c r="H204" s="206">
        <v>6241.0284299999994</v>
      </c>
      <c r="I204" s="206">
        <v>4340.3495800000001</v>
      </c>
      <c r="J204" s="206">
        <v>0</v>
      </c>
      <c r="K204" s="206">
        <v>820.54024000000004</v>
      </c>
      <c r="L204" s="206">
        <v>4524.85167</v>
      </c>
      <c r="M204" s="206">
        <v>6892.5769099999998</v>
      </c>
      <c r="N204" s="206">
        <v>2431.4656600000003</v>
      </c>
      <c r="O204" s="206">
        <v>2740</v>
      </c>
      <c r="P204" s="576">
        <v>1225</v>
      </c>
    </row>
    <row r="205" spans="1:16" ht="16" thickBot="1">
      <c r="B205" s="218" t="s">
        <v>361</v>
      </c>
      <c r="C205" s="206">
        <v>1794.2190000000001</v>
      </c>
      <c r="D205" s="206">
        <v>1689.6590000000001</v>
      </c>
      <c r="E205" s="206">
        <v>1757.05223</v>
      </c>
      <c r="F205" s="206">
        <v>2214.33592</v>
      </c>
      <c r="G205" s="206">
        <v>2150.4177799999998</v>
      </c>
      <c r="H205" s="206">
        <v>2119.5779400000001</v>
      </c>
      <c r="I205" s="206">
        <v>2170.3915000000002</v>
      </c>
      <c r="J205" s="206">
        <v>2461.7483900000002</v>
      </c>
      <c r="K205" s="206">
        <v>1860.9651399999998</v>
      </c>
      <c r="L205" s="206">
        <v>1303.0773200000001</v>
      </c>
      <c r="M205" s="206">
        <v>1222.0773200000001</v>
      </c>
      <c r="N205" s="206">
        <v>1601.5922399999999</v>
      </c>
      <c r="O205" s="206">
        <v>1589</v>
      </c>
      <c r="P205" s="576">
        <v>1419</v>
      </c>
    </row>
    <row r="206" spans="1:16" ht="16" thickBot="1">
      <c r="B206" s="218" t="s">
        <v>362</v>
      </c>
      <c r="C206" s="206">
        <v>1525.7124199999998</v>
      </c>
      <c r="D206" s="206">
        <v>26.759</v>
      </c>
      <c r="E206" s="206">
        <v>1407.26495</v>
      </c>
      <c r="F206" s="206">
        <v>26.091549999999998</v>
      </c>
      <c r="G206" s="206">
        <v>98.800350000000009</v>
      </c>
      <c r="H206" s="206">
        <v>94.047300000000007</v>
      </c>
      <c r="I206" s="206">
        <v>101.66050999999999</v>
      </c>
      <c r="J206" s="206">
        <v>85.848479999999995</v>
      </c>
      <c r="K206" s="206">
        <v>63.200269999999996</v>
      </c>
      <c r="L206" s="206">
        <v>74.429369999999992</v>
      </c>
      <c r="M206" s="206">
        <v>68.628219999999999</v>
      </c>
      <c r="N206" s="206">
        <v>147.84021999999999</v>
      </c>
      <c r="O206" s="206">
        <v>218</v>
      </c>
      <c r="P206" s="576">
        <v>204</v>
      </c>
    </row>
    <row r="207" spans="1:16" ht="16" thickBot="1">
      <c r="B207" s="218" t="s">
        <v>363</v>
      </c>
      <c r="C207" s="206">
        <v>1.4590000000000001</v>
      </c>
      <c r="D207" s="206">
        <v>0</v>
      </c>
      <c r="E207" s="206">
        <v>0.50731000000000004</v>
      </c>
      <c r="F207" s="206">
        <v>0</v>
      </c>
      <c r="G207" s="206">
        <v>0</v>
      </c>
      <c r="H207" s="206">
        <v>0</v>
      </c>
      <c r="I207" s="206">
        <v>0</v>
      </c>
      <c r="J207" s="206">
        <v>5.6841999999999997</v>
      </c>
      <c r="K207" s="206">
        <v>5.1675300000000002</v>
      </c>
      <c r="L207" s="206">
        <v>14.872110000000001</v>
      </c>
      <c r="M207" s="206">
        <v>-3.1183400000000003</v>
      </c>
      <c r="N207" s="206">
        <v>7.8630800000000001</v>
      </c>
      <c r="O207" s="206">
        <v>10</v>
      </c>
      <c r="P207" s="576">
        <v>19</v>
      </c>
    </row>
    <row r="208" spans="1:16" ht="16" thickBot="1">
      <c r="B208" s="218" t="s">
        <v>319</v>
      </c>
      <c r="C208" s="206">
        <v>1129.095</v>
      </c>
      <c r="D208" s="206">
        <v>1147.7450800000001</v>
      </c>
      <c r="E208" s="206">
        <v>1158.82708</v>
      </c>
      <c r="F208" s="206">
        <v>1204.0717099999999</v>
      </c>
      <c r="G208" s="206">
        <v>1224.7464299999999</v>
      </c>
      <c r="H208" s="206">
        <v>1335.0415600000001</v>
      </c>
      <c r="I208" s="206">
        <v>1327.07656</v>
      </c>
      <c r="J208" s="206">
        <v>1327.07656</v>
      </c>
      <c r="K208" s="206">
        <v>1323.5245300000001</v>
      </c>
      <c r="L208" s="206">
        <v>1204.7401599999998</v>
      </c>
      <c r="M208" s="206">
        <v>1204.7401599999998</v>
      </c>
      <c r="N208" s="206">
        <v>1194.7401599999998</v>
      </c>
      <c r="O208" s="206">
        <v>1195</v>
      </c>
      <c r="P208" s="576">
        <v>1169</v>
      </c>
    </row>
    <row r="209" spans="2:16" ht="16" thickBot="1">
      <c r="B209" s="218" t="s">
        <v>364</v>
      </c>
      <c r="C209" s="206">
        <v>36.016580000000005</v>
      </c>
      <c r="D209" s="206">
        <v>0</v>
      </c>
      <c r="E209" s="206">
        <v>0</v>
      </c>
      <c r="F209" s="206">
        <v>0</v>
      </c>
      <c r="G209" s="206">
        <v>0</v>
      </c>
      <c r="H209" s="206">
        <v>0</v>
      </c>
      <c r="I209" s="206">
        <v>0</v>
      </c>
      <c r="J209" s="206">
        <v>0</v>
      </c>
      <c r="K209" s="206">
        <v>0</v>
      </c>
      <c r="L209" s="206">
        <v>0</v>
      </c>
      <c r="M209" s="206">
        <v>0</v>
      </c>
      <c r="N209" s="206">
        <v>0</v>
      </c>
      <c r="O209" s="206">
        <v>0</v>
      </c>
      <c r="P209" s="576">
        <v>0</v>
      </c>
    </row>
    <row r="210" spans="2:16" ht="16" thickBot="1">
      <c r="B210" s="218" t="s">
        <v>365</v>
      </c>
      <c r="C210" s="206">
        <v>3.9380000000000002</v>
      </c>
      <c r="D210" s="206">
        <v>79.573170000000005</v>
      </c>
      <c r="E210" s="206">
        <v>18.140130000000003</v>
      </c>
      <c r="F210" s="206">
        <v>8.1252899999999997</v>
      </c>
      <c r="G210" s="206">
        <v>189.06744</v>
      </c>
      <c r="H210" s="206">
        <v>155.42836</v>
      </c>
      <c r="I210" s="206">
        <v>122.40894</v>
      </c>
      <c r="J210" s="206">
        <v>81.904800000000009</v>
      </c>
      <c r="K210" s="206">
        <v>42.55077</v>
      </c>
      <c r="L210" s="206">
        <v>35.402749999999997</v>
      </c>
      <c r="M210" s="206">
        <v>187.86411999999999</v>
      </c>
      <c r="N210" s="206">
        <v>145.20313000000002</v>
      </c>
      <c r="O210" s="206">
        <v>97</v>
      </c>
      <c r="P210" s="576">
        <v>117</v>
      </c>
    </row>
    <row r="211" spans="2:16" ht="16" thickBot="1">
      <c r="B211" s="302" t="s">
        <v>123</v>
      </c>
      <c r="C211" s="199">
        <v>0</v>
      </c>
      <c r="D211" s="199">
        <v>0</v>
      </c>
      <c r="E211" s="199">
        <v>0</v>
      </c>
      <c r="F211" s="199">
        <v>0</v>
      </c>
      <c r="G211" s="199">
        <v>0</v>
      </c>
      <c r="H211" s="199">
        <v>0</v>
      </c>
      <c r="I211" s="199">
        <v>0</v>
      </c>
      <c r="J211" s="199">
        <v>0</v>
      </c>
      <c r="K211" s="199">
        <v>0</v>
      </c>
      <c r="L211" s="199">
        <v>0</v>
      </c>
      <c r="M211" s="199">
        <v>0</v>
      </c>
      <c r="N211" s="199">
        <v>0</v>
      </c>
      <c r="O211" s="199">
        <v>0</v>
      </c>
      <c r="P211" s="577">
        <v>3342</v>
      </c>
    </row>
    <row r="212" spans="2:16" ht="15.5" thickBot="1">
      <c r="B212" s="268" t="s">
        <v>64</v>
      </c>
      <c r="C212" s="246">
        <f t="shared" ref="C212:N212" si="20">SUM(C204:C210)</f>
        <v>9301.527</v>
      </c>
      <c r="D212" s="246">
        <f t="shared" si="20"/>
        <v>10576.207040000001</v>
      </c>
      <c r="E212" s="246">
        <f t="shared" si="20"/>
        <v>7302.1354299999994</v>
      </c>
      <c r="F212" s="246">
        <f t="shared" si="20"/>
        <v>7662.3228000000008</v>
      </c>
      <c r="G212" s="246">
        <f t="shared" si="20"/>
        <v>9508.5015500000009</v>
      </c>
      <c r="H212" s="246">
        <f t="shared" si="20"/>
        <v>9945.1235899999992</v>
      </c>
      <c r="I212" s="246">
        <f t="shared" si="20"/>
        <v>8061.8870899999993</v>
      </c>
      <c r="J212" s="246">
        <f t="shared" si="20"/>
        <v>3962.2624300000002</v>
      </c>
      <c r="K212" s="246">
        <f t="shared" si="20"/>
        <v>4115.94848</v>
      </c>
      <c r="L212" s="246">
        <f t="shared" si="20"/>
        <v>7157.37338</v>
      </c>
      <c r="M212" s="246">
        <f t="shared" si="20"/>
        <v>9572.7683899999993</v>
      </c>
      <c r="N212" s="246">
        <f t="shared" si="20"/>
        <v>5528.7044900000001</v>
      </c>
      <c r="O212" s="246">
        <v>5849</v>
      </c>
      <c r="P212" s="565">
        <f>SUM(P204:P211)</f>
        <v>7495</v>
      </c>
    </row>
    <row r="213" spans="2:16" ht="15.5" thickBot="1">
      <c r="B213" s="269" t="s">
        <v>65</v>
      </c>
      <c r="C213" s="245"/>
      <c r="D213" s="245"/>
      <c r="E213" s="245"/>
      <c r="F213" s="245"/>
      <c r="G213" s="245"/>
      <c r="H213" s="245"/>
      <c r="I213" s="245"/>
      <c r="J213" s="245"/>
      <c r="K213" s="245"/>
      <c r="L213" s="245"/>
      <c r="M213" s="245"/>
      <c r="N213" s="245"/>
      <c r="O213" s="245"/>
      <c r="P213" s="564"/>
    </row>
    <row r="214" spans="2:16" ht="16" thickBot="1">
      <c r="B214" s="218" t="s">
        <v>366</v>
      </c>
      <c r="C214" s="206"/>
      <c r="D214" s="206"/>
      <c r="E214" s="206"/>
      <c r="F214" s="206"/>
      <c r="G214" s="206"/>
      <c r="H214" s="206"/>
      <c r="I214" s="206"/>
      <c r="J214" s="206"/>
      <c r="K214" s="206"/>
      <c r="L214" s="206">
        <v>0</v>
      </c>
      <c r="M214" s="206">
        <v>0</v>
      </c>
      <c r="N214" s="270">
        <v>0</v>
      </c>
      <c r="O214" s="270">
        <v>0</v>
      </c>
      <c r="P214" s="578">
        <v>0</v>
      </c>
    </row>
    <row r="215" spans="2:16" ht="16" thickBot="1">
      <c r="B215" s="218" t="s">
        <v>367</v>
      </c>
      <c r="C215" s="206">
        <v>0.26</v>
      </c>
      <c r="D215" s="206">
        <v>0.20399999999999999</v>
      </c>
      <c r="E215" s="206">
        <v>0.19800000000000001</v>
      </c>
      <c r="F215" s="206">
        <v>0.16600000000000001</v>
      </c>
      <c r="G215" s="206">
        <v>0.17299999999999999</v>
      </c>
      <c r="H215" s="206">
        <v>0.17599999999999999</v>
      </c>
      <c r="I215" s="206">
        <v>4.8000000000000001E-2</v>
      </c>
      <c r="J215" s="206">
        <v>0.14599999999999999</v>
      </c>
      <c r="K215" s="206">
        <v>0.158</v>
      </c>
      <c r="L215" s="206">
        <v>0.224</v>
      </c>
      <c r="M215" s="206">
        <v>0.189</v>
      </c>
      <c r="N215" s="206">
        <v>0.14199999999999999</v>
      </c>
      <c r="O215" s="206">
        <v>158463</v>
      </c>
      <c r="P215" s="576">
        <v>160069</v>
      </c>
    </row>
    <row r="216" spans="2:16" ht="16" thickBot="1">
      <c r="B216" s="218" t="s">
        <v>368</v>
      </c>
      <c r="C216" s="206">
        <v>49.704000000000001</v>
      </c>
      <c r="D216" s="206">
        <v>47.05189</v>
      </c>
      <c r="E216" s="206">
        <v>46.38879</v>
      </c>
      <c r="F216" s="206">
        <v>45.725699999999996</v>
      </c>
      <c r="G216" s="206">
        <v>45.062609999999999</v>
      </c>
      <c r="H216" s="206">
        <v>44.399519999999995</v>
      </c>
      <c r="I216" s="206">
        <v>43.736419999999995</v>
      </c>
      <c r="J216" s="206">
        <v>43.073329999999999</v>
      </c>
      <c r="K216" s="206">
        <v>42.410239999999995</v>
      </c>
      <c r="L216" s="206">
        <v>52.997150000000005</v>
      </c>
      <c r="M216" s="206">
        <v>52.334050000000005</v>
      </c>
      <c r="N216" s="206">
        <v>51.670960000000001</v>
      </c>
      <c r="O216" s="206">
        <v>51</v>
      </c>
      <c r="P216" s="576">
        <v>58</v>
      </c>
    </row>
    <row r="217" spans="2:16" ht="16" thickBot="1">
      <c r="B217" s="218" t="s">
        <v>369</v>
      </c>
      <c r="C217" s="206">
        <v>56040.737999999998</v>
      </c>
      <c r="D217" s="206">
        <v>52615.105539999997</v>
      </c>
      <c r="E217" s="206">
        <v>51750.887499999997</v>
      </c>
      <c r="F217" s="206">
        <v>50886.669439999998</v>
      </c>
      <c r="G217" s="206">
        <v>50022.451420000005</v>
      </c>
      <c r="H217" s="206">
        <v>49158.233390000001</v>
      </c>
      <c r="I217" s="206">
        <v>48294.015350000001</v>
      </c>
      <c r="J217" s="206">
        <v>47425.467840000005</v>
      </c>
      <c r="K217" s="206">
        <v>46561.30833</v>
      </c>
      <c r="L217" s="206">
        <v>47570.886610000001</v>
      </c>
      <c r="M217" s="206">
        <v>46841.211670000004</v>
      </c>
      <c r="N217" s="206">
        <v>46111.537020000003</v>
      </c>
      <c r="O217" s="206">
        <v>45382</v>
      </c>
      <c r="P217" s="576">
        <v>44652</v>
      </c>
    </row>
    <row r="218" spans="2:16" ht="16" thickBot="1">
      <c r="B218" s="218" t="s">
        <v>370</v>
      </c>
      <c r="C218" s="206">
        <v>871.41300000000001</v>
      </c>
      <c r="D218" s="206">
        <v>535.50527</v>
      </c>
      <c r="E218" s="206">
        <v>565.4166899999999</v>
      </c>
      <c r="F218" s="206">
        <v>744.12060999999994</v>
      </c>
      <c r="G218" s="206">
        <v>636.98600999999996</v>
      </c>
      <c r="H218" s="206">
        <v>645.24162000000001</v>
      </c>
      <c r="I218" s="206">
        <v>652.8723</v>
      </c>
      <c r="J218" s="206">
        <v>653.57219999999995</v>
      </c>
      <c r="K218" s="206">
        <v>602.31506000000002</v>
      </c>
      <c r="L218" s="206">
        <v>228.29979999999998</v>
      </c>
      <c r="M218" s="206">
        <v>237.64404999999999</v>
      </c>
      <c r="N218" s="206">
        <v>233.39692000000002</v>
      </c>
      <c r="O218" s="206">
        <v>347</v>
      </c>
      <c r="P218" s="576">
        <v>278</v>
      </c>
    </row>
    <row r="219" spans="2:16" ht="15.5" thickBot="1">
      <c r="B219" s="216" t="s">
        <v>78</v>
      </c>
      <c r="C219" s="221">
        <f>SUM(C214:C218)</f>
        <v>56962.114999999998</v>
      </c>
      <c r="D219" s="221">
        <f t="shared" ref="D219:N219" si="21">SUM(D214:D218)</f>
        <v>53197.866699999999</v>
      </c>
      <c r="E219" s="221">
        <f t="shared" si="21"/>
        <v>52362.890979999996</v>
      </c>
      <c r="F219" s="221">
        <f t="shared" si="21"/>
        <v>51676.681749999996</v>
      </c>
      <c r="G219" s="221">
        <f t="shared" si="21"/>
        <v>50704.673040000009</v>
      </c>
      <c r="H219" s="221">
        <f t="shared" si="21"/>
        <v>49848.05053</v>
      </c>
      <c r="I219" s="221">
        <f t="shared" si="21"/>
        <v>48990.672070000008</v>
      </c>
      <c r="J219" s="221">
        <f t="shared" si="21"/>
        <v>48122.259370000007</v>
      </c>
      <c r="K219" s="221">
        <f t="shared" si="21"/>
        <v>47206.191630000001</v>
      </c>
      <c r="L219" s="221">
        <f t="shared" si="21"/>
        <v>47852.40756</v>
      </c>
      <c r="M219" s="221">
        <f t="shared" si="21"/>
        <v>47131.37877000001</v>
      </c>
      <c r="N219" s="221">
        <f t="shared" si="21"/>
        <v>46396.746900000006</v>
      </c>
      <c r="O219" s="221">
        <v>204243</v>
      </c>
      <c r="P219" s="579">
        <f>SUM(P214:P218)</f>
        <v>205057</v>
      </c>
    </row>
    <row r="220" spans="2:16" ht="15.5" thickBot="1">
      <c r="B220" s="222" t="s">
        <v>79</v>
      </c>
      <c r="C220" s="223">
        <f>+C212+C219</f>
        <v>66263.641999999993</v>
      </c>
      <c r="D220" s="223">
        <f t="shared" ref="D220:P220" si="22">+D212+D219</f>
        <v>63774.07374</v>
      </c>
      <c r="E220" s="223">
        <f t="shared" si="22"/>
        <v>59665.026409999999</v>
      </c>
      <c r="F220" s="223">
        <f t="shared" si="22"/>
        <v>59339.004549999998</v>
      </c>
      <c r="G220" s="223">
        <f t="shared" si="22"/>
        <v>60213.17459000001</v>
      </c>
      <c r="H220" s="223">
        <f t="shared" si="22"/>
        <v>59793.174119999996</v>
      </c>
      <c r="I220" s="223">
        <f t="shared" si="22"/>
        <v>57052.559160000004</v>
      </c>
      <c r="J220" s="223">
        <f t="shared" si="22"/>
        <v>52084.52180000001</v>
      </c>
      <c r="K220" s="223">
        <f t="shared" si="22"/>
        <v>51322.14011</v>
      </c>
      <c r="L220" s="223">
        <f t="shared" si="22"/>
        <v>55009.780939999997</v>
      </c>
      <c r="M220" s="223">
        <f t="shared" si="22"/>
        <v>56704.147160000008</v>
      </c>
      <c r="N220" s="223">
        <f t="shared" si="22"/>
        <v>51925.451390000002</v>
      </c>
      <c r="O220" s="223">
        <v>210092</v>
      </c>
      <c r="P220" s="580">
        <f t="shared" si="22"/>
        <v>212552</v>
      </c>
    </row>
    <row r="221" spans="2:16" ht="15.5" thickBot="1">
      <c r="B221" s="224"/>
      <c r="C221" s="225"/>
      <c r="D221" s="225"/>
      <c r="E221" s="225"/>
      <c r="F221" s="225"/>
      <c r="G221" s="225"/>
      <c r="H221" s="225"/>
      <c r="I221" s="225"/>
      <c r="J221" s="225"/>
      <c r="K221" s="225"/>
      <c r="L221" s="225"/>
      <c r="M221" s="225"/>
      <c r="N221" s="249"/>
      <c r="O221" s="249"/>
      <c r="P221" s="568"/>
    </row>
    <row r="222" spans="2:16" ht="15.5" thickBot="1">
      <c r="B222" s="214" t="s">
        <v>80</v>
      </c>
      <c r="C222" s="226"/>
      <c r="D222" s="226"/>
      <c r="E222" s="226"/>
      <c r="F222" s="226"/>
      <c r="G222" s="226"/>
      <c r="H222" s="226"/>
      <c r="I222" s="226"/>
      <c r="J222" s="226"/>
      <c r="K222" s="226"/>
      <c r="L222" s="226"/>
      <c r="M222" s="226"/>
      <c r="N222" s="226"/>
      <c r="O222" s="226"/>
      <c r="P222" s="581"/>
    </row>
    <row r="223" spans="2:16" ht="15.5" thickBot="1">
      <c r="B223" s="216" t="s">
        <v>81</v>
      </c>
      <c r="C223" s="227"/>
      <c r="D223" s="227"/>
      <c r="E223" s="227"/>
      <c r="F223" s="227"/>
      <c r="G223" s="227"/>
      <c r="H223" s="227"/>
      <c r="I223" s="227"/>
      <c r="J223" s="227"/>
      <c r="K223" s="227"/>
      <c r="L223" s="227"/>
      <c r="M223" s="227"/>
      <c r="N223" s="227"/>
      <c r="O223" s="227"/>
      <c r="P223" s="582"/>
    </row>
    <row r="224" spans="2:16" ht="16" thickBot="1">
      <c r="B224" s="218" t="s">
        <v>371</v>
      </c>
      <c r="C224" s="206">
        <v>0</v>
      </c>
      <c r="D224" s="206">
        <v>0</v>
      </c>
      <c r="E224" s="206">
        <v>0</v>
      </c>
      <c r="F224" s="206">
        <v>0</v>
      </c>
      <c r="G224" s="206">
        <v>0</v>
      </c>
      <c r="H224" s="206">
        <v>0</v>
      </c>
      <c r="I224" s="206">
        <v>0</v>
      </c>
      <c r="J224" s="206">
        <v>1240.6630500000001</v>
      </c>
      <c r="K224" s="206">
        <v>0</v>
      </c>
      <c r="L224" s="206">
        <v>0</v>
      </c>
      <c r="M224" s="206">
        <v>0</v>
      </c>
      <c r="N224" s="206">
        <v>0</v>
      </c>
      <c r="O224" s="206">
        <v>0</v>
      </c>
      <c r="P224" s="576">
        <v>0</v>
      </c>
    </row>
    <row r="225" spans="2:16" ht="16" thickBot="1">
      <c r="B225" s="218" t="s">
        <v>372</v>
      </c>
      <c r="C225" s="206">
        <v>2089.9720000000002</v>
      </c>
      <c r="D225" s="206">
        <v>262.15836999999999</v>
      </c>
      <c r="E225" s="206">
        <v>100.83333</v>
      </c>
      <c r="F225" s="206">
        <v>104.45219</v>
      </c>
      <c r="G225" s="206">
        <v>107.15575</v>
      </c>
      <c r="H225" s="206">
        <v>127.10474000000001</v>
      </c>
      <c r="I225" s="206">
        <v>115.89825999999999</v>
      </c>
      <c r="J225" s="206">
        <v>52.311879999999995</v>
      </c>
      <c r="K225" s="206">
        <v>111.28141000000001</v>
      </c>
      <c r="L225" s="206">
        <v>227.55151999999998</v>
      </c>
      <c r="M225" s="206">
        <v>247.11226000000002</v>
      </c>
      <c r="N225" s="206">
        <v>121.59957</v>
      </c>
      <c r="O225" s="206">
        <v>389</v>
      </c>
      <c r="P225" s="576">
        <v>479</v>
      </c>
    </row>
    <row r="226" spans="2:16" ht="16" thickBot="1">
      <c r="B226" s="218" t="s">
        <v>373</v>
      </c>
      <c r="C226" s="206">
        <v>40.892000000000003</v>
      </c>
      <c r="D226" s="206">
        <v>184.137</v>
      </c>
      <c r="E226" s="206">
        <v>1636.48748</v>
      </c>
      <c r="F226" s="206">
        <v>227.46798000000001</v>
      </c>
      <c r="G226" s="206">
        <v>236.20139</v>
      </c>
      <c r="H226" s="206">
        <v>230.71124000000006</v>
      </c>
      <c r="I226" s="206">
        <v>306.72906999999992</v>
      </c>
      <c r="J226" s="206">
        <v>271.56617</v>
      </c>
      <c r="K226" s="206">
        <v>259.90174000000002</v>
      </c>
      <c r="L226" s="206">
        <v>217.59421999999998</v>
      </c>
      <c r="M226" s="206">
        <v>224.76383000000001</v>
      </c>
      <c r="N226" s="206">
        <v>240.35527999999999</v>
      </c>
      <c r="O226" s="206">
        <v>235</v>
      </c>
      <c r="P226" s="576">
        <v>159</v>
      </c>
    </row>
    <row r="227" spans="2:16" ht="16" thickBot="1">
      <c r="B227" s="218" t="s">
        <v>374</v>
      </c>
      <c r="C227" s="206">
        <v>11.651</v>
      </c>
      <c r="D227" s="206">
        <v>0</v>
      </c>
      <c r="E227" s="206">
        <v>17.333490000000001</v>
      </c>
      <c r="F227" s="206">
        <v>3.9153699999999998</v>
      </c>
      <c r="G227" s="206">
        <v>2.7907100000000002</v>
      </c>
      <c r="H227" s="206">
        <v>1.9128800000000001</v>
      </c>
      <c r="I227" s="206">
        <v>3.62263</v>
      </c>
      <c r="J227" s="206">
        <v>0</v>
      </c>
      <c r="K227" s="206">
        <v>0</v>
      </c>
      <c r="L227" s="206">
        <v>0</v>
      </c>
      <c r="M227" s="206">
        <v>0</v>
      </c>
      <c r="N227" s="206">
        <v>0</v>
      </c>
      <c r="O227" s="206">
        <v>0</v>
      </c>
      <c r="P227" s="576">
        <v>0</v>
      </c>
    </row>
    <row r="228" spans="2:16" ht="16" thickBot="1">
      <c r="B228" s="218" t="s">
        <v>375</v>
      </c>
      <c r="C228" s="206">
        <v>483.81599999999997</v>
      </c>
      <c r="D228" s="206">
        <v>399.12099999999998</v>
      </c>
      <c r="E228" s="206">
        <v>325.68234999999999</v>
      </c>
      <c r="F228" s="206">
        <v>317.73381999999992</v>
      </c>
      <c r="G228" s="206">
        <v>310.14509999999996</v>
      </c>
      <c r="H228" s="206">
        <v>49.533729999999984</v>
      </c>
      <c r="I228" s="206">
        <v>20.591940000000061</v>
      </c>
      <c r="J228" s="206">
        <v>24.260960000000079</v>
      </c>
      <c r="K228" s="206">
        <v>27.394239999999932</v>
      </c>
      <c r="L228" s="206">
        <v>38.132859999999987</v>
      </c>
      <c r="M228" s="206">
        <v>38.321949999999951</v>
      </c>
      <c r="N228" s="206">
        <v>44.198779999999914</v>
      </c>
      <c r="O228" s="206">
        <v>-985</v>
      </c>
      <c r="P228" s="576">
        <v>275</v>
      </c>
    </row>
    <row r="229" spans="2:16" ht="16" thickBot="1">
      <c r="B229" s="218" t="s">
        <v>376</v>
      </c>
      <c r="C229" s="206">
        <v>536.35900000000004</v>
      </c>
      <c r="D229" s="206">
        <v>583.25800000000004</v>
      </c>
      <c r="E229" s="206">
        <v>1979.5033199999998</v>
      </c>
      <c r="F229" s="206">
        <v>549.11716999999987</v>
      </c>
      <c r="G229" s="206">
        <v>549.13720000000001</v>
      </c>
      <c r="H229" s="206">
        <v>282.15785000000005</v>
      </c>
      <c r="I229" s="206">
        <v>330.94364000000002</v>
      </c>
      <c r="J229" s="206">
        <v>295.82713000000007</v>
      </c>
      <c r="K229" s="206">
        <v>287.29597999999999</v>
      </c>
      <c r="L229" s="206">
        <v>255.72707999999994</v>
      </c>
      <c r="M229" s="206">
        <v>263.08577999999994</v>
      </c>
      <c r="N229" s="206">
        <v>284.55405999999994</v>
      </c>
      <c r="O229" s="206">
        <v>-750</v>
      </c>
      <c r="P229" s="576">
        <v>435</v>
      </c>
    </row>
    <row r="230" spans="2:16" ht="16" thickBot="1">
      <c r="B230" s="218" t="s">
        <v>377</v>
      </c>
      <c r="C230" s="206">
        <v>321.90899999999999</v>
      </c>
      <c r="D230" s="206">
        <v>117.44467</v>
      </c>
      <c r="E230" s="206">
        <v>135.73020000000002</v>
      </c>
      <c r="F230" s="206">
        <v>61.590290000000003</v>
      </c>
      <c r="G230" s="206">
        <v>10.50412</v>
      </c>
      <c r="H230" s="206">
        <v>77.913679999999999</v>
      </c>
      <c r="I230" s="206">
        <v>7436.6472800000001</v>
      </c>
      <c r="J230" s="206">
        <v>159.73886999999999</v>
      </c>
      <c r="K230" s="206">
        <v>95.959039999999987</v>
      </c>
      <c r="L230" s="206">
        <v>201.55891</v>
      </c>
      <c r="M230" s="206">
        <v>216.07115999999999</v>
      </c>
      <c r="N230" s="206">
        <v>-4.6391200000000001</v>
      </c>
      <c r="O230" s="206">
        <v>77</v>
      </c>
      <c r="P230" s="576">
        <v>89</v>
      </c>
    </row>
    <row r="231" spans="2:16" ht="16" thickBot="1">
      <c r="B231" s="218" t="s">
        <v>378</v>
      </c>
      <c r="C231" s="206">
        <v>504.51900000000001</v>
      </c>
      <c r="D231" s="206">
        <v>6.6830600000000002</v>
      </c>
      <c r="E231" s="206">
        <v>-13.63313</v>
      </c>
      <c r="F231" s="206">
        <v>219.48492000000002</v>
      </c>
      <c r="G231" s="206">
        <v>288.99624</v>
      </c>
      <c r="H231" s="206">
        <v>348.58605999999997</v>
      </c>
      <c r="I231" s="206">
        <v>445.79001</v>
      </c>
      <c r="J231" s="206">
        <v>359.95370000000003</v>
      </c>
      <c r="K231" s="206">
        <v>251.30396999999999</v>
      </c>
      <c r="L231" s="206">
        <v>312.82451000000003</v>
      </c>
      <c r="M231" s="206">
        <v>311.09944000000002</v>
      </c>
      <c r="N231" s="206">
        <v>248.18477999999999</v>
      </c>
      <c r="O231" s="206">
        <v>50</v>
      </c>
      <c r="P231" s="576">
        <v>-220</v>
      </c>
    </row>
    <row r="232" spans="2:16" ht="16" thickBot="1">
      <c r="B232" s="218" t="s">
        <v>379</v>
      </c>
      <c r="C232" s="206">
        <v>685.7</v>
      </c>
      <c r="D232" s="206">
        <v>210.16800000000001</v>
      </c>
      <c r="E232" s="206">
        <v>232.7165</v>
      </c>
      <c r="F232" s="206">
        <v>268.33249999999998</v>
      </c>
      <c r="G232" s="206">
        <v>250.88574</v>
      </c>
      <c r="H232" s="206">
        <v>627.00434999999993</v>
      </c>
      <c r="I232" s="206">
        <v>572.33484999999996</v>
      </c>
      <c r="J232" s="206">
        <v>560.98996</v>
      </c>
      <c r="K232" s="206">
        <v>519.61709000000008</v>
      </c>
      <c r="L232" s="206">
        <v>713.46316999999999</v>
      </c>
      <c r="M232" s="206">
        <v>720.11279000000002</v>
      </c>
      <c r="N232" s="206">
        <v>720.47079000000008</v>
      </c>
      <c r="O232" s="206">
        <v>728</v>
      </c>
      <c r="P232" s="576">
        <v>704</v>
      </c>
    </row>
    <row r="233" spans="2:16" ht="16" thickBot="1">
      <c r="B233" s="218" t="s">
        <v>380</v>
      </c>
      <c r="C233" s="206">
        <v>0</v>
      </c>
      <c r="D233" s="206">
        <v>5688.2420000000002</v>
      </c>
      <c r="E233" s="206">
        <v>9758.3232100000005</v>
      </c>
      <c r="F233" s="206">
        <v>9829.2682599999989</v>
      </c>
      <c r="G233" s="206">
        <v>8691.7904999999992</v>
      </c>
      <c r="H233" s="206">
        <v>8808.1124799999998</v>
      </c>
      <c r="I233" s="206">
        <v>4867.3505100000002</v>
      </c>
      <c r="J233" s="206">
        <v>4927.3183799999997</v>
      </c>
      <c r="K233" s="206">
        <v>6273.6756599999999</v>
      </c>
      <c r="L233" s="206">
        <v>2378.6024900000002</v>
      </c>
      <c r="M233" s="206">
        <v>2402.5289199999997</v>
      </c>
      <c r="N233" s="206">
        <v>2425.5372400000001</v>
      </c>
      <c r="O233" s="206">
        <v>6449</v>
      </c>
      <c r="P233" s="576">
        <v>5828</v>
      </c>
    </row>
    <row r="234" spans="2:16" ht="15.5" thickBot="1">
      <c r="B234" s="216" t="s">
        <v>89</v>
      </c>
      <c r="C234" s="221">
        <f>SUM(C224:C233)-SUM(C226:C228)</f>
        <v>4138.4589999999989</v>
      </c>
      <c r="D234" s="221">
        <f t="shared" ref="D234:N234" si="23">SUM(D224:D233)-SUM(D226:D228)</f>
        <v>6867.9541000000008</v>
      </c>
      <c r="E234" s="221">
        <f t="shared" si="23"/>
        <v>12193.47343</v>
      </c>
      <c r="F234" s="221">
        <f t="shared" si="23"/>
        <v>11032.24533</v>
      </c>
      <c r="G234" s="221">
        <f t="shared" si="23"/>
        <v>9898.4695499999998</v>
      </c>
      <c r="H234" s="221">
        <f t="shared" si="23"/>
        <v>10270.87916</v>
      </c>
      <c r="I234" s="221">
        <f t="shared" si="23"/>
        <v>13768.964550000001</v>
      </c>
      <c r="J234" s="221">
        <f t="shared" si="23"/>
        <v>7596.8029700000006</v>
      </c>
      <c r="K234" s="221">
        <f t="shared" si="23"/>
        <v>7539.1331500000006</v>
      </c>
      <c r="L234" s="221">
        <f t="shared" si="23"/>
        <v>4089.7276800000004</v>
      </c>
      <c r="M234" s="221">
        <f t="shared" si="23"/>
        <v>4160.0103499999996</v>
      </c>
      <c r="N234" s="221">
        <f t="shared" si="23"/>
        <v>3795.70732</v>
      </c>
      <c r="O234" s="221">
        <v>6943</v>
      </c>
      <c r="P234" s="579">
        <f>SUM(P224:P233)-SUM(P226:P228)</f>
        <v>7315</v>
      </c>
    </row>
    <row r="235" spans="2:16" ht="15.5" thickBot="1">
      <c r="B235" s="228" t="s">
        <v>90</v>
      </c>
      <c r="C235" s="229"/>
      <c r="D235" s="229"/>
      <c r="E235" s="229"/>
      <c r="F235" s="229"/>
      <c r="G235" s="229"/>
      <c r="H235" s="229"/>
      <c r="I235" s="229"/>
      <c r="J235" s="229"/>
      <c r="K235" s="229"/>
      <c r="L235" s="229"/>
      <c r="M235" s="229"/>
      <c r="N235" s="252"/>
      <c r="O235" s="252"/>
      <c r="P235" s="571"/>
    </row>
    <row r="236" spans="2:16" ht="16" thickBot="1">
      <c r="B236" s="218" t="s">
        <v>379</v>
      </c>
      <c r="C236" s="206">
        <v>1300.029</v>
      </c>
      <c r="D236" s="206">
        <v>1697244</v>
      </c>
      <c r="E236" s="206">
        <v>1844823.31</v>
      </c>
      <c r="F236" s="206">
        <v>2002434.56</v>
      </c>
      <c r="G236" s="206">
        <v>2135025.61</v>
      </c>
      <c r="H236" s="206">
        <v>1765047.2</v>
      </c>
      <c r="I236" s="206">
        <v>1831989.2</v>
      </c>
      <c r="J236" s="206">
        <v>1858996.2</v>
      </c>
      <c r="K236" s="206">
        <v>1813581.54</v>
      </c>
      <c r="L236" s="206">
        <v>1571280.44</v>
      </c>
      <c r="M236" s="206">
        <v>1766725.22</v>
      </c>
      <c r="N236" s="270">
        <v>1969445.18</v>
      </c>
      <c r="O236" s="270">
        <v>2146</v>
      </c>
      <c r="P236" s="578">
        <v>1921</v>
      </c>
    </row>
    <row r="237" spans="2:16" ht="16" thickBot="1">
      <c r="B237" s="218" t="s">
        <v>381</v>
      </c>
      <c r="C237" s="206">
        <v>28696.924999999999</v>
      </c>
      <c r="D237" s="206">
        <v>23087602</v>
      </c>
      <c r="E237" s="206">
        <v>17931891.300000001</v>
      </c>
      <c r="F237" s="206">
        <v>16782040.239999998</v>
      </c>
      <c r="G237" s="206">
        <v>16808582.620000001</v>
      </c>
      <c r="H237" s="206">
        <v>14287117.689999999</v>
      </c>
      <c r="I237" s="206">
        <v>13067882.34</v>
      </c>
      <c r="J237" s="206">
        <v>11840821.93</v>
      </c>
      <c r="K237" s="206">
        <v>9303641.8300000001</v>
      </c>
      <c r="L237" s="206">
        <v>13212562.65</v>
      </c>
      <c r="M237" s="206">
        <v>12618402.449999999</v>
      </c>
      <c r="N237" s="270">
        <v>16008483.66</v>
      </c>
      <c r="O237" s="270">
        <v>169504</v>
      </c>
      <c r="P237" s="578">
        <v>168408</v>
      </c>
    </row>
    <row r="238" spans="2:16" ht="19" customHeight="1" thickBot="1">
      <c r="B238" s="218" t="s">
        <v>382</v>
      </c>
      <c r="C238" s="206">
        <v>0</v>
      </c>
      <c r="D238" s="206">
        <v>0</v>
      </c>
      <c r="E238" s="206">
        <v>0</v>
      </c>
      <c r="F238" s="206">
        <v>0</v>
      </c>
      <c r="G238" s="206">
        <v>0</v>
      </c>
      <c r="H238" s="206">
        <v>0</v>
      </c>
      <c r="I238" s="206">
        <v>0</v>
      </c>
      <c r="J238" s="206">
        <v>0</v>
      </c>
      <c r="K238" s="206">
        <v>0</v>
      </c>
      <c r="L238" s="206">
        <v>0</v>
      </c>
      <c r="M238" s="206">
        <v>0</v>
      </c>
      <c r="N238" s="270">
        <v>0</v>
      </c>
      <c r="O238" s="270">
        <v>0</v>
      </c>
      <c r="P238" s="578">
        <v>0</v>
      </c>
    </row>
    <row r="239" spans="2:16" ht="16" thickBot="1">
      <c r="B239" s="218" t="s">
        <v>383</v>
      </c>
      <c r="C239" s="206">
        <v>0</v>
      </c>
      <c r="D239" s="206">
        <v>0</v>
      </c>
      <c r="E239" s="206">
        <v>0</v>
      </c>
      <c r="F239" s="206">
        <v>0</v>
      </c>
      <c r="G239" s="206">
        <v>0</v>
      </c>
      <c r="H239" s="206">
        <v>0</v>
      </c>
      <c r="I239" s="206">
        <v>0</v>
      </c>
      <c r="J239" s="206">
        <v>0</v>
      </c>
      <c r="K239" s="206">
        <v>0</v>
      </c>
      <c r="L239" s="206">
        <v>0</v>
      </c>
      <c r="M239" s="206">
        <v>0</v>
      </c>
      <c r="N239" s="270">
        <v>0</v>
      </c>
      <c r="O239" s="270">
        <v>0</v>
      </c>
      <c r="P239" s="578">
        <v>0</v>
      </c>
    </row>
    <row r="240" spans="2:16" ht="15.5" thickBot="1">
      <c r="B240" s="216" t="s">
        <v>92</v>
      </c>
      <c r="C240" s="221">
        <f>SUM(C236:C239)</f>
        <v>29996.953999999998</v>
      </c>
      <c r="D240" s="221">
        <v>24784846</v>
      </c>
      <c r="E240" s="221">
        <v>19776714.609999999</v>
      </c>
      <c r="F240" s="221">
        <v>18784474.799999997</v>
      </c>
      <c r="G240" s="221">
        <v>18943608.23</v>
      </c>
      <c r="H240" s="221">
        <v>16052164.889999999</v>
      </c>
      <c r="I240" s="221">
        <v>14899871.539999999</v>
      </c>
      <c r="J240" s="221">
        <v>13699818.129999999</v>
      </c>
      <c r="K240" s="221">
        <v>11117223.370000001</v>
      </c>
      <c r="L240" s="221">
        <v>14783843.09</v>
      </c>
      <c r="M240" s="221">
        <v>14385127.67</v>
      </c>
      <c r="N240" s="247">
        <v>17977928.84</v>
      </c>
      <c r="O240" s="247">
        <v>171650</v>
      </c>
      <c r="P240" s="566">
        <f>SUM(P236:P239)</f>
        <v>170329</v>
      </c>
    </row>
    <row r="241" spans="1:16" ht="15.5" thickBot="1">
      <c r="B241" s="222" t="s">
        <v>93</v>
      </c>
      <c r="C241" s="223">
        <f>+C234+C240</f>
        <v>34135.413</v>
      </c>
      <c r="D241" s="223">
        <v>31652800.100000001</v>
      </c>
      <c r="E241" s="223">
        <v>31970188.039999999</v>
      </c>
      <c r="F241" s="223">
        <v>29816720.129999995</v>
      </c>
      <c r="G241" s="223">
        <v>28842077.780000001</v>
      </c>
      <c r="H241" s="223">
        <v>26323044.050000001</v>
      </c>
      <c r="I241" s="223">
        <v>28668836.089999996</v>
      </c>
      <c r="J241" s="223">
        <v>21296621.099999998</v>
      </c>
      <c r="K241" s="223">
        <v>18656356.520000003</v>
      </c>
      <c r="L241" s="223">
        <v>18873570.77</v>
      </c>
      <c r="M241" s="223">
        <v>18545138.02</v>
      </c>
      <c r="N241" s="248">
        <v>21773636.16</v>
      </c>
      <c r="O241" s="248">
        <v>178593</v>
      </c>
      <c r="P241" s="567">
        <f>P234+P240</f>
        <v>177644</v>
      </c>
    </row>
    <row r="242" spans="1:16" ht="15.5" thickBot="1">
      <c r="B242" s="224"/>
      <c r="C242" s="225"/>
      <c r="D242" s="225"/>
      <c r="E242" s="225"/>
      <c r="F242" s="225"/>
      <c r="G242" s="225"/>
      <c r="H242" s="225"/>
      <c r="I242" s="225"/>
      <c r="J242" s="225"/>
      <c r="K242" s="225"/>
      <c r="L242" s="225"/>
      <c r="M242" s="225"/>
      <c r="N242" s="249"/>
      <c r="O242" s="249"/>
      <c r="P242" s="568"/>
    </row>
    <row r="243" spans="1:16" ht="15.5" thickBot="1">
      <c r="B243" s="230" t="s">
        <v>94</v>
      </c>
      <c r="C243" s="229"/>
      <c r="D243" s="229"/>
      <c r="E243" s="229"/>
      <c r="F243" s="229"/>
      <c r="G243" s="229"/>
      <c r="H243" s="229"/>
      <c r="I243" s="229"/>
      <c r="J243" s="229"/>
      <c r="K243" s="229"/>
      <c r="L243" s="229"/>
      <c r="M243" s="229"/>
      <c r="N243" s="252"/>
      <c r="O243" s="252"/>
      <c r="P243" s="571"/>
    </row>
    <row r="244" spans="1:16" ht="16" thickBot="1">
      <c r="B244" s="218" t="s">
        <v>384</v>
      </c>
      <c r="C244" s="206">
        <v>21658947.609999999</v>
      </c>
      <c r="D244" s="206">
        <v>21658947.609999999</v>
      </c>
      <c r="E244" s="206">
        <v>21658947.609999999</v>
      </c>
      <c r="F244" s="206">
        <v>21658947.609999999</v>
      </c>
      <c r="G244" s="206">
        <v>21658947.609999999</v>
      </c>
      <c r="H244" s="206">
        <v>21658947.609999999</v>
      </c>
      <c r="I244" s="206">
        <v>21658947.609999999</v>
      </c>
      <c r="J244" s="206">
        <v>21658947.609999999</v>
      </c>
      <c r="K244" s="206">
        <v>21658947.609999999</v>
      </c>
      <c r="L244" s="206">
        <v>21658947.609999999</v>
      </c>
      <c r="M244" s="206">
        <v>21658947.609999999</v>
      </c>
      <c r="N244" s="270">
        <v>21658947.609999999</v>
      </c>
      <c r="O244" s="270">
        <v>21659</v>
      </c>
      <c r="P244" s="578">
        <v>21659</v>
      </c>
    </row>
    <row r="245" spans="1:16" ht="16" thickBot="1">
      <c r="B245" s="218" t="s">
        <v>385</v>
      </c>
      <c r="C245" s="206">
        <v>78092.53</v>
      </c>
      <c r="D245" s="206">
        <v>78092.53</v>
      </c>
      <c r="E245" s="206">
        <v>78092.53</v>
      </c>
      <c r="F245" s="206">
        <v>78092.53</v>
      </c>
      <c r="G245" s="206">
        <v>78092.53</v>
      </c>
      <c r="H245" s="206">
        <v>78092.53</v>
      </c>
      <c r="I245" s="206">
        <v>78092.53</v>
      </c>
      <c r="J245" s="206">
        <v>78092.53</v>
      </c>
      <c r="K245" s="206">
        <v>78092.53</v>
      </c>
      <c r="L245" s="206">
        <v>78092.53</v>
      </c>
      <c r="M245" s="206">
        <v>78092.53</v>
      </c>
      <c r="N245" s="270">
        <v>78092.53</v>
      </c>
      <c r="O245" s="270">
        <v>78</v>
      </c>
      <c r="P245" s="578">
        <v>78</v>
      </c>
    </row>
    <row r="246" spans="1:16" ht="16" thickBot="1">
      <c r="B246" s="218" t="s">
        <v>386</v>
      </c>
      <c r="C246" s="206">
        <v>4331789.9800000004</v>
      </c>
      <c r="D246" s="206">
        <v>4331789.9800000004</v>
      </c>
      <c r="E246" s="206">
        <v>4331789.9800000004</v>
      </c>
      <c r="F246" s="206">
        <v>4331789.9800000004</v>
      </c>
      <c r="G246" s="206">
        <v>4331789.9800000004</v>
      </c>
      <c r="H246" s="206">
        <v>4331789.9800000004</v>
      </c>
      <c r="I246" s="206">
        <v>4331789.9800000004</v>
      </c>
      <c r="J246" s="206">
        <v>4331789.9800000004</v>
      </c>
      <c r="K246" s="206">
        <v>4331789.9800000004</v>
      </c>
      <c r="L246" s="206">
        <v>4331789.9800000004</v>
      </c>
      <c r="M246" s="206">
        <v>4331789.9800000004</v>
      </c>
      <c r="N246" s="270">
        <v>4331789.9800000004</v>
      </c>
      <c r="O246" s="270">
        <v>4332</v>
      </c>
      <c r="P246" s="578">
        <v>4332</v>
      </c>
    </row>
    <row r="247" spans="1:16" ht="16" thickBot="1">
      <c r="B247" s="218" t="s">
        <v>387</v>
      </c>
      <c r="C247" s="206">
        <v>6059399</v>
      </c>
      <c r="D247" s="206">
        <v>6052443</v>
      </c>
      <c r="E247" s="206">
        <v>1626156.25</v>
      </c>
      <c r="F247" s="206">
        <v>3453654.3</v>
      </c>
      <c r="G247" s="206">
        <v>5302483.6900000004</v>
      </c>
      <c r="H247" s="206">
        <v>7401530.9500000002</v>
      </c>
      <c r="I247" s="206">
        <v>2315274.9499999997</v>
      </c>
      <c r="J247" s="206">
        <v>4719361.58</v>
      </c>
      <c r="K247" s="206">
        <v>6597255.4700000007</v>
      </c>
      <c r="L247" s="206">
        <v>10067654.049999999</v>
      </c>
      <c r="M247" s="206">
        <v>12090499.020000001</v>
      </c>
      <c r="N247" s="270">
        <v>4083221.11</v>
      </c>
      <c r="O247" s="270">
        <v>5430</v>
      </c>
      <c r="P247" s="578">
        <v>8839</v>
      </c>
    </row>
    <row r="248" spans="1:16" ht="16" thickBot="1">
      <c r="B248" s="218" t="s">
        <v>388</v>
      </c>
      <c r="C248" s="206"/>
      <c r="D248" s="206"/>
      <c r="E248" s="206">
        <v>-148</v>
      </c>
      <c r="F248" s="206">
        <v>-200</v>
      </c>
      <c r="G248" s="206">
        <v>-217</v>
      </c>
      <c r="H248" s="206">
        <v>-231</v>
      </c>
      <c r="I248" s="206">
        <v>-382</v>
      </c>
      <c r="J248" s="206">
        <v>-291</v>
      </c>
      <c r="K248" s="206">
        <v>-302</v>
      </c>
      <c r="L248" s="206">
        <v>-274</v>
      </c>
      <c r="M248" s="206">
        <v>-320</v>
      </c>
      <c r="N248" s="270">
        <v>-236</v>
      </c>
      <c r="O248" s="270">
        <v>0</v>
      </c>
      <c r="P248" s="578">
        <v>0</v>
      </c>
    </row>
    <row r="249" spans="1:16" ht="15.5" thickBot="1">
      <c r="B249" s="216" t="s">
        <v>103</v>
      </c>
      <c r="C249" s="221">
        <v>32128229.120000001</v>
      </c>
      <c r="D249" s="221">
        <v>32121273.120000001</v>
      </c>
      <c r="E249" s="221">
        <v>27694838.370000001</v>
      </c>
      <c r="F249" s="221">
        <v>29522284.420000002</v>
      </c>
      <c r="G249" s="221">
        <v>31371096.810000002</v>
      </c>
      <c r="H249" s="221">
        <v>33470130.07</v>
      </c>
      <c r="I249" s="221">
        <v>28383723.07</v>
      </c>
      <c r="J249" s="221">
        <v>30787900.700000003</v>
      </c>
      <c r="K249" s="221">
        <v>32665783.590000004</v>
      </c>
      <c r="L249" s="221">
        <v>36136210.170000002</v>
      </c>
      <c r="M249" s="221">
        <v>38159009.140000001</v>
      </c>
      <c r="N249" s="247">
        <v>30151815.23</v>
      </c>
      <c r="O249" s="247">
        <v>31499</v>
      </c>
      <c r="P249" s="566">
        <f>SUM(P244:P248)</f>
        <v>34908</v>
      </c>
    </row>
    <row r="250" spans="1:16" ht="15.5" thickBot="1">
      <c r="A250" s="119" t="s">
        <v>105</v>
      </c>
      <c r="B250" s="231" t="s">
        <v>104</v>
      </c>
      <c r="C250" s="223">
        <v>66263642.120000005</v>
      </c>
      <c r="D250" s="223">
        <v>63774073.219999999</v>
      </c>
      <c r="E250" s="223">
        <v>59665026.409999996</v>
      </c>
      <c r="F250" s="223">
        <v>59339004.549999997</v>
      </c>
      <c r="G250" s="223">
        <v>60213174.590000004</v>
      </c>
      <c r="H250" s="223">
        <v>59793174.120000005</v>
      </c>
      <c r="I250" s="223">
        <v>57052559.159999996</v>
      </c>
      <c r="J250" s="223">
        <v>52084521.799999997</v>
      </c>
      <c r="K250" s="223">
        <v>51322140.110000007</v>
      </c>
      <c r="L250" s="223">
        <v>55009780.939999998</v>
      </c>
      <c r="M250" s="223">
        <v>56704147.159999996</v>
      </c>
      <c r="N250" s="248">
        <v>51925451.390000001</v>
      </c>
      <c r="O250" s="248">
        <v>210092</v>
      </c>
      <c r="P250" s="567">
        <f>P241+P249</f>
        <v>212552</v>
      </c>
    </row>
    <row r="251" spans="1:16" s="101" customFormat="1">
      <c r="B251" s="107"/>
      <c r="C251" s="108"/>
      <c r="D251" s="108"/>
      <c r="E251" s="108"/>
      <c r="F251" s="108"/>
      <c r="G251" s="108"/>
      <c r="H251" s="108"/>
      <c r="I251" s="108"/>
      <c r="J251" s="108"/>
      <c r="K251" s="108"/>
      <c r="L251" s="108"/>
      <c r="M251" s="108"/>
      <c r="N251" s="108"/>
      <c r="O251" s="108">
        <v>0</v>
      </c>
      <c r="P251" s="583"/>
    </row>
    <row r="252" spans="1:16" s="101" customFormat="1" ht="15" thickBot="1">
      <c r="B252" s="109"/>
      <c r="C252" s="110"/>
      <c r="D252" s="110"/>
      <c r="E252" s="110"/>
      <c r="F252" s="110"/>
      <c r="G252" s="110"/>
      <c r="H252" s="110"/>
      <c r="I252" s="110"/>
      <c r="J252" s="110"/>
      <c r="K252" s="110"/>
      <c r="L252" s="110"/>
      <c r="M252" s="110"/>
      <c r="N252" s="114"/>
    </row>
    <row r="253" spans="1:16" s="101" customFormat="1" ht="15" thickBot="1">
      <c r="B253" s="111"/>
      <c r="C253" s="112"/>
      <c r="D253" s="112"/>
      <c r="E253" s="112"/>
      <c r="F253" s="112"/>
      <c r="G253" s="112"/>
      <c r="H253" s="112"/>
      <c r="I253" s="112"/>
      <c r="J253" s="112"/>
      <c r="K253" s="112"/>
      <c r="L253" s="112"/>
      <c r="M253" s="112"/>
      <c r="N253" s="115"/>
    </row>
    <row r="254" spans="1:16" s="101" customFormat="1">
      <c r="B254" s="113"/>
      <c r="C254" s="113"/>
      <c r="D254" s="113"/>
      <c r="E254" s="113"/>
      <c r="F254" s="113"/>
      <c r="G254" s="113"/>
      <c r="H254" s="113"/>
      <c r="I254" s="113"/>
      <c r="J254" s="113"/>
      <c r="K254" s="113"/>
      <c r="L254" s="113"/>
      <c r="M254" s="113"/>
      <c r="N254" s="113"/>
    </row>
    <row r="255" spans="1:16">
      <c r="B255" s="5"/>
      <c r="C255" s="5"/>
      <c r="D255" s="5"/>
      <c r="E255" s="5"/>
      <c r="F255" s="5"/>
      <c r="G255" s="5"/>
      <c r="H255" s="5"/>
      <c r="I255" s="5"/>
      <c r="J255" s="5"/>
      <c r="K255" s="5"/>
      <c r="L255" s="5"/>
      <c r="M255" s="5"/>
      <c r="N255" s="5"/>
    </row>
    <row r="256" spans="1:16">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row r="275" spans="2:14">
      <c r="B275" s="5"/>
      <c r="C275" s="5"/>
      <c r="D275" s="5"/>
      <c r="E275" s="5"/>
      <c r="F275" s="5"/>
      <c r="G275" s="5"/>
      <c r="H275" s="5"/>
      <c r="I275" s="5"/>
      <c r="J275" s="5"/>
      <c r="K275" s="5"/>
      <c r="L275" s="5"/>
      <c r="M275" s="5"/>
      <c r="N275" s="5"/>
    </row>
  </sheetData>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Q88"/>
  <sheetViews>
    <sheetView showGridLines="0" zoomScaleNormal="100" workbookViewId="0">
      <pane xSplit="2" ySplit="8" topLeftCell="K9" activePane="bottomRight" state="frozen"/>
      <selection pane="topRight" activeCell="C1" sqref="C1"/>
      <selection pane="bottomLeft" activeCell="A9" sqref="A9"/>
      <selection pane="bottomRight" activeCell="P94" sqref="P94"/>
    </sheetView>
  </sheetViews>
  <sheetFormatPr baseColWidth="10" defaultColWidth="11.453125" defaultRowHeight="14.5"/>
  <cols>
    <col min="1" max="1" width="2.81640625" customWidth="1"/>
    <col min="2" max="2" width="64.81640625" customWidth="1"/>
    <col min="15" max="15" width="11.453125" style="106"/>
    <col min="16" max="16" width="13.1796875" customWidth="1"/>
  </cols>
  <sheetData>
    <row r="1" spans="1:17">
      <c r="A1" s="2" t="s">
        <v>17</v>
      </c>
      <c r="B1" s="106"/>
      <c r="C1" s="106"/>
      <c r="D1" s="106"/>
      <c r="E1" s="106"/>
      <c r="F1" s="106"/>
      <c r="G1" s="106"/>
      <c r="H1" s="106"/>
      <c r="I1" s="106"/>
      <c r="J1" s="106"/>
      <c r="K1" s="106"/>
      <c r="L1" s="106"/>
      <c r="M1" s="106"/>
      <c r="N1" s="106"/>
      <c r="P1" s="106"/>
      <c r="Q1" s="106"/>
    </row>
    <row r="3" spans="1:17" ht="15.5">
      <c r="A3" s="233"/>
      <c r="B3" s="125" t="s">
        <v>389</v>
      </c>
      <c r="C3" s="33"/>
      <c r="D3" s="33"/>
      <c r="E3" s="34"/>
      <c r="F3" s="33"/>
      <c r="G3" s="33"/>
      <c r="H3" s="33"/>
      <c r="I3" s="33"/>
      <c r="J3" s="34"/>
      <c r="K3" s="33"/>
      <c r="L3" s="33"/>
      <c r="M3" s="33"/>
      <c r="N3" s="33"/>
      <c r="O3" s="33"/>
      <c r="P3" s="33"/>
      <c r="Q3" s="33"/>
    </row>
    <row r="4" spans="1:17" ht="15.65" customHeight="1">
      <c r="A4" s="233"/>
      <c r="B4" s="258" t="s">
        <v>390</v>
      </c>
      <c r="C4" s="233"/>
      <c r="D4" s="233"/>
      <c r="E4" s="233"/>
      <c r="F4" s="233"/>
      <c r="G4" s="233"/>
      <c r="H4" s="233"/>
      <c r="I4" s="233"/>
      <c r="J4" s="233"/>
      <c r="K4" s="233"/>
      <c r="L4" s="233"/>
      <c r="M4" s="233"/>
      <c r="N4" s="233"/>
      <c r="O4" s="233"/>
      <c r="P4" s="5"/>
      <c r="Q4" s="5"/>
    </row>
    <row r="5" spans="1:17" s="106" customFormat="1" ht="15.65" customHeight="1">
      <c r="A5" s="233"/>
      <c r="B5" s="474"/>
      <c r="C5" s="233"/>
      <c r="D5" s="233"/>
      <c r="E5" s="233"/>
      <c r="F5" s="233"/>
      <c r="G5" s="233"/>
      <c r="H5" s="233"/>
      <c r="I5" s="233"/>
      <c r="J5" s="233"/>
      <c r="K5" s="233"/>
      <c r="L5" s="233"/>
      <c r="M5" s="233"/>
      <c r="N5" s="233"/>
      <c r="O5" s="233"/>
      <c r="P5" s="5"/>
      <c r="Q5" s="5"/>
    </row>
    <row r="6" spans="1:17" ht="15.5">
      <c r="A6" s="233"/>
      <c r="B6" s="35"/>
      <c r="C6" s="35"/>
      <c r="D6" s="35"/>
      <c r="E6" s="35"/>
      <c r="F6" s="35"/>
      <c r="G6" s="35"/>
      <c r="H6" s="35"/>
      <c r="I6" s="35"/>
      <c r="J6" s="35"/>
      <c r="K6" s="35"/>
      <c r="L6" s="35"/>
      <c r="M6" s="35"/>
      <c r="N6" s="35"/>
      <c r="O6" s="35"/>
      <c r="P6" s="35"/>
      <c r="Q6" s="35"/>
    </row>
    <row r="7" spans="1:17" ht="15.5">
      <c r="A7" s="233"/>
      <c r="B7" s="241"/>
      <c r="C7" s="242">
        <v>2016</v>
      </c>
      <c r="D7" s="242">
        <v>2017</v>
      </c>
      <c r="E7" s="242" t="s">
        <v>20</v>
      </c>
      <c r="F7" s="242" t="s">
        <v>21</v>
      </c>
      <c r="G7" s="242" t="s">
        <v>22</v>
      </c>
      <c r="H7" s="242" t="s">
        <v>23</v>
      </c>
      <c r="I7" s="242" t="s">
        <v>24</v>
      </c>
      <c r="J7" s="242" t="s">
        <v>25</v>
      </c>
      <c r="K7" s="242" t="s">
        <v>26</v>
      </c>
      <c r="L7" s="242" t="s">
        <v>27</v>
      </c>
      <c r="M7" s="242" t="s">
        <v>28</v>
      </c>
      <c r="N7" s="242" t="s">
        <v>29</v>
      </c>
      <c r="O7" s="242" t="s">
        <v>30</v>
      </c>
      <c r="P7" s="242" t="s">
        <v>954</v>
      </c>
      <c r="Q7" s="106"/>
    </row>
    <row r="8" spans="1:17" ht="6" customHeight="1">
      <c r="A8" s="233"/>
      <c r="B8" s="243"/>
      <c r="C8" s="35"/>
      <c r="D8" s="35"/>
      <c r="E8" s="35"/>
      <c r="F8" s="35"/>
      <c r="G8" s="35"/>
      <c r="H8" s="35"/>
      <c r="I8" s="35"/>
      <c r="J8" s="35"/>
      <c r="K8" s="35"/>
      <c r="L8" s="35"/>
      <c r="M8" s="35"/>
      <c r="N8" s="35"/>
      <c r="O8" s="35"/>
      <c r="P8" s="35"/>
      <c r="Q8" s="106"/>
    </row>
    <row r="9" spans="1:17" ht="15.5">
      <c r="A9" s="233"/>
      <c r="B9" s="172" t="s">
        <v>34</v>
      </c>
      <c r="C9" s="207">
        <v>0</v>
      </c>
      <c r="D9" s="207">
        <v>5</v>
      </c>
      <c r="E9" s="207">
        <v>6</v>
      </c>
      <c r="F9" s="207">
        <v>1</v>
      </c>
      <c r="G9" s="207">
        <v>20</v>
      </c>
      <c r="H9" s="207">
        <v>8</v>
      </c>
      <c r="I9" s="207">
        <v>11</v>
      </c>
      <c r="J9" s="207">
        <v>21</v>
      </c>
      <c r="K9" s="207">
        <v>21</v>
      </c>
      <c r="L9" s="207">
        <v>19</v>
      </c>
      <c r="M9" s="207">
        <v>19</v>
      </c>
      <c r="N9" s="207">
        <v>21</v>
      </c>
      <c r="O9" s="207">
        <v>19</v>
      </c>
      <c r="P9" s="207">
        <v>20</v>
      </c>
      <c r="Q9" s="106"/>
    </row>
    <row r="10" spans="1:17" ht="15.5">
      <c r="A10" s="233"/>
      <c r="B10" s="172" t="s">
        <v>35</v>
      </c>
      <c r="C10" s="207">
        <v>0</v>
      </c>
      <c r="D10" s="207">
        <v>0</v>
      </c>
      <c r="E10" s="207">
        <v>0</v>
      </c>
      <c r="F10" s="207">
        <v>0</v>
      </c>
      <c r="G10" s="207">
        <v>0</v>
      </c>
      <c r="H10" s="207">
        <v>0</v>
      </c>
      <c r="I10" s="207">
        <v>0</v>
      </c>
      <c r="J10" s="207">
        <v>0</v>
      </c>
      <c r="K10" s="207">
        <v>0</v>
      </c>
      <c r="L10" s="207">
        <v>0</v>
      </c>
      <c r="M10" s="207">
        <v>0</v>
      </c>
      <c r="N10" s="207">
        <v>0</v>
      </c>
      <c r="O10" s="207">
        <v>0</v>
      </c>
      <c r="P10" s="207">
        <v>0</v>
      </c>
      <c r="Q10" s="106"/>
    </row>
    <row r="11" spans="1:17" ht="15.5">
      <c r="A11" s="233"/>
      <c r="B11" s="172" t="s">
        <v>40</v>
      </c>
      <c r="C11" s="207">
        <v>0</v>
      </c>
      <c r="D11" s="207">
        <v>0</v>
      </c>
      <c r="E11" s="207">
        <v>0</v>
      </c>
      <c r="F11" s="207">
        <v>0</v>
      </c>
      <c r="G11" s="207">
        <v>0</v>
      </c>
      <c r="H11" s="207">
        <v>0</v>
      </c>
      <c r="I11" s="207">
        <v>0</v>
      </c>
      <c r="J11" s="207">
        <v>0</v>
      </c>
      <c r="K11" s="207">
        <v>0</v>
      </c>
      <c r="L11" s="207">
        <v>0</v>
      </c>
      <c r="M11" s="207">
        <v>0</v>
      </c>
      <c r="N11" s="207">
        <v>0</v>
      </c>
      <c r="O11" s="207">
        <v>0</v>
      </c>
      <c r="P11" s="207">
        <v>0</v>
      </c>
      <c r="Q11" s="106"/>
    </row>
    <row r="12" spans="1:17" ht="15.5">
      <c r="A12" s="233"/>
      <c r="B12" s="172" t="s">
        <v>41</v>
      </c>
      <c r="C12" s="207">
        <v>3</v>
      </c>
      <c r="D12" s="207">
        <v>6</v>
      </c>
      <c r="E12" s="207">
        <v>1</v>
      </c>
      <c r="F12" s="207">
        <v>1</v>
      </c>
      <c r="G12" s="207">
        <v>3</v>
      </c>
      <c r="H12" s="207">
        <v>3</v>
      </c>
      <c r="I12" s="207">
        <v>7</v>
      </c>
      <c r="J12" s="207">
        <v>-2</v>
      </c>
      <c r="K12" s="207">
        <v>2</v>
      </c>
      <c r="L12" s="207">
        <v>3</v>
      </c>
      <c r="M12" s="207">
        <v>2</v>
      </c>
      <c r="N12" s="207">
        <v>2</v>
      </c>
      <c r="O12" s="207">
        <v>3</v>
      </c>
      <c r="P12" s="207">
        <v>3</v>
      </c>
      <c r="Q12" s="106"/>
    </row>
    <row r="13" spans="1:17" ht="15.5">
      <c r="A13" s="233"/>
      <c r="B13" s="174" t="s">
        <v>112</v>
      </c>
      <c r="C13" s="208">
        <v>-3</v>
      </c>
      <c r="D13" s="208">
        <v>-1</v>
      </c>
      <c r="E13" s="208">
        <v>5</v>
      </c>
      <c r="F13" s="208">
        <v>0</v>
      </c>
      <c r="G13" s="208">
        <v>17</v>
      </c>
      <c r="H13" s="208">
        <v>5</v>
      </c>
      <c r="I13" s="208">
        <v>4</v>
      </c>
      <c r="J13" s="208">
        <v>23</v>
      </c>
      <c r="K13" s="208">
        <v>19</v>
      </c>
      <c r="L13" s="208">
        <v>16</v>
      </c>
      <c r="M13" s="208">
        <v>17</v>
      </c>
      <c r="N13" s="208">
        <v>19</v>
      </c>
      <c r="O13" s="208">
        <v>16</v>
      </c>
      <c r="P13" s="208">
        <v>17</v>
      </c>
      <c r="Q13" s="106"/>
    </row>
    <row r="14" spans="1:17" ht="15.5">
      <c r="A14" s="233"/>
      <c r="B14" s="171"/>
      <c r="C14" s="9"/>
      <c r="D14" s="9"/>
      <c r="E14" s="9"/>
      <c r="F14" s="271"/>
      <c r="G14" s="9"/>
      <c r="H14" s="9"/>
      <c r="I14" s="9"/>
      <c r="J14" s="9"/>
      <c r="K14" s="9"/>
      <c r="L14" s="9"/>
      <c r="M14" s="9"/>
      <c r="N14" s="9"/>
      <c r="O14" s="9"/>
      <c r="P14" s="9"/>
      <c r="Q14" s="106"/>
    </row>
    <row r="15" spans="1:17" ht="15.5">
      <c r="A15" s="233"/>
      <c r="B15" s="172" t="s">
        <v>44</v>
      </c>
      <c r="C15" s="207">
        <v>0</v>
      </c>
      <c r="D15" s="207">
        <v>1</v>
      </c>
      <c r="E15" s="207">
        <v>1</v>
      </c>
      <c r="F15" s="207">
        <v>0</v>
      </c>
      <c r="G15" s="207">
        <v>1</v>
      </c>
      <c r="H15" s="207">
        <v>7</v>
      </c>
      <c r="I15" s="207">
        <v>3</v>
      </c>
      <c r="J15" s="207">
        <v>3</v>
      </c>
      <c r="K15" s="207">
        <v>7</v>
      </c>
      <c r="L15" s="207">
        <v>7</v>
      </c>
      <c r="M15" s="207">
        <v>7</v>
      </c>
      <c r="N15" s="207">
        <v>9</v>
      </c>
      <c r="O15" s="207">
        <v>6</v>
      </c>
      <c r="P15" s="207">
        <v>7</v>
      </c>
      <c r="Q15" s="106"/>
    </row>
    <row r="16" spans="1:17" ht="15.5">
      <c r="A16" s="233"/>
      <c r="B16" s="172" t="s">
        <v>45</v>
      </c>
      <c r="C16" s="207">
        <v>0</v>
      </c>
      <c r="D16" s="207">
        <v>0</v>
      </c>
      <c r="E16" s="207">
        <v>0</v>
      </c>
      <c r="F16" s="207">
        <v>0</v>
      </c>
      <c r="G16" s="207">
        <v>0</v>
      </c>
      <c r="H16" s="207">
        <v>0</v>
      </c>
      <c r="I16" s="207">
        <v>0</v>
      </c>
      <c r="J16" s="207">
        <v>0</v>
      </c>
      <c r="K16" s="207">
        <v>0</v>
      </c>
      <c r="L16" s="207">
        <v>0</v>
      </c>
      <c r="M16" s="207">
        <v>0</v>
      </c>
      <c r="N16" s="207">
        <v>0</v>
      </c>
      <c r="O16" s="207">
        <v>0</v>
      </c>
      <c r="P16" s="207">
        <v>0</v>
      </c>
      <c r="Q16" s="106"/>
    </row>
    <row r="17" spans="1:17" ht="15.5">
      <c r="A17" s="233"/>
      <c r="B17" s="172" t="s">
        <v>46</v>
      </c>
      <c r="C17" s="207">
        <v>0</v>
      </c>
      <c r="D17" s="207">
        <v>0</v>
      </c>
      <c r="E17" s="207">
        <v>0</v>
      </c>
      <c r="F17" s="207">
        <v>0</v>
      </c>
      <c r="G17" s="207">
        <v>0</v>
      </c>
      <c r="H17" s="207">
        <v>1</v>
      </c>
      <c r="I17" s="207">
        <v>0</v>
      </c>
      <c r="J17" s="207">
        <v>0</v>
      </c>
      <c r="K17" s="207">
        <v>0</v>
      </c>
      <c r="L17" s="207">
        <v>0</v>
      </c>
      <c r="M17" s="207">
        <v>0</v>
      </c>
      <c r="N17" s="207">
        <v>0</v>
      </c>
      <c r="O17" s="207">
        <v>0</v>
      </c>
      <c r="P17" s="207">
        <v>0</v>
      </c>
      <c r="Q17" s="106"/>
    </row>
    <row r="18" spans="1:17" ht="15.5">
      <c r="A18" s="233"/>
      <c r="B18" s="174" t="s">
        <v>47</v>
      </c>
      <c r="C18" s="209">
        <v>-3</v>
      </c>
      <c r="D18" s="209">
        <v>-2</v>
      </c>
      <c r="E18" s="209">
        <v>4</v>
      </c>
      <c r="F18" s="209">
        <v>0</v>
      </c>
      <c r="G18" s="209">
        <v>16</v>
      </c>
      <c r="H18" s="209">
        <v>-1</v>
      </c>
      <c r="I18" s="209">
        <v>1</v>
      </c>
      <c r="J18" s="209">
        <v>20</v>
      </c>
      <c r="K18" s="209">
        <v>12</v>
      </c>
      <c r="L18" s="209">
        <v>9</v>
      </c>
      <c r="M18" s="209">
        <v>10</v>
      </c>
      <c r="N18" s="209">
        <v>10</v>
      </c>
      <c r="O18" s="209">
        <v>10</v>
      </c>
      <c r="P18" s="209">
        <v>10</v>
      </c>
    </row>
    <row r="19" spans="1:17" ht="15.5">
      <c r="A19" s="233"/>
      <c r="B19" s="172"/>
      <c r="C19" s="207"/>
      <c r="D19" s="207"/>
      <c r="E19" s="207"/>
      <c r="F19" s="207"/>
      <c r="G19" s="207"/>
      <c r="H19" s="207"/>
      <c r="I19" s="207"/>
      <c r="J19" s="207"/>
      <c r="K19" s="207"/>
      <c r="L19" s="207"/>
      <c r="M19" s="207"/>
      <c r="N19" s="207"/>
      <c r="O19" s="207"/>
      <c r="P19" s="207"/>
    </row>
    <row r="20" spans="1:17" ht="15.5">
      <c r="A20" s="233"/>
      <c r="B20" s="172" t="s">
        <v>48</v>
      </c>
      <c r="C20" s="207">
        <v>6</v>
      </c>
      <c r="D20" s="207">
        <v>-3</v>
      </c>
      <c r="E20" s="207">
        <v>0</v>
      </c>
      <c r="F20" s="207">
        <v>-4</v>
      </c>
      <c r="G20" s="207">
        <v>-2</v>
      </c>
      <c r="H20" s="207">
        <v>-6</v>
      </c>
      <c r="I20" s="207">
        <v>-4</v>
      </c>
      <c r="J20" s="207">
        <v>-7</v>
      </c>
      <c r="K20" s="207">
        <v>-10</v>
      </c>
      <c r="L20" s="207">
        <v>-6</v>
      </c>
      <c r="M20" s="207">
        <v>-12</v>
      </c>
      <c r="N20" s="207">
        <v>-9</v>
      </c>
      <c r="O20" s="207">
        <v>-9</v>
      </c>
      <c r="P20" s="207">
        <v>-6</v>
      </c>
    </row>
    <row r="21" spans="1:17" ht="15.5">
      <c r="A21" s="233"/>
      <c r="B21" s="174" t="s">
        <v>49</v>
      </c>
      <c r="C21" s="209">
        <v>3</v>
      </c>
      <c r="D21" s="209">
        <v>-5</v>
      </c>
      <c r="E21" s="209">
        <v>4</v>
      </c>
      <c r="F21" s="209">
        <v>-4</v>
      </c>
      <c r="G21" s="209">
        <v>14</v>
      </c>
      <c r="H21" s="209">
        <v>-7</v>
      </c>
      <c r="I21" s="209">
        <v>-3</v>
      </c>
      <c r="J21" s="209">
        <v>13</v>
      </c>
      <c r="K21" s="209">
        <v>2</v>
      </c>
      <c r="L21" s="209">
        <v>3</v>
      </c>
      <c r="M21" s="209">
        <v>-2</v>
      </c>
      <c r="N21" s="209">
        <v>1</v>
      </c>
      <c r="O21" s="209">
        <v>1</v>
      </c>
      <c r="P21" s="209">
        <v>4</v>
      </c>
    </row>
    <row r="22" spans="1:17" ht="15.5">
      <c r="A22" s="233"/>
      <c r="B22" s="171"/>
      <c r="C22" s="9"/>
      <c r="D22" s="9"/>
      <c r="E22" s="9"/>
      <c r="F22" s="9"/>
      <c r="G22" s="9"/>
      <c r="H22" s="9"/>
      <c r="I22" s="9"/>
      <c r="J22" s="9"/>
      <c r="K22" s="9"/>
      <c r="L22" s="9"/>
      <c r="M22" s="9"/>
      <c r="N22" s="9"/>
      <c r="O22" s="9"/>
      <c r="P22" s="9"/>
    </row>
    <row r="23" spans="1:17" ht="15.5">
      <c r="A23" s="233"/>
      <c r="B23" s="172" t="s">
        <v>50</v>
      </c>
      <c r="C23" s="207">
        <v>1</v>
      </c>
      <c r="D23" s="207">
        <v>-1</v>
      </c>
      <c r="E23" s="207">
        <v>4</v>
      </c>
      <c r="F23" s="207">
        <v>-1</v>
      </c>
      <c r="G23" s="207">
        <v>6</v>
      </c>
      <c r="H23" s="207">
        <v>-13</v>
      </c>
      <c r="I23" s="207">
        <v>-5</v>
      </c>
      <c r="J23" s="207">
        <v>-6</v>
      </c>
      <c r="K23" s="207">
        <v>-5</v>
      </c>
      <c r="L23" s="207">
        <v>19</v>
      </c>
      <c r="M23" s="207">
        <v>0</v>
      </c>
      <c r="N23" s="207">
        <v>0</v>
      </c>
      <c r="O23" s="207">
        <v>0</v>
      </c>
      <c r="P23" s="207">
        <v>0</v>
      </c>
    </row>
    <row r="24" spans="1:17" ht="15.5">
      <c r="A24" s="233"/>
      <c r="B24" s="174" t="s">
        <v>53</v>
      </c>
      <c r="C24" s="209">
        <v>2</v>
      </c>
      <c r="D24" s="209">
        <v>-4</v>
      </c>
      <c r="E24" s="209">
        <v>0</v>
      </c>
      <c r="F24" s="209">
        <v>-3</v>
      </c>
      <c r="G24" s="209">
        <v>8</v>
      </c>
      <c r="H24" s="209">
        <v>6</v>
      </c>
      <c r="I24" s="209">
        <v>2</v>
      </c>
      <c r="J24" s="209">
        <v>19</v>
      </c>
      <c r="K24" s="209">
        <v>7</v>
      </c>
      <c r="L24" s="209">
        <v>-16</v>
      </c>
      <c r="M24" s="209">
        <v>-2</v>
      </c>
      <c r="N24" s="209">
        <v>1</v>
      </c>
      <c r="O24" s="209">
        <v>1</v>
      </c>
      <c r="P24" s="209">
        <v>4</v>
      </c>
    </row>
    <row r="25" spans="1:17" ht="15.5">
      <c r="A25" s="233"/>
      <c r="B25" s="233"/>
      <c r="C25" s="233"/>
      <c r="D25" s="233"/>
      <c r="E25" s="233"/>
      <c r="F25" s="233"/>
      <c r="G25" s="233"/>
      <c r="H25" s="233"/>
      <c r="I25" s="233"/>
      <c r="J25" s="233"/>
      <c r="K25" s="233"/>
      <c r="L25" s="233"/>
      <c r="M25" s="233"/>
      <c r="N25" s="233"/>
      <c r="O25" s="233"/>
      <c r="P25" s="35"/>
    </row>
    <row r="26" spans="1:17" ht="15.5">
      <c r="A26" s="233"/>
      <c r="B26" s="233"/>
      <c r="C26" s="233"/>
      <c r="D26" s="233"/>
      <c r="E26" s="233"/>
      <c r="F26" s="233"/>
      <c r="G26" s="233"/>
      <c r="H26" s="233"/>
      <c r="I26" s="233"/>
      <c r="J26" s="233"/>
      <c r="K26" s="233"/>
      <c r="L26" s="233"/>
      <c r="M26" s="233"/>
      <c r="N26" s="233"/>
      <c r="O26" s="233"/>
      <c r="P26" s="106"/>
    </row>
    <row r="27" spans="1:17" ht="15.5">
      <c r="A27" s="233"/>
      <c r="B27" s="12" t="s">
        <v>391</v>
      </c>
      <c r="C27" s="233"/>
      <c r="D27" s="233"/>
      <c r="E27" s="233"/>
      <c r="F27" s="233"/>
      <c r="G27" s="233"/>
      <c r="H27" s="12"/>
      <c r="I27" s="12"/>
      <c r="J27" s="12"/>
      <c r="K27" s="12"/>
      <c r="L27" s="12"/>
      <c r="M27" s="12"/>
      <c r="N27" s="12"/>
      <c r="O27" s="12"/>
      <c r="P27" s="106"/>
    </row>
    <row r="28" spans="1:17" ht="15.5">
      <c r="A28" s="233"/>
      <c r="B28" s="258" t="s">
        <v>390</v>
      </c>
      <c r="C28" s="233"/>
      <c r="D28" s="233"/>
      <c r="E28" s="233"/>
      <c r="F28" s="233"/>
      <c r="G28" s="233"/>
      <c r="H28" s="177"/>
      <c r="I28" s="177"/>
      <c r="J28" s="177"/>
      <c r="K28" s="177"/>
      <c r="L28" s="177"/>
      <c r="M28" s="177"/>
      <c r="N28" s="177"/>
      <c r="O28" s="177"/>
      <c r="P28" s="106"/>
    </row>
    <row r="29" spans="1:17" ht="13" customHeight="1">
      <c r="A29" s="233"/>
      <c r="B29" s="179"/>
      <c r="C29" s="233"/>
      <c r="D29" s="233"/>
      <c r="E29" s="233"/>
      <c r="F29" s="233"/>
      <c r="G29" s="233"/>
      <c r="H29" s="179"/>
      <c r="I29" s="179"/>
      <c r="J29" s="179"/>
      <c r="K29" s="179"/>
      <c r="L29" s="179"/>
      <c r="M29" s="179"/>
      <c r="N29" s="179"/>
      <c r="O29" s="179"/>
      <c r="P29" s="106"/>
    </row>
    <row r="30" spans="1:17" s="106" customFormat="1" ht="16" thickBot="1">
      <c r="A30" s="233"/>
      <c r="B30" s="241"/>
      <c r="C30" s="242">
        <v>2016</v>
      </c>
      <c r="D30" s="242">
        <v>2017</v>
      </c>
      <c r="E30" s="242" t="s">
        <v>20</v>
      </c>
      <c r="F30" s="242" t="s">
        <v>21</v>
      </c>
      <c r="G30" s="242" t="s">
        <v>22</v>
      </c>
      <c r="H30" s="242" t="s">
        <v>23</v>
      </c>
      <c r="I30" s="242" t="s">
        <v>24</v>
      </c>
      <c r="J30" s="242" t="s">
        <v>25</v>
      </c>
      <c r="K30" s="242" t="s">
        <v>26</v>
      </c>
      <c r="L30" s="242" t="s">
        <v>27</v>
      </c>
      <c r="M30" s="242" t="s">
        <v>28</v>
      </c>
      <c r="N30" s="242" t="s">
        <v>29</v>
      </c>
      <c r="O30" s="242" t="s">
        <v>30</v>
      </c>
      <c r="P30" s="537" t="s">
        <v>954</v>
      </c>
    </row>
    <row r="31" spans="1:17" ht="15.5">
      <c r="A31" s="233"/>
      <c r="B31" s="272" t="s">
        <v>56</v>
      </c>
      <c r="C31" s="273"/>
      <c r="D31" s="273"/>
      <c r="E31" s="273"/>
      <c r="F31" s="273"/>
      <c r="G31" s="273"/>
      <c r="H31" s="273"/>
      <c r="I31" s="273"/>
      <c r="J31" s="273"/>
      <c r="K31" s="273"/>
      <c r="L31" s="273"/>
      <c r="M31" s="273"/>
      <c r="N31" s="272"/>
      <c r="O31" s="272"/>
      <c r="P31" s="272"/>
    </row>
    <row r="32" spans="1:17" ht="15.5">
      <c r="A32" s="233"/>
      <c r="B32" s="274" t="s">
        <v>57</v>
      </c>
      <c r="C32" s="275"/>
      <c r="D32" s="275"/>
      <c r="E32" s="275"/>
      <c r="F32" s="275"/>
      <c r="G32" s="275"/>
      <c r="H32" s="275"/>
      <c r="I32" s="275"/>
      <c r="J32" s="275"/>
      <c r="K32" s="275"/>
      <c r="L32" s="275"/>
      <c r="M32" s="275"/>
      <c r="N32" s="275"/>
      <c r="O32" s="275"/>
      <c r="P32" s="275"/>
    </row>
    <row r="33" spans="1:16" s="101" customFormat="1" ht="15.5">
      <c r="A33" s="286"/>
      <c r="B33" s="276" t="s">
        <v>58</v>
      </c>
      <c r="C33" s="277">
        <v>35</v>
      </c>
      <c r="D33" s="277">
        <v>0</v>
      </c>
      <c r="E33" s="277">
        <v>20</v>
      </c>
      <c r="F33" s="277">
        <v>6</v>
      </c>
      <c r="G33" s="277">
        <v>1</v>
      </c>
      <c r="H33" s="277">
        <v>1</v>
      </c>
      <c r="I33" s="277">
        <v>2</v>
      </c>
      <c r="J33" s="277">
        <v>1</v>
      </c>
      <c r="K33" s="277">
        <v>1</v>
      </c>
      <c r="L33" s="277">
        <v>1</v>
      </c>
      <c r="M33" s="277">
        <v>1</v>
      </c>
      <c r="N33" s="277">
        <v>1</v>
      </c>
      <c r="O33" s="277">
        <v>1.284</v>
      </c>
      <c r="P33" s="277">
        <v>1</v>
      </c>
    </row>
    <row r="34" spans="1:16" s="101" customFormat="1" ht="15.5">
      <c r="A34" s="286"/>
      <c r="B34" s="276" t="s">
        <v>59</v>
      </c>
      <c r="C34" s="277">
        <v>8</v>
      </c>
      <c r="D34" s="277">
        <v>0</v>
      </c>
      <c r="E34" s="277">
        <v>0</v>
      </c>
      <c r="F34" s="277">
        <v>0</v>
      </c>
      <c r="G34" s="277">
        <v>0</v>
      </c>
      <c r="H34" s="277">
        <v>1</v>
      </c>
      <c r="I34" s="277">
        <v>2</v>
      </c>
      <c r="J34" s="277">
        <v>1</v>
      </c>
      <c r="K34" s="277">
        <v>1</v>
      </c>
      <c r="L34" s="277">
        <v>2</v>
      </c>
      <c r="M34" s="277">
        <v>1</v>
      </c>
      <c r="N34" s="277">
        <v>1</v>
      </c>
      <c r="O34" s="277">
        <v>1.0669999999999999</v>
      </c>
      <c r="P34" s="277">
        <v>12</v>
      </c>
    </row>
    <row r="35" spans="1:16" s="101" customFormat="1" ht="15.5">
      <c r="A35" s="286"/>
      <c r="B35" s="276" t="s">
        <v>60</v>
      </c>
      <c r="C35" s="277">
        <v>53</v>
      </c>
      <c r="D35" s="277">
        <v>16</v>
      </c>
      <c r="E35" s="277">
        <v>21</v>
      </c>
      <c r="F35" s="277">
        <v>30</v>
      </c>
      <c r="G35" s="277">
        <v>28</v>
      </c>
      <c r="H35" s="277">
        <v>29</v>
      </c>
      <c r="I35" s="277">
        <v>7</v>
      </c>
      <c r="J35" s="277">
        <v>8</v>
      </c>
      <c r="K35" s="277">
        <v>7</v>
      </c>
      <c r="L35" s="277">
        <v>4</v>
      </c>
      <c r="M35" s="277">
        <v>1</v>
      </c>
      <c r="N35" s="277">
        <v>2</v>
      </c>
      <c r="O35" s="277">
        <v>1.1859999999999999</v>
      </c>
      <c r="P35" s="277">
        <v>0</v>
      </c>
    </row>
    <row r="36" spans="1:16" s="101" customFormat="1" ht="15.5">
      <c r="A36" s="286"/>
      <c r="B36" s="276" t="s">
        <v>62</v>
      </c>
      <c r="C36" s="277">
        <v>1</v>
      </c>
      <c r="D36" s="277">
        <v>3</v>
      </c>
      <c r="E36" s="277">
        <v>1</v>
      </c>
      <c r="F36" s="277">
        <v>2</v>
      </c>
      <c r="G36" s="277">
        <v>2</v>
      </c>
      <c r="H36" s="277">
        <v>2</v>
      </c>
      <c r="I36" s="277">
        <v>3</v>
      </c>
      <c r="J36" s="277">
        <v>2</v>
      </c>
      <c r="K36" s="277">
        <v>3</v>
      </c>
      <c r="L36" s="277">
        <v>1</v>
      </c>
      <c r="M36" s="277">
        <v>2</v>
      </c>
      <c r="N36" s="277">
        <v>2</v>
      </c>
      <c r="O36" s="277">
        <v>0.59299999999999997</v>
      </c>
      <c r="P36" s="277">
        <v>1</v>
      </c>
    </row>
    <row r="37" spans="1:16" s="101" customFormat="1" ht="15.5">
      <c r="A37" s="286"/>
      <c r="B37" s="276" t="s">
        <v>319</v>
      </c>
      <c r="C37" s="277">
        <v>0</v>
      </c>
      <c r="D37" s="277">
        <v>0</v>
      </c>
      <c r="E37" s="277">
        <v>0</v>
      </c>
      <c r="F37" s="277">
        <v>0</v>
      </c>
      <c r="G37" s="277">
        <v>0</v>
      </c>
      <c r="H37" s="277">
        <v>0</v>
      </c>
      <c r="I37" s="277">
        <v>0</v>
      </c>
      <c r="J37" s="277">
        <v>0</v>
      </c>
      <c r="K37" s="277">
        <v>0</v>
      </c>
      <c r="L37" s="277">
        <v>0</v>
      </c>
      <c r="M37" s="277">
        <v>0</v>
      </c>
      <c r="N37" s="277">
        <v>0</v>
      </c>
      <c r="O37" s="277">
        <v>0</v>
      </c>
      <c r="P37" s="277"/>
    </row>
    <row r="38" spans="1:16" s="101" customFormat="1" ht="15.5">
      <c r="A38" s="286"/>
      <c r="B38" s="276" t="s">
        <v>63</v>
      </c>
      <c r="C38" s="277">
        <v>0</v>
      </c>
      <c r="D38" s="277">
        <v>0</v>
      </c>
      <c r="E38" s="277">
        <v>0</v>
      </c>
      <c r="F38" s="277">
        <v>0</v>
      </c>
      <c r="G38" s="277">
        <v>0</v>
      </c>
      <c r="H38" s="277">
        <v>0</v>
      </c>
      <c r="I38" s="277">
        <v>0</v>
      </c>
      <c r="J38" s="277">
        <v>0</v>
      </c>
      <c r="K38" s="277">
        <v>0</v>
      </c>
      <c r="L38" s="277">
        <v>0</v>
      </c>
      <c r="M38" s="277">
        <v>0</v>
      </c>
      <c r="N38" s="277">
        <v>0</v>
      </c>
      <c r="O38" s="277">
        <v>0</v>
      </c>
      <c r="P38" s="277"/>
    </row>
    <row r="39" spans="1:16" ht="15.5">
      <c r="A39" s="233"/>
      <c r="B39" s="222" t="s">
        <v>64</v>
      </c>
      <c r="C39" s="278">
        <f t="shared" ref="C39:N39" si="0">SUM(C33:C38)</f>
        <v>97</v>
      </c>
      <c r="D39" s="278">
        <f t="shared" si="0"/>
        <v>19</v>
      </c>
      <c r="E39" s="278">
        <f t="shared" si="0"/>
        <v>42</v>
      </c>
      <c r="F39" s="278">
        <f t="shared" si="0"/>
        <v>38</v>
      </c>
      <c r="G39" s="278">
        <f t="shared" si="0"/>
        <v>31</v>
      </c>
      <c r="H39" s="278">
        <f t="shared" si="0"/>
        <v>33</v>
      </c>
      <c r="I39" s="278">
        <f t="shared" si="0"/>
        <v>14</v>
      </c>
      <c r="J39" s="278">
        <f t="shared" si="0"/>
        <v>12</v>
      </c>
      <c r="K39" s="278">
        <f t="shared" si="0"/>
        <v>12</v>
      </c>
      <c r="L39" s="278">
        <f t="shared" si="0"/>
        <v>8</v>
      </c>
      <c r="M39" s="278">
        <f t="shared" si="0"/>
        <v>5</v>
      </c>
      <c r="N39" s="278">
        <f t="shared" si="0"/>
        <v>6</v>
      </c>
      <c r="O39" s="278">
        <v>4.13</v>
      </c>
      <c r="P39" s="278">
        <f>SUM(P33:P38)</f>
        <v>14</v>
      </c>
    </row>
    <row r="40" spans="1:16" ht="15.5">
      <c r="A40" s="233"/>
      <c r="B40" s="274" t="s">
        <v>65</v>
      </c>
      <c r="C40" s="275"/>
      <c r="D40" s="275"/>
      <c r="E40" s="275"/>
      <c r="F40" s="275"/>
      <c r="G40" s="275"/>
      <c r="H40" s="275"/>
      <c r="I40" s="275"/>
      <c r="J40" s="275"/>
      <c r="K40" s="275"/>
      <c r="L40" s="275"/>
      <c r="M40" s="275"/>
      <c r="N40" s="275"/>
      <c r="O40" s="275">
        <v>0</v>
      </c>
      <c r="P40" s="275"/>
    </row>
    <row r="41" spans="1:16" s="101" customFormat="1" ht="15.5">
      <c r="A41" s="286"/>
      <c r="B41" s="276" t="s">
        <v>66</v>
      </c>
      <c r="C41" s="277">
        <v>4</v>
      </c>
      <c r="D41" s="277">
        <v>3</v>
      </c>
      <c r="E41" s="277">
        <v>9</v>
      </c>
      <c r="F41" s="277">
        <v>22</v>
      </c>
      <c r="G41" s="277">
        <v>11</v>
      </c>
      <c r="H41" s="277">
        <v>86</v>
      </c>
      <c r="I41" s="277">
        <v>64</v>
      </c>
      <c r="J41" s="277">
        <v>44</v>
      </c>
      <c r="K41" s="277">
        <v>19</v>
      </c>
      <c r="L41" s="277">
        <v>15</v>
      </c>
      <c r="M41" s="277">
        <v>8</v>
      </c>
      <c r="N41" s="277">
        <v>85</v>
      </c>
      <c r="O41" s="277">
        <v>49.622</v>
      </c>
      <c r="P41" s="277">
        <v>52</v>
      </c>
    </row>
    <row r="42" spans="1:16" s="101" customFormat="1" ht="15.5">
      <c r="A42" s="286"/>
      <c r="B42" s="276" t="s">
        <v>67</v>
      </c>
      <c r="C42" s="277">
        <v>0</v>
      </c>
      <c r="D42" s="277">
        <v>0</v>
      </c>
      <c r="E42" s="277">
        <v>0</v>
      </c>
      <c r="F42" s="277">
        <v>0</v>
      </c>
      <c r="G42" s="277">
        <v>0</v>
      </c>
      <c r="H42" s="277">
        <v>0</v>
      </c>
      <c r="I42" s="277">
        <v>0</v>
      </c>
      <c r="J42" s="277">
        <v>0</v>
      </c>
      <c r="K42" s="277">
        <v>0</v>
      </c>
      <c r="L42" s="277">
        <v>0</v>
      </c>
      <c r="M42" s="277">
        <v>0</v>
      </c>
      <c r="N42" s="277">
        <v>0</v>
      </c>
      <c r="O42" s="277">
        <v>0</v>
      </c>
      <c r="P42" s="277"/>
    </row>
    <row r="43" spans="1:16" s="101" customFormat="1" ht="15.5">
      <c r="A43" s="286"/>
      <c r="B43" s="276" t="s">
        <v>114</v>
      </c>
      <c r="C43" s="277">
        <v>0</v>
      </c>
      <c r="D43" s="277">
        <v>0</v>
      </c>
      <c r="E43" s="277">
        <v>0</v>
      </c>
      <c r="F43" s="277">
        <v>0</v>
      </c>
      <c r="G43" s="277">
        <v>0</v>
      </c>
      <c r="H43" s="277">
        <v>0</v>
      </c>
      <c r="I43" s="277">
        <v>0</v>
      </c>
      <c r="J43" s="277">
        <v>0</v>
      </c>
      <c r="K43" s="277">
        <v>0</v>
      </c>
      <c r="L43" s="277">
        <v>0</v>
      </c>
      <c r="M43" s="277">
        <v>0</v>
      </c>
      <c r="N43" s="277">
        <v>0</v>
      </c>
      <c r="O43" s="277">
        <v>0</v>
      </c>
      <c r="P43" s="277"/>
    </row>
    <row r="44" spans="1:16" s="101" customFormat="1" ht="15.5">
      <c r="A44" s="286"/>
      <c r="B44" s="276" t="s">
        <v>115</v>
      </c>
      <c r="C44" s="277">
        <v>0</v>
      </c>
      <c r="D44" s="277">
        <v>0</v>
      </c>
      <c r="E44" s="277">
        <v>0</v>
      </c>
      <c r="F44" s="277">
        <v>0</v>
      </c>
      <c r="G44" s="277">
        <v>0</v>
      </c>
      <c r="H44" s="277">
        <v>0</v>
      </c>
      <c r="I44" s="277">
        <v>0</v>
      </c>
      <c r="J44" s="277">
        <v>0</v>
      </c>
      <c r="K44" s="277">
        <v>0</v>
      </c>
      <c r="L44" s="277">
        <v>0</v>
      </c>
      <c r="M44" s="277">
        <v>0</v>
      </c>
      <c r="N44" s="277">
        <v>0</v>
      </c>
      <c r="O44" s="277">
        <v>0</v>
      </c>
      <c r="P44" s="277"/>
    </row>
    <row r="45" spans="1:16" s="101" customFormat="1" ht="15.5">
      <c r="A45" s="286"/>
      <c r="B45" s="276" t="s">
        <v>59</v>
      </c>
      <c r="C45" s="277">
        <v>0</v>
      </c>
      <c r="D45" s="277">
        <v>1</v>
      </c>
      <c r="E45" s="277">
        <v>2</v>
      </c>
      <c r="F45" s="277">
        <v>1</v>
      </c>
      <c r="G45" s="277">
        <v>14</v>
      </c>
      <c r="H45" s="277">
        <v>8</v>
      </c>
      <c r="I45" s="277">
        <v>4</v>
      </c>
      <c r="J45" s="277">
        <v>10</v>
      </c>
      <c r="K45" s="277">
        <v>11</v>
      </c>
      <c r="L45" s="277">
        <v>14</v>
      </c>
      <c r="M45" s="277">
        <v>21</v>
      </c>
      <c r="N45" s="277">
        <v>28</v>
      </c>
      <c r="O45" s="277">
        <v>30.213000000000001</v>
      </c>
      <c r="P45" s="277">
        <v>34</v>
      </c>
    </row>
    <row r="46" spans="1:16" s="101" customFormat="1" ht="15.5">
      <c r="A46" s="286"/>
      <c r="B46" s="276" t="s">
        <v>70</v>
      </c>
      <c r="C46" s="277">
        <v>0</v>
      </c>
      <c r="D46" s="277">
        <v>0</v>
      </c>
      <c r="E46" s="277">
        <v>0</v>
      </c>
      <c r="F46" s="277">
        <v>0</v>
      </c>
      <c r="G46" s="277">
        <v>0</v>
      </c>
      <c r="H46" s="277">
        <v>0</v>
      </c>
      <c r="I46" s="277">
        <v>0</v>
      </c>
      <c r="J46" s="277">
        <v>0</v>
      </c>
      <c r="K46" s="277">
        <v>0</v>
      </c>
      <c r="L46" s="277">
        <v>0</v>
      </c>
      <c r="M46" s="277">
        <v>0</v>
      </c>
      <c r="N46" s="277">
        <v>0</v>
      </c>
      <c r="O46" s="277">
        <v>0</v>
      </c>
      <c r="P46" s="277"/>
    </row>
    <row r="47" spans="1:16" s="101" customFormat="1" ht="15.5">
      <c r="A47" s="286"/>
      <c r="B47" s="276" t="s">
        <v>71</v>
      </c>
      <c r="C47" s="277">
        <v>484</v>
      </c>
      <c r="D47" s="277">
        <v>740</v>
      </c>
      <c r="E47" s="277">
        <v>784</v>
      </c>
      <c r="F47" s="277">
        <v>854</v>
      </c>
      <c r="G47" s="277">
        <v>878</v>
      </c>
      <c r="H47" s="277">
        <v>880</v>
      </c>
      <c r="I47" s="277">
        <v>917</v>
      </c>
      <c r="J47" s="277">
        <v>862</v>
      </c>
      <c r="K47" s="277">
        <v>891</v>
      </c>
      <c r="L47" s="277">
        <v>1018</v>
      </c>
      <c r="M47" s="277">
        <v>1013</v>
      </c>
      <c r="N47" s="277">
        <v>1006</v>
      </c>
      <c r="O47" s="277">
        <v>1034.9549999999999</v>
      </c>
      <c r="P47" s="277">
        <v>1050</v>
      </c>
    </row>
    <row r="48" spans="1:16" s="101" customFormat="1" ht="15.5">
      <c r="A48" s="286"/>
      <c r="B48" s="276" t="s">
        <v>72</v>
      </c>
      <c r="C48" s="277">
        <v>0</v>
      </c>
      <c r="D48" s="277">
        <v>0</v>
      </c>
      <c r="E48" s="277">
        <v>0</v>
      </c>
      <c r="F48" s="277">
        <v>0</v>
      </c>
      <c r="G48" s="277">
        <v>0</v>
      </c>
      <c r="H48" s="277">
        <v>0</v>
      </c>
      <c r="I48" s="277">
        <v>0</v>
      </c>
      <c r="J48" s="277">
        <v>0</v>
      </c>
      <c r="K48" s="277">
        <v>0</v>
      </c>
      <c r="L48" s="277">
        <v>0</v>
      </c>
      <c r="M48" s="277">
        <v>0</v>
      </c>
      <c r="N48" s="277">
        <v>0</v>
      </c>
      <c r="O48" s="277">
        <v>0</v>
      </c>
      <c r="P48" s="277"/>
    </row>
    <row r="49" spans="1:16" s="101" customFormat="1" ht="15.5">
      <c r="A49" s="286"/>
      <c r="B49" s="276" t="s">
        <v>74</v>
      </c>
      <c r="C49" s="277">
        <v>0</v>
      </c>
      <c r="D49" s="277">
        <v>2</v>
      </c>
      <c r="E49" s="277">
        <v>2</v>
      </c>
      <c r="F49" s="277">
        <v>2</v>
      </c>
      <c r="G49" s="277">
        <v>2</v>
      </c>
      <c r="H49" s="277">
        <v>25</v>
      </c>
      <c r="I49" s="277">
        <v>25</v>
      </c>
      <c r="J49" s="277">
        <v>101</v>
      </c>
      <c r="K49" s="277">
        <v>101</v>
      </c>
      <c r="L49" s="277">
        <v>109</v>
      </c>
      <c r="M49" s="277">
        <v>109</v>
      </c>
      <c r="N49" s="277">
        <v>109</v>
      </c>
      <c r="O49" s="277">
        <v>109.471</v>
      </c>
      <c r="P49" s="277">
        <v>109</v>
      </c>
    </row>
    <row r="50" spans="1:16" s="101" customFormat="1" ht="15.5">
      <c r="A50" s="286"/>
      <c r="B50" s="276" t="s">
        <v>62</v>
      </c>
      <c r="C50" s="277">
        <v>0</v>
      </c>
      <c r="D50" s="277">
        <v>0</v>
      </c>
      <c r="E50" s="277">
        <v>0</v>
      </c>
      <c r="F50" s="277">
        <v>0</v>
      </c>
      <c r="G50" s="277">
        <v>0</v>
      </c>
      <c r="H50" s="277">
        <v>0</v>
      </c>
      <c r="I50" s="277">
        <v>0</v>
      </c>
      <c r="J50" s="277">
        <v>0</v>
      </c>
      <c r="K50" s="277">
        <v>0</v>
      </c>
      <c r="L50" s="277">
        <v>0</v>
      </c>
      <c r="M50" s="277">
        <v>0</v>
      </c>
      <c r="N50" s="277">
        <v>0</v>
      </c>
      <c r="O50" s="277">
        <v>0.41699999999999998</v>
      </c>
      <c r="P50" s="277"/>
    </row>
    <row r="51" spans="1:16" s="101" customFormat="1" ht="15.5">
      <c r="A51" s="286"/>
      <c r="B51" s="276" t="s">
        <v>75</v>
      </c>
      <c r="C51" s="277">
        <v>10</v>
      </c>
      <c r="D51" s="277">
        <v>21</v>
      </c>
      <c r="E51" s="277">
        <v>18</v>
      </c>
      <c r="F51" s="277">
        <v>19</v>
      </c>
      <c r="G51" s="277">
        <v>14</v>
      </c>
      <c r="H51" s="277">
        <v>43</v>
      </c>
      <c r="I51" s="277">
        <v>60</v>
      </c>
      <c r="J51" s="277">
        <v>75</v>
      </c>
      <c r="K51" s="277">
        <v>98</v>
      </c>
      <c r="L51" s="277">
        <v>92</v>
      </c>
      <c r="M51" s="277">
        <v>122</v>
      </c>
      <c r="N51" s="277">
        <v>132</v>
      </c>
      <c r="O51" s="277">
        <v>141.44399999999999</v>
      </c>
      <c r="P51" s="277">
        <v>150</v>
      </c>
    </row>
    <row r="52" spans="1:16" s="101" customFormat="1" ht="15.5">
      <c r="A52" s="286"/>
      <c r="B52" s="276" t="s">
        <v>76</v>
      </c>
      <c r="C52" s="277">
        <v>0</v>
      </c>
      <c r="D52" s="277">
        <v>0</v>
      </c>
      <c r="E52" s="277">
        <v>0</v>
      </c>
      <c r="F52" s="277">
        <v>0</v>
      </c>
      <c r="G52" s="277">
        <v>0</v>
      </c>
      <c r="H52" s="277">
        <v>0</v>
      </c>
      <c r="I52" s="277">
        <v>0</v>
      </c>
      <c r="J52" s="277">
        <v>0</v>
      </c>
      <c r="K52" s="277">
        <v>1</v>
      </c>
      <c r="L52" s="277">
        <v>1</v>
      </c>
      <c r="M52" s="277">
        <v>1</v>
      </c>
      <c r="N52" s="277">
        <v>1</v>
      </c>
      <c r="O52" s="277">
        <v>0.96299999999999997</v>
      </c>
      <c r="P52" s="277">
        <v>1</v>
      </c>
    </row>
    <row r="53" spans="1:16" s="101" customFormat="1" ht="15.5">
      <c r="A53" s="286"/>
      <c r="B53" s="276" t="s">
        <v>63</v>
      </c>
      <c r="C53" s="277">
        <v>0</v>
      </c>
      <c r="D53" s="277">
        <v>0</v>
      </c>
      <c r="E53" s="277">
        <v>0</v>
      </c>
      <c r="F53" s="277">
        <v>0</v>
      </c>
      <c r="G53" s="277">
        <v>0</v>
      </c>
      <c r="H53" s="277">
        <v>0</v>
      </c>
      <c r="I53" s="277">
        <v>0</v>
      </c>
      <c r="J53" s="277">
        <v>0</v>
      </c>
      <c r="K53" s="277">
        <v>0</v>
      </c>
      <c r="L53" s="277">
        <v>0</v>
      </c>
      <c r="M53" s="277">
        <v>0</v>
      </c>
      <c r="N53" s="277">
        <v>0</v>
      </c>
      <c r="O53" s="277">
        <v>0</v>
      </c>
      <c r="P53" s="277"/>
    </row>
    <row r="54" spans="1:16" ht="15.5">
      <c r="A54" s="233"/>
      <c r="B54" s="274" t="s">
        <v>78</v>
      </c>
      <c r="C54" s="279">
        <f t="shared" ref="C54:N54" si="1">SUM(C41:C53)</f>
        <v>498</v>
      </c>
      <c r="D54" s="279">
        <f t="shared" si="1"/>
        <v>767</v>
      </c>
      <c r="E54" s="279">
        <f t="shared" si="1"/>
        <v>815</v>
      </c>
      <c r="F54" s="279">
        <f t="shared" si="1"/>
        <v>898</v>
      </c>
      <c r="G54" s="279">
        <f t="shared" si="1"/>
        <v>919</v>
      </c>
      <c r="H54" s="279">
        <f t="shared" si="1"/>
        <v>1042</v>
      </c>
      <c r="I54" s="279">
        <f t="shared" si="1"/>
        <v>1070</v>
      </c>
      <c r="J54" s="279">
        <f t="shared" si="1"/>
        <v>1092</v>
      </c>
      <c r="K54" s="279">
        <f t="shared" si="1"/>
        <v>1121</v>
      </c>
      <c r="L54" s="279">
        <f t="shared" si="1"/>
        <v>1249</v>
      </c>
      <c r="M54" s="279">
        <f t="shared" si="1"/>
        <v>1274</v>
      </c>
      <c r="N54" s="279">
        <f t="shared" si="1"/>
        <v>1361</v>
      </c>
      <c r="O54" s="279">
        <v>1367.085</v>
      </c>
      <c r="P54" s="279">
        <f>SUM(P41:P53)</f>
        <v>1396</v>
      </c>
    </row>
    <row r="55" spans="1:16" ht="15.5">
      <c r="A55" s="233"/>
      <c r="B55" s="222" t="s">
        <v>79</v>
      </c>
      <c r="C55" s="278">
        <f t="shared" ref="C55:N55" si="2">+C39+C54</f>
        <v>595</v>
      </c>
      <c r="D55" s="278">
        <f t="shared" si="2"/>
        <v>786</v>
      </c>
      <c r="E55" s="278">
        <f t="shared" si="2"/>
        <v>857</v>
      </c>
      <c r="F55" s="278">
        <f t="shared" si="2"/>
        <v>936</v>
      </c>
      <c r="G55" s="278">
        <f t="shared" si="2"/>
        <v>950</v>
      </c>
      <c r="H55" s="278">
        <f t="shared" si="2"/>
        <v>1075</v>
      </c>
      <c r="I55" s="278">
        <f t="shared" si="2"/>
        <v>1084</v>
      </c>
      <c r="J55" s="278">
        <f t="shared" si="2"/>
        <v>1104</v>
      </c>
      <c r="K55" s="278">
        <f t="shared" si="2"/>
        <v>1133</v>
      </c>
      <c r="L55" s="278">
        <f t="shared" si="2"/>
        <v>1257</v>
      </c>
      <c r="M55" s="278">
        <f t="shared" si="2"/>
        <v>1279</v>
      </c>
      <c r="N55" s="278">
        <f t="shared" si="2"/>
        <v>1367</v>
      </c>
      <c r="O55" s="278">
        <v>1371.2149999999999</v>
      </c>
      <c r="P55" s="278">
        <f>+P54+P39</f>
        <v>1410</v>
      </c>
    </row>
    <row r="56" spans="1:16" ht="15.5">
      <c r="A56" s="233"/>
      <c r="B56" s="224"/>
      <c r="C56" s="280"/>
      <c r="D56" s="280"/>
      <c r="E56" s="280"/>
      <c r="F56" s="280"/>
      <c r="G56" s="280"/>
      <c r="H56" s="280"/>
      <c r="I56" s="280"/>
      <c r="J56" s="280"/>
      <c r="K56" s="280"/>
      <c r="L56" s="280"/>
      <c r="M56" s="280"/>
      <c r="N56" s="280"/>
      <c r="O56" s="280">
        <v>0</v>
      </c>
      <c r="P56" s="106"/>
    </row>
    <row r="57" spans="1:16" ht="15.5">
      <c r="A57" s="233"/>
      <c r="B57" s="281" t="s">
        <v>80</v>
      </c>
      <c r="C57" s="282"/>
      <c r="D57" s="282"/>
      <c r="E57" s="282"/>
      <c r="F57" s="282"/>
      <c r="G57" s="282"/>
      <c r="H57" s="282"/>
      <c r="I57" s="282"/>
      <c r="J57" s="282"/>
      <c r="K57" s="282"/>
      <c r="L57" s="282"/>
      <c r="M57" s="282"/>
      <c r="N57" s="282"/>
      <c r="O57" s="282">
        <v>0</v>
      </c>
      <c r="P57" s="282"/>
    </row>
    <row r="58" spans="1:16" ht="15.5">
      <c r="A58" s="233"/>
      <c r="B58" s="274" t="s">
        <v>81</v>
      </c>
      <c r="C58" s="283"/>
      <c r="D58" s="283"/>
      <c r="E58" s="283"/>
      <c r="F58" s="283"/>
      <c r="G58" s="283"/>
      <c r="H58" s="283"/>
      <c r="I58" s="283"/>
      <c r="J58" s="283"/>
      <c r="K58" s="283"/>
      <c r="L58" s="283"/>
      <c r="M58" s="283"/>
      <c r="N58" s="283"/>
      <c r="O58" s="283">
        <v>0</v>
      </c>
      <c r="P58" s="283"/>
    </row>
    <row r="59" spans="1:16" s="101" customFormat="1" ht="15.5">
      <c r="A59" s="286"/>
      <c r="B59" s="276" t="s">
        <v>82</v>
      </c>
      <c r="C59" s="277">
        <v>0</v>
      </c>
      <c r="D59" s="277">
        <v>0</v>
      </c>
      <c r="E59" s="277">
        <v>-18</v>
      </c>
      <c r="F59" s="277">
        <v>0</v>
      </c>
      <c r="G59" s="277">
        <v>0</v>
      </c>
      <c r="H59" s="277">
        <v>0</v>
      </c>
      <c r="I59" s="277">
        <v>0</v>
      </c>
      <c r="J59" s="277">
        <v>0</v>
      </c>
      <c r="K59" s="277">
        <v>0</v>
      </c>
      <c r="L59" s="277">
        <v>0</v>
      </c>
      <c r="M59" s="277">
        <v>0</v>
      </c>
      <c r="N59" s="277">
        <v>0</v>
      </c>
      <c r="O59" s="277">
        <v>0</v>
      </c>
      <c r="P59" s="277">
        <v>-8</v>
      </c>
    </row>
    <row r="60" spans="1:16" s="101" customFormat="1" ht="15.5">
      <c r="A60" s="286"/>
      <c r="B60" s="276" t="s">
        <v>83</v>
      </c>
      <c r="C60" s="277">
        <v>5</v>
      </c>
      <c r="D60" s="277">
        <v>17</v>
      </c>
      <c r="E60" s="277">
        <v>14</v>
      </c>
      <c r="F60" s="277">
        <v>12</v>
      </c>
      <c r="G60" s="277">
        <v>9</v>
      </c>
      <c r="H60" s="277">
        <v>7</v>
      </c>
      <c r="I60" s="277">
        <v>3</v>
      </c>
      <c r="J60" s="277">
        <v>3</v>
      </c>
      <c r="K60" s="277">
        <v>10</v>
      </c>
      <c r="L60" s="277">
        <v>1</v>
      </c>
      <c r="M60" s="277">
        <v>2</v>
      </c>
      <c r="N60" s="277">
        <v>3</v>
      </c>
      <c r="O60" s="277">
        <v>8.4450000000000003</v>
      </c>
      <c r="P60" s="277">
        <v>4</v>
      </c>
    </row>
    <row r="61" spans="1:16" s="101" customFormat="1" ht="15.5">
      <c r="A61" s="286"/>
      <c r="B61" s="276" t="s">
        <v>85</v>
      </c>
      <c r="C61" s="277">
        <v>0</v>
      </c>
      <c r="D61" s="277">
        <v>1</v>
      </c>
      <c r="E61" s="277">
        <v>0</v>
      </c>
      <c r="F61" s="277">
        <v>0</v>
      </c>
      <c r="G61" s="277">
        <v>0</v>
      </c>
      <c r="H61" s="277">
        <v>0</v>
      </c>
      <c r="I61" s="277">
        <v>1</v>
      </c>
      <c r="J61" s="277">
        <v>1</v>
      </c>
      <c r="K61" s="277">
        <v>2</v>
      </c>
      <c r="L61" s="277">
        <v>0</v>
      </c>
      <c r="M61" s="277">
        <v>1</v>
      </c>
      <c r="N61" s="277">
        <v>1</v>
      </c>
      <c r="O61" s="277">
        <v>0.216</v>
      </c>
      <c r="P61" s="277">
        <v>0</v>
      </c>
    </row>
    <row r="62" spans="1:16" s="101" customFormat="1" ht="15.5">
      <c r="A62" s="286"/>
      <c r="B62" s="276" t="s">
        <v>60</v>
      </c>
      <c r="C62" s="277">
        <v>23</v>
      </c>
      <c r="D62" s="277">
        <v>3</v>
      </c>
      <c r="E62" s="277">
        <v>0</v>
      </c>
      <c r="F62" s="277">
        <v>1</v>
      </c>
      <c r="G62" s="277">
        <v>1</v>
      </c>
      <c r="H62" s="277">
        <v>1</v>
      </c>
      <c r="I62" s="277">
        <v>2</v>
      </c>
      <c r="J62" s="277">
        <v>1</v>
      </c>
      <c r="K62" s="277">
        <v>1</v>
      </c>
      <c r="L62" s="277">
        <v>1</v>
      </c>
      <c r="M62" s="277">
        <v>1</v>
      </c>
      <c r="N62" s="277">
        <v>1</v>
      </c>
      <c r="O62" s="277">
        <v>1.099</v>
      </c>
      <c r="P62" s="277">
        <v>3</v>
      </c>
    </row>
    <row r="63" spans="1:16" s="101" customFormat="1" ht="15.5">
      <c r="A63" s="286"/>
      <c r="B63" s="276" t="s">
        <v>86</v>
      </c>
      <c r="C63" s="277">
        <v>0</v>
      </c>
      <c r="D63" s="277">
        <v>0</v>
      </c>
      <c r="E63" s="277">
        <v>0</v>
      </c>
      <c r="F63" s="277">
        <v>0</v>
      </c>
      <c r="G63" s="277">
        <v>0</v>
      </c>
      <c r="H63" s="277">
        <v>6</v>
      </c>
      <c r="I63" s="277">
        <v>9</v>
      </c>
      <c r="J63" s="277">
        <v>3</v>
      </c>
      <c r="K63" s="277">
        <v>2</v>
      </c>
      <c r="L63" s="277">
        <v>125</v>
      </c>
      <c r="M63" s="277">
        <v>44</v>
      </c>
      <c r="N63" s="277">
        <v>31</v>
      </c>
      <c r="O63" s="277">
        <v>24.690999999999999</v>
      </c>
      <c r="P63" s="277">
        <v>59</v>
      </c>
    </row>
    <row r="64" spans="1:16" s="101" customFormat="1" ht="15.5">
      <c r="A64" s="286"/>
      <c r="B64" s="276" t="s">
        <v>84</v>
      </c>
      <c r="C64" s="277">
        <v>0</v>
      </c>
      <c r="D64" s="277">
        <v>0</v>
      </c>
      <c r="E64" s="277">
        <v>0</v>
      </c>
      <c r="F64" s="277">
        <v>0</v>
      </c>
      <c r="G64" s="277">
        <v>0</v>
      </c>
      <c r="H64" s="277">
        <v>1</v>
      </c>
      <c r="I64" s="277">
        <v>1</v>
      </c>
      <c r="J64" s="277">
        <v>1</v>
      </c>
      <c r="K64" s="277">
        <v>1</v>
      </c>
      <c r="L64" s="277">
        <v>0</v>
      </c>
      <c r="M64" s="277">
        <v>79</v>
      </c>
      <c r="N64" s="277">
        <v>78</v>
      </c>
      <c r="O64" s="277">
        <v>78.554000000000002</v>
      </c>
      <c r="P64" s="277">
        <v>79</v>
      </c>
    </row>
    <row r="65" spans="1:16" s="101" customFormat="1" ht="15.5">
      <c r="A65" s="286"/>
      <c r="B65" s="276" t="s">
        <v>87</v>
      </c>
      <c r="C65" s="277">
        <v>0</v>
      </c>
      <c r="D65" s="277">
        <v>0</v>
      </c>
      <c r="E65" s="277">
        <v>0</v>
      </c>
      <c r="F65" s="277">
        <v>0</v>
      </c>
      <c r="G65" s="277">
        <v>0</v>
      </c>
      <c r="H65" s="277">
        <v>0</v>
      </c>
      <c r="I65" s="277">
        <v>0</v>
      </c>
      <c r="J65" s="277">
        <v>0</v>
      </c>
      <c r="K65" s="277">
        <v>0</v>
      </c>
      <c r="L65" s="277">
        <v>0</v>
      </c>
      <c r="M65" s="277">
        <v>0</v>
      </c>
      <c r="N65" s="277">
        <v>0</v>
      </c>
      <c r="O65" s="277">
        <v>0</v>
      </c>
      <c r="P65" s="277"/>
    </row>
    <row r="66" spans="1:16" s="101" customFormat="1" ht="15.5">
      <c r="A66" s="286"/>
      <c r="B66" s="276" t="s">
        <v>116</v>
      </c>
      <c r="C66" s="277">
        <v>0</v>
      </c>
      <c r="D66" s="277">
        <v>0</v>
      </c>
      <c r="E66" s="277">
        <v>0</v>
      </c>
      <c r="F66" s="277">
        <v>0</v>
      </c>
      <c r="G66" s="277">
        <v>0</v>
      </c>
      <c r="H66" s="277">
        <v>0</v>
      </c>
      <c r="I66" s="277">
        <v>0</v>
      </c>
      <c r="J66" s="277">
        <v>0</v>
      </c>
      <c r="K66" s="277">
        <v>0</v>
      </c>
      <c r="L66" s="277">
        <v>0</v>
      </c>
      <c r="M66" s="277">
        <v>0</v>
      </c>
      <c r="N66" s="277">
        <v>0</v>
      </c>
      <c r="O66" s="277">
        <v>0</v>
      </c>
      <c r="P66" s="277"/>
    </row>
    <row r="67" spans="1:16" ht="15.5">
      <c r="A67" s="233"/>
      <c r="B67" s="274" t="s">
        <v>89</v>
      </c>
      <c r="C67" s="279">
        <f t="shared" ref="C67:N67" si="3">SUM(C59:C66)</f>
        <v>28</v>
      </c>
      <c r="D67" s="279">
        <f t="shared" si="3"/>
        <v>21</v>
      </c>
      <c r="E67" s="279">
        <f t="shared" si="3"/>
        <v>-4</v>
      </c>
      <c r="F67" s="279">
        <f t="shared" si="3"/>
        <v>13</v>
      </c>
      <c r="G67" s="279">
        <f t="shared" si="3"/>
        <v>10</v>
      </c>
      <c r="H67" s="279">
        <f t="shared" si="3"/>
        <v>15</v>
      </c>
      <c r="I67" s="279">
        <f t="shared" si="3"/>
        <v>16</v>
      </c>
      <c r="J67" s="279">
        <f t="shared" si="3"/>
        <v>9</v>
      </c>
      <c r="K67" s="279">
        <f t="shared" si="3"/>
        <v>16</v>
      </c>
      <c r="L67" s="279">
        <f t="shared" si="3"/>
        <v>127</v>
      </c>
      <c r="M67" s="279">
        <f t="shared" si="3"/>
        <v>127</v>
      </c>
      <c r="N67" s="279">
        <f t="shared" si="3"/>
        <v>114</v>
      </c>
      <c r="O67" s="279">
        <v>113.005</v>
      </c>
      <c r="P67" s="279">
        <f>SUM(P59:P66)</f>
        <v>137</v>
      </c>
    </row>
    <row r="68" spans="1:16" ht="15.5">
      <c r="A68" s="233"/>
      <c r="B68" s="284" t="s">
        <v>90</v>
      </c>
      <c r="C68" s="285"/>
      <c r="D68" s="285"/>
      <c r="E68" s="285"/>
      <c r="F68" s="285"/>
      <c r="G68" s="285"/>
      <c r="H68" s="285"/>
      <c r="I68" s="285"/>
      <c r="J68" s="285"/>
      <c r="K68" s="285"/>
      <c r="L68" s="285"/>
      <c r="M68" s="285"/>
      <c r="N68" s="285"/>
      <c r="O68" s="285">
        <v>0</v>
      </c>
      <c r="P68" s="285"/>
    </row>
    <row r="69" spans="1:16" s="101" customFormat="1" ht="15.5">
      <c r="A69" s="286"/>
      <c r="B69" s="276" t="s">
        <v>82</v>
      </c>
      <c r="C69" s="277">
        <v>228</v>
      </c>
      <c r="D69" s="277">
        <v>425</v>
      </c>
      <c r="E69" s="277">
        <v>506</v>
      </c>
      <c r="F69" s="277">
        <v>566</v>
      </c>
      <c r="G69" s="277">
        <v>557</v>
      </c>
      <c r="H69" s="277">
        <v>666</v>
      </c>
      <c r="I69" s="277">
        <v>669</v>
      </c>
      <c r="J69" s="277">
        <v>695</v>
      </c>
      <c r="K69" s="277">
        <v>712</v>
      </c>
      <c r="L69" s="277">
        <v>686</v>
      </c>
      <c r="M69" s="277">
        <v>746</v>
      </c>
      <c r="N69" s="277">
        <v>833</v>
      </c>
      <c r="O69" s="277">
        <v>822.98400000000004</v>
      </c>
      <c r="P69" s="277">
        <v>815</v>
      </c>
    </row>
    <row r="70" spans="1:16" s="101" customFormat="1" ht="15.5">
      <c r="A70" s="286"/>
      <c r="B70" s="276" t="s">
        <v>83</v>
      </c>
      <c r="C70" s="277">
        <v>0</v>
      </c>
      <c r="D70" s="277">
        <v>0</v>
      </c>
      <c r="E70" s="277">
        <v>0</v>
      </c>
      <c r="F70" s="277">
        <v>0</v>
      </c>
      <c r="G70" s="277">
        <v>0</v>
      </c>
      <c r="H70" s="277">
        <v>0</v>
      </c>
      <c r="I70" s="277">
        <v>0</v>
      </c>
      <c r="J70" s="277">
        <v>0</v>
      </c>
      <c r="K70" s="277">
        <v>1</v>
      </c>
      <c r="L70" s="277">
        <v>1</v>
      </c>
      <c r="M70" s="277">
        <v>1</v>
      </c>
      <c r="N70" s="277">
        <v>1</v>
      </c>
      <c r="O70" s="277">
        <v>1.014</v>
      </c>
      <c r="P70" s="277">
        <v>1</v>
      </c>
    </row>
    <row r="71" spans="1:16" s="101" customFormat="1" ht="15.5">
      <c r="A71" s="286"/>
      <c r="B71" s="276" t="s">
        <v>91</v>
      </c>
      <c r="C71" s="277">
        <v>0</v>
      </c>
      <c r="D71" s="277">
        <v>0</v>
      </c>
      <c r="E71" s="277">
        <v>0</v>
      </c>
      <c r="F71" s="277">
        <v>0</v>
      </c>
      <c r="G71" s="277">
        <v>0</v>
      </c>
      <c r="H71" s="277">
        <v>0</v>
      </c>
      <c r="I71" s="277">
        <v>0</v>
      </c>
      <c r="J71" s="277">
        <v>0</v>
      </c>
      <c r="K71" s="277">
        <v>0</v>
      </c>
      <c r="L71" s="277">
        <v>0</v>
      </c>
      <c r="M71" s="277">
        <v>0</v>
      </c>
      <c r="N71" s="277">
        <v>0</v>
      </c>
      <c r="O71" s="277">
        <v>0</v>
      </c>
      <c r="P71" s="277"/>
    </row>
    <row r="72" spans="1:16" s="101" customFormat="1" ht="15.5">
      <c r="A72" s="286"/>
      <c r="B72" s="276" t="s">
        <v>85</v>
      </c>
      <c r="C72" s="277">
        <v>0</v>
      </c>
      <c r="D72" s="277">
        <v>0</v>
      </c>
      <c r="E72" s="277">
        <v>0</v>
      </c>
      <c r="F72" s="277">
        <v>0</v>
      </c>
      <c r="G72" s="277">
        <v>0</v>
      </c>
      <c r="H72" s="277">
        <v>0</v>
      </c>
      <c r="I72" s="277">
        <v>0</v>
      </c>
      <c r="J72" s="277">
        <v>0</v>
      </c>
      <c r="K72" s="277">
        <v>0</v>
      </c>
      <c r="L72" s="277">
        <v>0</v>
      </c>
      <c r="M72" s="277">
        <v>0</v>
      </c>
      <c r="N72" s="277">
        <v>0</v>
      </c>
      <c r="O72" s="277">
        <v>0</v>
      </c>
      <c r="P72" s="277"/>
    </row>
    <row r="73" spans="1:16" s="101" customFormat="1" ht="15.5">
      <c r="A73" s="286"/>
      <c r="B73" s="276" t="s">
        <v>86</v>
      </c>
      <c r="C73" s="277">
        <v>0</v>
      </c>
      <c r="D73" s="277">
        <v>0</v>
      </c>
      <c r="E73" s="277">
        <v>0</v>
      </c>
      <c r="F73" s="277">
        <v>0</v>
      </c>
      <c r="G73" s="277">
        <v>0</v>
      </c>
      <c r="H73" s="277">
        <v>0</v>
      </c>
      <c r="I73" s="277">
        <v>0</v>
      </c>
      <c r="J73" s="277">
        <v>0</v>
      </c>
      <c r="K73" s="277">
        <v>0</v>
      </c>
      <c r="L73" s="277">
        <v>0</v>
      </c>
      <c r="M73" s="277">
        <v>0</v>
      </c>
      <c r="N73" s="277">
        <v>0</v>
      </c>
      <c r="O73" s="277">
        <v>0</v>
      </c>
      <c r="P73" s="277"/>
    </row>
    <row r="74" spans="1:16" s="101" customFormat="1" ht="15.5">
      <c r="A74" s="286"/>
      <c r="B74" s="276" t="s">
        <v>87</v>
      </c>
      <c r="C74" s="277">
        <v>0</v>
      </c>
      <c r="D74" s="277">
        <v>0</v>
      </c>
      <c r="E74" s="277">
        <v>0</v>
      </c>
      <c r="F74" s="277">
        <v>0</v>
      </c>
      <c r="G74" s="277">
        <v>0</v>
      </c>
      <c r="H74" s="277">
        <v>0</v>
      </c>
      <c r="I74" s="277">
        <v>0</v>
      </c>
      <c r="J74" s="277">
        <v>0</v>
      </c>
      <c r="K74" s="277">
        <v>0</v>
      </c>
      <c r="L74" s="277">
        <v>0</v>
      </c>
      <c r="M74" s="277">
        <v>0</v>
      </c>
      <c r="N74" s="277">
        <v>0</v>
      </c>
      <c r="O74" s="277">
        <v>0</v>
      </c>
      <c r="P74" s="277"/>
    </row>
    <row r="75" spans="1:16" s="101" customFormat="1" ht="15.5">
      <c r="A75" s="286"/>
      <c r="B75" s="276" t="s">
        <v>117</v>
      </c>
      <c r="C75" s="277">
        <v>11</v>
      </c>
      <c r="D75" s="277">
        <v>19</v>
      </c>
      <c r="E75" s="277">
        <v>25</v>
      </c>
      <c r="F75" s="277">
        <v>27</v>
      </c>
      <c r="G75" s="277">
        <v>29</v>
      </c>
      <c r="H75" s="277">
        <v>42</v>
      </c>
      <c r="I75" s="277">
        <v>49</v>
      </c>
      <c r="J75" s="277">
        <v>49</v>
      </c>
      <c r="K75" s="277">
        <v>62</v>
      </c>
      <c r="L75" s="277">
        <v>79</v>
      </c>
      <c r="M75" s="277">
        <v>91</v>
      </c>
      <c r="N75" s="277">
        <v>103</v>
      </c>
      <c r="O75" s="277">
        <v>113.545</v>
      </c>
      <c r="P75" s="277">
        <v>124</v>
      </c>
    </row>
    <row r="76" spans="1:16" ht="15.5">
      <c r="A76" s="233"/>
      <c r="B76" s="274" t="s">
        <v>92</v>
      </c>
      <c r="C76" s="279">
        <f t="shared" ref="C76:N76" si="4">SUM(C69:C75)</f>
        <v>239</v>
      </c>
      <c r="D76" s="279">
        <f t="shared" si="4"/>
        <v>444</v>
      </c>
      <c r="E76" s="279">
        <f t="shared" si="4"/>
        <v>531</v>
      </c>
      <c r="F76" s="279">
        <f t="shared" si="4"/>
        <v>593</v>
      </c>
      <c r="G76" s="279">
        <f t="shared" si="4"/>
        <v>586</v>
      </c>
      <c r="H76" s="279">
        <f t="shared" si="4"/>
        <v>708</v>
      </c>
      <c r="I76" s="279">
        <f t="shared" si="4"/>
        <v>718</v>
      </c>
      <c r="J76" s="279">
        <f t="shared" si="4"/>
        <v>744</v>
      </c>
      <c r="K76" s="279">
        <f t="shared" si="4"/>
        <v>775</v>
      </c>
      <c r="L76" s="279">
        <f t="shared" si="4"/>
        <v>766</v>
      </c>
      <c r="M76" s="279">
        <f t="shared" si="4"/>
        <v>838</v>
      </c>
      <c r="N76" s="279">
        <f t="shared" si="4"/>
        <v>937</v>
      </c>
      <c r="O76" s="279">
        <v>937.54300000000001</v>
      </c>
      <c r="P76" s="279">
        <f>SUM(P69:P75)</f>
        <v>940</v>
      </c>
    </row>
    <row r="77" spans="1:16" ht="15.5">
      <c r="A77" s="233"/>
      <c r="B77" s="222" t="s">
        <v>93</v>
      </c>
      <c r="C77" s="278">
        <f t="shared" ref="C77:N77" si="5">+C67+C76</f>
        <v>267</v>
      </c>
      <c r="D77" s="278">
        <f t="shared" si="5"/>
        <v>465</v>
      </c>
      <c r="E77" s="278">
        <f t="shared" si="5"/>
        <v>527</v>
      </c>
      <c r="F77" s="278">
        <f t="shared" si="5"/>
        <v>606</v>
      </c>
      <c r="G77" s="278">
        <f t="shared" si="5"/>
        <v>596</v>
      </c>
      <c r="H77" s="278">
        <f t="shared" si="5"/>
        <v>723</v>
      </c>
      <c r="I77" s="278">
        <f t="shared" si="5"/>
        <v>734</v>
      </c>
      <c r="J77" s="278">
        <f t="shared" si="5"/>
        <v>753</v>
      </c>
      <c r="K77" s="278">
        <f t="shared" si="5"/>
        <v>791</v>
      </c>
      <c r="L77" s="278">
        <f t="shared" si="5"/>
        <v>893</v>
      </c>
      <c r="M77" s="278">
        <f t="shared" si="5"/>
        <v>965</v>
      </c>
      <c r="N77" s="278">
        <f t="shared" si="5"/>
        <v>1051</v>
      </c>
      <c r="O77" s="278">
        <v>1050.548</v>
      </c>
      <c r="P77" s="278">
        <f>+P76+P67</f>
        <v>1077</v>
      </c>
    </row>
    <row r="78" spans="1:16" ht="15.5">
      <c r="A78" s="233"/>
      <c r="B78" s="224"/>
      <c r="C78" s="280"/>
      <c r="D78" s="280"/>
      <c r="E78" s="280"/>
      <c r="F78" s="280"/>
      <c r="G78" s="280"/>
      <c r="H78" s="280"/>
      <c r="I78" s="280"/>
      <c r="J78" s="280"/>
      <c r="K78" s="280"/>
      <c r="L78" s="280"/>
      <c r="M78" s="280"/>
      <c r="N78" s="280"/>
      <c r="O78" s="280">
        <v>0</v>
      </c>
      <c r="P78" s="280"/>
    </row>
    <row r="79" spans="1:16" ht="15.5">
      <c r="A79" s="233"/>
      <c r="B79" s="284" t="s">
        <v>94</v>
      </c>
      <c r="C79" s="285"/>
      <c r="D79" s="285"/>
      <c r="E79" s="285"/>
      <c r="F79" s="285"/>
      <c r="G79" s="285"/>
      <c r="H79" s="285"/>
      <c r="I79" s="285"/>
      <c r="J79" s="285"/>
      <c r="K79" s="285"/>
      <c r="L79" s="285"/>
      <c r="M79" s="285"/>
      <c r="N79" s="285"/>
      <c r="O79" s="285">
        <v>0</v>
      </c>
      <c r="P79" s="285"/>
    </row>
    <row r="80" spans="1:16" s="101" customFormat="1" ht="15.5">
      <c r="A80" s="286"/>
      <c r="B80" s="276" t="s">
        <v>95</v>
      </c>
      <c r="C80" s="277">
        <v>320</v>
      </c>
      <c r="D80" s="277">
        <v>320</v>
      </c>
      <c r="E80" s="277">
        <v>320</v>
      </c>
      <c r="F80" s="277">
        <v>320</v>
      </c>
      <c r="G80" s="277">
        <v>331</v>
      </c>
      <c r="H80" s="277">
        <v>336</v>
      </c>
      <c r="I80" s="277">
        <v>343</v>
      </c>
      <c r="J80" s="277">
        <v>346</v>
      </c>
      <c r="K80" s="277">
        <v>346</v>
      </c>
      <c r="L80" s="277">
        <v>370</v>
      </c>
      <c r="M80" s="277">
        <v>370</v>
      </c>
      <c r="N80" s="277">
        <v>370</v>
      </c>
      <c r="O80" s="277">
        <v>370.13600000000002</v>
      </c>
      <c r="P80" s="277">
        <v>370</v>
      </c>
    </row>
    <row r="81" spans="1:16" s="101" customFormat="1" ht="15.5">
      <c r="A81" s="286"/>
      <c r="B81" s="276" t="s">
        <v>96</v>
      </c>
      <c r="C81" s="277">
        <v>0</v>
      </c>
      <c r="D81" s="277">
        <v>0</v>
      </c>
      <c r="E81" s="277">
        <v>0</v>
      </c>
      <c r="F81" s="277">
        <v>0</v>
      </c>
      <c r="G81" s="277">
        <v>0</v>
      </c>
      <c r="H81" s="277">
        <v>0</v>
      </c>
      <c r="I81" s="277">
        <v>0</v>
      </c>
      <c r="J81" s="277">
        <v>0</v>
      </c>
      <c r="K81" s="277">
        <v>0</v>
      </c>
      <c r="L81" s="277">
        <v>0</v>
      </c>
      <c r="M81" s="277">
        <v>0</v>
      </c>
      <c r="N81" s="277">
        <v>0</v>
      </c>
      <c r="O81" s="277">
        <v>0</v>
      </c>
      <c r="P81" s="277"/>
    </row>
    <row r="82" spans="1:16" s="101" customFormat="1" ht="15.5">
      <c r="A82" s="286"/>
      <c r="B82" s="276" t="s">
        <v>97</v>
      </c>
      <c r="C82" s="277">
        <v>-2</v>
      </c>
      <c r="D82" s="277">
        <v>-1</v>
      </c>
      <c r="E82" s="277">
        <v>-5</v>
      </c>
      <c r="F82" s="277">
        <v>-5</v>
      </c>
      <c r="G82" s="277">
        <v>-7</v>
      </c>
      <c r="H82" s="277">
        <v>0</v>
      </c>
      <c r="I82" s="277">
        <v>0</v>
      </c>
      <c r="J82" s="277">
        <v>0</v>
      </c>
      <c r="K82" s="277">
        <v>0</v>
      </c>
      <c r="L82" s="277">
        <v>0</v>
      </c>
      <c r="M82" s="277">
        <v>0</v>
      </c>
      <c r="N82" s="277">
        <v>0</v>
      </c>
      <c r="O82" s="277">
        <v>0.214</v>
      </c>
      <c r="P82" s="277"/>
    </row>
    <row r="83" spans="1:16" s="101" customFormat="1" ht="15.5">
      <c r="A83" s="286"/>
      <c r="B83" s="276" t="s">
        <v>98</v>
      </c>
      <c r="C83" s="277">
        <v>-1</v>
      </c>
      <c r="D83" s="277">
        <v>2</v>
      </c>
      <c r="E83" s="277">
        <v>-3</v>
      </c>
      <c r="F83" s="277">
        <v>-3</v>
      </c>
      <c r="G83" s="277">
        <v>-3</v>
      </c>
      <c r="H83" s="277">
        <v>-3</v>
      </c>
      <c r="I83" s="277">
        <v>8</v>
      </c>
      <c r="J83" s="277">
        <v>8</v>
      </c>
      <c r="K83" s="277">
        <v>8</v>
      </c>
      <c r="L83" s="277">
        <v>8</v>
      </c>
      <c r="M83" s="277">
        <v>20</v>
      </c>
      <c r="N83" s="277">
        <v>20</v>
      </c>
      <c r="O83" s="277">
        <v>19.891999999999999</v>
      </c>
      <c r="P83" s="277">
        <v>20</v>
      </c>
    </row>
    <row r="84" spans="1:16" s="101" customFormat="1" ht="15.5">
      <c r="A84" s="286"/>
      <c r="B84" s="276" t="s">
        <v>99</v>
      </c>
      <c r="C84" s="277">
        <v>3</v>
      </c>
      <c r="D84" s="277">
        <v>-4</v>
      </c>
      <c r="E84" s="277">
        <v>0</v>
      </c>
      <c r="F84" s="277">
        <v>-3</v>
      </c>
      <c r="G84" s="277">
        <v>5</v>
      </c>
      <c r="H84" s="277">
        <v>11</v>
      </c>
      <c r="I84" s="277">
        <v>2</v>
      </c>
      <c r="J84" s="277">
        <v>21</v>
      </c>
      <c r="K84" s="277">
        <v>28</v>
      </c>
      <c r="L84" s="277">
        <v>12</v>
      </c>
      <c r="M84" s="277">
        <v>-2</v>
      </c>
      <c r="N84" s="277">
        <v>-1</v>
      </c>
      <c r="O84" s="277">
        <v>-0.55300000000000005</v>
      </c>
      <c r="P84" s="277">
        <v>4</v>
      </c>
    </row>
    <row r="85" spans="1:16" s="101" customFormat="1" ht="15.5">
      <c r="A85" s="286"/>
      <c r="B85" s="276" t="s">
        <v>100</v>
      </c>
      <c r="C85" s="277">
        <v>8</v>
      </c>
      <c r="D85" s="277">
        <v>4</v>
      </c>
      <c r="E85" s="277">
        <v>18</v>
      </c>
      <c r="F85" s="277">
        <v>21</v>
      </c>
      <c r="G85" s="277">
        <v>28</v>
      </c>
      <c r="H85" s="277">
        <v>8</v>
      </c>
      <c r="I85" s="277">
        <v>-3</v>
      </c>
      <c r="J85" s="277">
        <v>-24</v>
      </c>
      <c r="K85" s="277">
        <v>-40</v>
      </c>
      <c r="L85" s="277">
        <v>-26</v>
      </c>
      <c r="M85" s="277">
        <v>-74</v>
      </c>
      <c r="N85" s="277">
        <v>-73</v>
      </c>
      <c r="O85" s="277">
        <v>-69.022000000000006</v>
      </c>
      <c r="P85" s="277">
        <v>-61</v>
      </c>
    </row>
    <row r="86" spans="1:16" ht="15.5">
      <c r="A86" s="233"/>
      <c r="B86" s="274" t="s">
        <v>103</v>
      </c>
      <c r="C86" s="279">
        <f t="shared" ref="C86:N86" si="6">SUM(C80:C85)</f>
        <v>328</v>
      </c>
      <c r="D86" s="279">
        <f t="shared" si="6"/>
        <v>321</v>
      </c>
      <c r="E86" s="279">
        <f t="shared" si="6"/>
        <v>330</v>
      </c>
      <c r="F86" s="279">
        <f t="shared" si="6"/>
        <v>330</v>
      </c>
      <c r="G86" s="279">
        <f t="shared" si="6"/>
        <v>354</v>
      </c>
      <c r="H86" s="279">
        <f t="shared" si="6"/>
        <v>352</v>
      </c>
      <c r="I86" s="279">
        <f t="shared" si="6"/>
        <v>350</v>
      </c>
      <c r="J86" s="279">
        <f t="shared" si="6"/>
        <v>351</v>
      </c>
      <c r="K86" s="279">
        <f t="shared" si="6"/>
        <v>342</v>
      </c>
      <c r="L86" s="279">
        <f t="shared" si="6"/>
        <v>364</v>
      </c>
      <c r="M86" s="279">
        <f t="shared" si="6"/>
        <v>314</v>
      </c>
      <c r="N86" s="279">
        <f t="shared" si="6"/>
        <v>316</v>
      </c>
      <c r="O86" s="279">
        <v>320.66699999999997</v>
      </c>
      <c r="P86" s="279">
        <f>SUM(P80:P85)</f>
        <v>333</v>
      </c>
    </row>
    <row r="87" spans="1:16" ht="15.5">
      <c r="A87" s="233"/>
      <c r="B87" s="222" t="s">
        <v>104</v>
      </c>
      <c r="C87" s="278">
        <f t="shared" ref="C87:N87" si="7">+C77+C86</f>
        <v>595</v>
      </c>
      <c r="D87" s="278">
        <f t="shared" si="7"/>
        <v>786</v>
      </c>
      <c r="E87" s="278">
        <f t="shared" si="7"/>
        <v>857</v>
      </c>
      <c r="F87" s="278">
        <f t="shared" si="7"/>
        <v>936</v>
      </c>
      <c r="G87" s="278">
        <f t="shared" si="7"/>
        <v>950</v>
      </c>
      <c r="H87" s="278">
        <f t="shared" si="7"/>
        <v>1075</v>
      </c>
      <c r="I87" s="278">
        <f t="shared" si="7"/>
        <v>1084</v>
      </c>
      <c r="J87" s="278">
        <f t="shared" si="7"/>
        <v>1104</v>
      </c>
      <c r="K87" s="278">
        <f t="shared" si="7"/>
        <v>1133</v>
      </c>
      <c r="L87" s="278">
        <f t="shared" si="7"/>
        <v>1257</v>
      </c>
      <c r="M87" s="278">
        <f t="shared" si="7"/>
        <v>1279</v>
      </c>
      <c r="N87" s="278">
        <f t="shared" si="7"/>
        <v>1367</v>
      </c>
      <c r="O87" s="278">
        <v>1371.2149999999999</v>
      </c>
      <c r="P87" s="278">
        <f>+P77+P86</f>
        <v>1410</v>
      </c>
    </row>
    <row r="88" spans="1:16" ht="15.5">
      <c r="A88" s="233"/>
      <c r="B88" s="233"/>
      <c r="C88" s="233"/>
      <c r="D88" s="233"/>
      <c r="E88" s="233"/>
      <c r="F88" s="233"/>
      <c r="G88" s="233"/>
      <c r="H88" s="233"/>
      <c r="I88" s="233"/>
      <c r="J88" s="233"/>
      <c r="K88" s="233"/>
      <c r="L88" s="233"/>
      <c r="M88" s="233"/>
      <c r="N88" s="233"/>
      <c r="O88" s="233"/>
    </row>
  </sheetData>
  <hyperlinks>
    <hyperlink ref="A1" location="Contenido!A1" display="Volver al Contenido" xr:uid="{5085CD7F-D4CA-44EC-9482-C75803AFF850}"/>
  </hyperlinks>
  <pageMargins left="0.7" right="0.7" top="0.75" bottom="0.75" header="0.3" footer="0.3"/>
  <customProperties>
    <customPr name="_pios_id" r:id="rId1"/>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P454"/>
  <sheetViews>
    <sheetView showGridLines="0" topLeftCell="C107" zoomScale="78" zoomScaleNormal="78" workbookViewId="0">
      <selection activeCell="O120" sqref="O120"/>
    </sheetView>
  </sheetViews>
  <sheetFormatPr baseColWidth="10" defaultColWidth="11.453125" defaultRowHeight="14.5"/>
  <cols>
    <col min="1" max="1" width="7.1796875" customWidth="1"/>
    <col min="2" max="2" width="57.81640625" bestFit="1" customWidth="1"/>
    <col min="3" max="14" width="12.54296875" customWidth="1"/>
    <col min="15" max="15" width="12.54296875" style="106" customWidth="1"/>
  </cols>
  <sheetData>
    <row r="1" spans="1:16">
      <c r="A1" s="2" t="s">
        <v>17</v>
      </c>
      <c r="B1" s="106"/>
      <c r="C1" s="106"/>
      <c r="D1" s="106"/>
      <c r="E1" s="106"/>
      <c r="F1" s="106"/>
      <c r="G1" s="106"/>
      <c r="H1" s="106"/>
      <c r="I1" s="106"/>
      <c r="J1" s="106"/>
      <c r="K1" s="106"/>
      <c r="L1" s="106"/>
      <c r="M1" s="106"/>
      <c r="N1" s="106"/>
    </row>
    <row r="3" spans="1:16" ht="15.5">
      <c r="A3" s="106"/>
      <c r="B3" s="125" t="s">
        <v>392</v>
      </c>
      <c r="C3" s="33"/>
      <c r="D3" s="33"/>
      <c r="E3" s="34"/>
      <c r="F3" s="33"/>
      <c r="G3" s="33"/>
      <c r="H3" s="33"/>
      <c r="I3" s="34"/>
      <c r="J3" s="33"/>
      <c r="K3" s="33"/>
      <c r="L3" s="33"/>
      <c r="M3" s="34"/>
      <c r="N3" s="33"/>
      <c r="O3" s="33"/>
    </row>
    <row r="4" spans="1:16" ht="13.5" customHeight="1">
      <c r="A4" s="106"/>
      <c r="B4" s="258" t="s">
        <v>393</v>
      </c>
      <c r="C4" s="233"/>
      <c r="D4" s="233"/>
      <c r="E4" s="233"/>
      <c r="F4" s="233"/>
      <c r="G4" s="233"/>
      <c r="H4" s="233"/>
      <c r="I4" s="233"/>
      <c r="J4" s="233"/>
      <c r="K4" s="233"/>
      <c r="L4" s="233"/>
      <c r="M4" s="233"/>
      <c r="N4" s="233"/>
      <c r="O4" s="233"/>
    </row>
    <row r="5" spans="1:16" s="106" customFormat="1" ht="13.5" customHeight="1">
      <c r="B5" s="474"/>
      <c r="C5" s="233"/>
      <c r="D5" s="233"/>
      <c r="E5" s="233"/>
      <c r="F5" s="233"/>
      <c r="G5" s="233"/>
      <c r="H5" s="233"/>
      <c r="I5" s="233"/>
      <c r="J5" s="233"/>
      <c r="K5" s="233"/>
      <c r="L5" s="233"/>
      <c r="M5" s="233"/>
      <c r="N5" s="233"/>
      <c r="O5" s="233"/>
    </row>
    <row r="6" spans="1:16" ht="9.65" customHeight="1">
      <c r="A6" s="106"/>
      <c r="B6" s="35"/>
      <c r="C6" s="35"/>
      <c r="D6" s="35"/>
      <c r="E6" s="35"/>
      <c r="F6" s="35"/>
      <c r="G6" s="35"/>
      <c r="H6" s="35"/>
      <c r="I6" s="35"/>
      <c r="J6" s="35"/>
      <c r="K6" s="35"/>
      <c r="L6" s="35"/>
      <c r="M6" s="35"/>
      <c r="N6" s="35"/>
      <c r="O6" s="35"/>
    </row>
    <row r="7" spans="1:16" ht="15">
      <c r="A7" s="106"/>
      <c r="B7" s="241"/>
      <c r="C7" s="242">
        <v>2016</v>
      </c>
      <c r="D7" s="242">
        <v>2017</v>
      </c>
      <c r="E7" s="242" t="s">
        <v>20</v>
      </c>
      <c r="F7" s="242" t="s">
        <v>21</v>
      </c>
      <c r="G7" s="242" t="s">
        <v>22</v>
      </c>
      <c r="H7" s="242" t="s">
        <v>23</v>
      </c>
      <c r="I7" s="242" t="s">
        <v>24</v>
      </c>
      <c r="J7" s="242" t="s">
        <v>25</v>
      </c>
      <c r="K7" s="242" t="s">
        <v>26</v>
      </c>
      <c r="L7" s="242" t="s">
        <v>27</v>
      </c>
      <c r="M7" s="242" t="s">
        <v>28</v>
      </c>
      <c r="N7" s="242" t="s">
        <v>29</v>
      </c>
      <c r="O7" s="242" t="s">
        <v>30</v>
      </c>
      <c r="P7" s="537" t="s">
        <v>954</v>
      </c>
    </row>
    <row r="8" spans="1:16" ht="5.15" customHeight="1">
      <c r="A8" s="106"/>
      <c r="B8" s="243"/>
      <c r="C8" s="35"/>
      <c r="D8" s="35"/>
      <c r="E8" s="35"/>
      <c r="F8" s="35"/>
      <c r="G8" s="35"/>
      <c r="H8" s="35"/>
      <c r="I8" s="35"/>
      <c r="J8" s="35"/>
      <c r="K8" s="35"/>
      <c r="L8" s="35"/>
      <c r="M8" s="35"/>
      <c r="N8" s="35"/>
      <c r="O8" s="35"/>
    </row>
    <row r="9" spans="1:16" ht="15.5">
      <c r="A9" s="106"/>
      <c r="B9" s="172" t="s">
        <v>31</v>
      </c>
      <c r="C9" s="207">
        <v>21559</v>
      </c>
      <c r="D9" s="207">
        <v>6501</v>
      </c>
      <c r="E9" s="207">
        <v>1605</v>
      </c>
      <c r="F9" s="207">
        <v>2519</v>
      </c>
      <c r="G9" s="207">
        <v>3792</v>
      </c>
      <c r="H9" s="207">
        <v>10850</v>
      </c>
      <c r="I9" s="207">
        <v>3208</v>
      </c>
      <c r="J9" s="207">
        <v>6858</v>
      </c>
      <c r="K9" s="207">
        <v>13157</v>
      </c>
      <c r="L9" s="207">
        <v>13280</v>
      </c>
      <c r="M9" s="207">
        <v>8788</v>
      </c>
      <c r="N9" s="207">
        <v>8649</v>
      </c>
      <c r="O9" s="207">
        <f>25905-M9-N9</f>
        <v>8468</v>
      </c>
      <c r="P9" s="207">
        <v>21083.452605999999</v>
      </c>
    </row>
    <row r="10" spans="1:16" ht="15.5">
      <c r="A10" s="106"/>
      <c r="B10" s="172" t="s">
        <v>32</v>
      </c>
      <c r="C10" s="207">
        <v>18557</v>
      </c>
      <c r="D10" s="207">
        <v>5186</v>
      </c>
      <c r="E10" s="207">
        <v>1246</v>
      </c>
      <c r="F10" s="207">
        <v>2052</v>
      </c>
      <c r="G10" s="207">
        <v>3174</v>
      </c>
      <c r="H10" s="207">
        <v>10135</v>
      </c>
      <c r="I10" s="207">
        <v>2839</v>
      </c>
      <c r="J10" s="207">
        <v>6069</v>
      </c>
      <c r="K10" s="207">
        <v>11643</v>
      </c>
      <c r="L10" s="207">
        <v>11752</v>
      </c>
      <c r="M10" s="207">
        <v>7642</v>
      </c>
      <c r="N10" s="207">
        <v>7535</v>
      </c>
      <c r="O10" s="207">
        <f>22545-M10-N10</f>
        <v>7368</v>
      </c>
      <c r="P10" s="207">
        <v>18333.437048</v>
      </c>
    </row>
    <row r="11" spans="1:16" ht="15.5">
      <c r="A11" s="106"/>
      <c r="B11" s="232" t="s">
        <v>33</v>
      </c>
      <c r="C11" s="244">
        <v>3002</v>
      </c>
      <c r="D11" s="244">
        <v>1315</v>
      </c>
      <c r="E11" s="244">
        <v>359</v>
      </c>
      <c r="F11" s="244">
        <v>467</v>
      </c>
      <c r="G11" s="244">
        <v>618</v>
      </c>
      <c r="H11" s="244">
        <v>715</v>
      </c>
      <c r="I11" s="244">
        <v>369</v>
      </c>
      <c r="J11" s="244">
        <v>789</v>
      </c>
      <c r="K11" s="244">
        <v>1514</v>
      </c>
      <c r="L11" s="244">
        <v>1528</v>
      </c>
      <c r="M11" s="244">
        <v>1146</v>
      </c>
      <c r="N11" s="244">
        <v>1114</v>
      </c>
      <c r="O11" s="244">
        <f>+O9-O10</f>
        <v>1100</v>
      </c>
      <c r="P11" s="244">
        <v>2750.0155579999991</v>
      </c>
    </row>
    <row r="12" spans="1:16" ht="4" customHeight="1">
      <c r="A12" s="106"/>
      <c r="B12" s="172"/>
      <c r="C12" s="207"/>
      <c r="D12" s="207"/>
      <c r="E12" s="207"/>
      <c r="F12" s="207"/>
      <c r="G12" s="207"/>
      <c r="H12" s="207"/>
      <c r="I12" s="207"/>
      <c r="J12" s="207"/>
      <c r="K12" s="207"/>
      <c r="L12" s="207"/>
      <c r="M12" s="207"/>
      <c r="N12" s="207"/>
      <c r="O12" s="207"/>
      <c r="P12" s="207"/>
    </row>
    <row r="13" spans="1:16" ht="15.5">
      <c r="A13" s="106"/>
      <c r="B13" s="172" t="s">
        <v>394</v>
      </c>
      <c r="C13" s="207">
        <v>27482</v>
      </c>
      <c r="D13" s="207">
        <v>24698</v>
      </c>
      <c r="E13" s="207">
        <v>5872</v>
      </c>
      <c r="F13" s="207">
        <v>6511</v>
      </c>
      <c r="G13" s="207">
        <v>6485</v>
      </c>
      <c r="H13" s="207">
        <v>7536</v>
      </c>
      <c r="I13" s="207">
        <v>7138</v>
      </c>
      <c r="J13" s="207">
        <v>6972</v>
      </c>
      <c r="K13" s="207">
        <v>9154</v>
      </c>
      <c r="L13" s="207">
        <v>8685</v>
      </c>
      <c r="M13" s="207">
        <v>7003</v>
      </c>
      <c r="N13" s="207">
        <v>7692</v>
      </c>
      <c r="O13" s="207">
        <f>22905-M13-N13</f>
        <v>8210</v>
      </c>
      <c r="P13" s="207">
        <v>10163.71689</v>
      </c>
    </row>
    <row r="14" spans="1:16" ht="15.5">
      <c r="A14" s="106"/>
      <c r="B14" s="172" t="s">
        <v>395</v>
      </c>
      <c r="C14" s="207">
        <v>120243</v>
      </c>
      <c r="D14" s="207">
        <v>122503</v>
      </c>
      <c r="E14" s="207">
        <v>28847</v>
      </c>
      <c r="F14" s="207">
        <v>27761</v>
      </c>
      <c r="G14" s="207">
        <v>28251</v>
      </c>
      <c r="H14" s="207">
        <v>28505</v>
      </c>
      <c r="I14" s="207">
        <v>27818</v>
      </c>
      <c r="J14" s="207">
        <v>28258</v>
      </c>
      <c r="K14" s="207">
        <v>28668</v>
      </c>
      <c r="L14" s="207">
        <v>28882</v>
      </c>
      <c r="M14" s="207">
        <v>28223</v>
      </c>
      <c r="N14" s="207">
        <v>25540</v>
      </c>
      <c r="O14" s="207">
        <f>87232-M14-N14</f>
        <v>33469</v>
      </c>
      <c r="P14" s="207">
        <v>31730.264073000002</v>
      </c>
    </row>
    <row r="15" spans="1:16" ht="15.5">
      <c r="A15" s="106"/>
      <c r="B15" s="172" t="s">
        <v>40</v>
      </c>
      <c r="C15" s="207">
        <v>13</v>
      </c>
      <c r="D15" s="207">
        <v>102</v>
      </c>
      <c r="E15" s="207">
        <v>49</v>
      </c>
      <c r="F15" s="207">
        <v>96</v>
      </c>
      <c r="G15" s="207">
        <v>73</v>
      </c>
      <c r="H15" s="207">
        <v>87</v>
      </c>
      <c r="I15" s="207">
        <v>112</v>
      </c>
      <c r="J15" s="207">
        <v>82</v>
      </c>
      <c r="K15" s="207">
        <v>185</v>
      </c>
      <c r="L15" s="207">
        <v>1599</v>
      </c>
      <c r="M15" s="207">
        <v>176</v>
      </c>
      <c r="N15" s="207">
        <v>-108</v>
      </c>
      <c r="O15" s="207">
        <f>92-M15-N15</f>
        <v>24</v>
      </c>
      <c r="P15" s="207">
        <v>77.274477999999988</v>
      </c>
    </row>
    <row r="16" spans="1:16" ht="15.5">
      <c r="A16" s="106"/>
      <c r="B16" s="172" t="s">
        <v>41</v>
      </c>
      <c r="C16" s="207">
        <v>26992</v>
      </c>
      <c r="D16" s="207">
        <v>24167</v>
      </c>
      <c r="E16" s="207">
        <v>5869</v>
      </c>
      <c r="F16" s="207">
        <v>6317</v>
      </c>
      <c r="G16" s="207">
        <v>6450</v>
      </c>
      <c r="H16" s="207">
        <v>6694</v>
      </c>
      <c r="I16" s="207">
        <v>6710</v>
      </c>
      <c r="J16" s="207">
        <v>6709</v>
      </c>
      <c r="K16" s="207">
        <v>8865</v>
      </c>
      <c r="L16" s="207">
        <v>8629</v>
      </c>
      <c r="M16" s="207">
        <v>6713</v>
      </c>
      <c r="N16" s="207">
        <v>6908</v>
      </c>
      <c r="O16" s="207">
        <f>24287-M16-N16</f>
        <v>10666</v>
      </c>
      <c r="P16" s="207">
        <v>9410.8489720000016</v>
      </c>
    </row>
    <row r="17" spans="1:16" ht="15.5">
      <c r="A17" s="106"/>
      <c r="B17" s="232" t="s">
        <v>42</v>
      </c>
      <c r="C17" s="244">
        <v>120746</v>
      </c>
      <c r="D17" s="244">
        <v>123136</v>
      </c>
      <c r="E17" s="244">
        <v>28899</v>
      </c>
      <c r="F17" s="244">
        <v>28051</v>
      </c>
      <c r="G17" s="244">
        <v>28359</v>
      </c>
      <c r="H17" s="244">
        <v>29434</v>
      </c>
      <c r="I17" s="244">
        <v>28358</v>
      </c>
      <c r="J17" s="244">
        <v>28603</v>
      </c>
      <c r="K17" s="244">
        <v>29142</v>
      </c>
      <c r="L17" s="244">
        <v>30537</v>
      </c>
      <c r="M17" s="244">
        <v>28689</v>
      </c>
      <c r="N17" s="244">
        <v>26216</v>
      </c>
      <c r="O17" s="244">
        <f>+SUM(O13:O15)-O16</f>
        <v>31037</v>
      </c>
      <c r="P17" s="244">
        <v>32560.406469000001</v>
      </c>
    </row>
    <row r="18" spans="1:16" ht="15.5">
      <c r="B18" s="174" t="s">
        <v>43</v>
      </c>
      <c r="C18" s="208">
        <v>123748</v>
      </c>
      <c r="D18" s="208">
        <v>124451</v>
      </c>
      <c r="E18" s="208">
        <v>29258</v>
      </c>
      <c r="F18" s="208">
        <v>28518</v>
      </c>
      <c r="G18" s="208">
        <v>28977</v>
      </c>
      <c r="H18" s="208">
        <v>30149</v>
      </c>
      <c r="I18" s="208">
        <v>28727</v>
      </c>
      <c r="J18" s="208">
        <v>29392</v>
      </c>
      <c r="K18" s="208">
        <v>30656</v>
      </c>
      <c r="L18" s="208">
        <v>32065</v>
      </c>
      <c r="M18" s="208">
        <v>29835</v>
      </c>
      <c r="N18" s="208">
        <v>27330</v>
      </c>
      <c r="O18" s="208">
        <f>+O11+O17</f>
        <v>32137</v>
      </c>
      <c r="P18" s="208">
        <v>35310.422027000001</v>
      </c>
    </row>
    <row r="19" spans="1:16" ht="15.5">
      <c r="B19" s="171"/>
      <c r="C19" s="9"/>
      <c r="D19" s="9"/>
      <c r="E19" s="9"/>
      <c r="F19" s="9"/>
      <c r="G19" s="9"/>
      <c r="H19" s="9"/>
      <c r="I19" s="9"/>
      <c r="J19" s="9"/>
      <c r="K19" s="9"/>
      <c r="L19" s="9"/>
      <c r="M19" s="9"/>
      <c r="N19" s="9"/>
      <c r="O19" s="9"/>
      <c r="P19" s="9"/>
    </row>
    <row r="20" spans="1:16" ht="15.5">
      <c r="B20" s="172" t="s">
        <v>44</v>
      </c>
      <c r="C20" s="207">
        <v>143</v>
      </c>
      <c r="D20" s="207">
        <v>371</v>
      </c>
      <c r="E20" s="207">
        <v>101</v>
      </c>
      <c r="F20" s="207">
        <v>102</v>
      </c>
      <c r="G20" s="207">
        <v>106</v>
      </c>
      <c r="H20" s="207">
        <v>109</v>
      </c>
      <c r="I20" s="207">
        <v>151</v>
      </c>
      <c r="J20" s="207">
        <v>186</v>
      </c>
      <c r="K20" s="207">
        <v>204</v>
      </c>
      <c r="L20" s="207">
        <v>207</v>
      </c>
      <c r="M20" s="207">
        <v>791</v>
      </c>
      <c r="N20" s="207">
        <v>1747</v>
      </c>
      <c r="O20" s="207">
        <f>567-M20-N20</f>
        <v>-1971</v>
      </c>
      <c r="P20" s="207">
        <v>200.22452900000002</v>
      </c>
    </row>
    <row r="21" spans="1:16" ht="15.5">
      <c r="B21" s="172" t="s">
        <v>45</v>
      </c>
      <c r="C21" s="207">
        <v>0</v>
      </c>
      <c r="D21" s="207">
        <v>0</v>
      </c>
      <c r="E21" s="207">
        <v>0</v>
      </c>
      <c r="F21" s="207">
        <v>0</v>
      </c>
      <c r="G21" s="207">
        <v>0</v>
      </c>
      <c r="H21" s="207">
        <v>0</v>
      </c>
      <c r="I21" s="207">
        <v>0</v>
      </c>
      <c r="J21" s="207">
        <v>0</v>
      </c>
      <c r="K21" s="207">
        <v>0</v>
      </c>
      <c r="L21" s="207">
        <v>0</v>
      </c>
      <c r="M21" s="207">
        <v>0</v>
      </c>
      <c r="N21" s="207">
        <v>0</v>
      </c>
      <c r="O21" s="207">
        <v>0</v>
      </c>
      <c r="P21" s="207"/>
    </row>
    <row r="22" spans="1:16" ht="15.5">
      <c r="B22" s="172" t="s">
        <v>46</v>
      </c>
      <c r="C22" s="207">
        <v>32</v>
      </c>
      <c r="D22" s="207">
        <v>93</v>
      </c>
      <c r="E22" s="207">
        <v>61</v>
      </c>
      <c r="F22" s="207">
        <v>51</v>
      </c>
      <c r="G22" s="207">
        <v>87</v>
      </c>
      <c r="H22" s="207">
        <v>80</v>
      </c>
      <c r="I22" s="207">
        <v>1405</v>
      </c>
      <c r="J22" s="207">
        <v>254</v>
      </c>
      <c r="K22" s="207">
        <v>501</v>
      </c>
      <c r="L22" s="207">
        <v>-544</v>
      </c>
      <c r="M22" s="207">
        <v>242</v>
      </c>
      <c r="N22" s="207">
        <v>-522</v>
      </c>
      <c r="O22" s="207">
        <f>1394-M22-N22</f>
        <v>1674</v>
      </c>
      <c r="P22" s="207">
        <v>-1091.6060549999997</v>
      </c>
    </row>
    <row r="23" spans="1:16" ht="15.5">
      <c r="B23" s="174" t="s">
        <v>47</v>
      </c>
      <c r="C23" s="209">
        <v>123637</v>
      </c>
      <c r="D23" s="209">
        <v>124173</v>
      </c>
      <c r="E23" s="209">
        <v>29218</v>
      </c>
      <c r="F23" s="209">
        <v>28467</v>
      </c>
      <c r="G23" s="209">
        <v>28958</v>
      </c>
      <c r="H23" s="209">
        <v>30120</v>
      </c>
      <c r="I23" s="209">
        <v>29981</v>
      </c>
      <c r="J23" s="209">
        <v>29460</v>
      </c>
      <c r="K23" s="209">
        <v>30953</v>
      </c>
      <c r="L23" s="209">
        <v>31314</v>
      </c>
      <c r="M23" s="209">
        <v>29286</v>
      </c>
      <c r="N23" s="209">
        <v>25061</v>
      </c>
      <c r="O23" s="209">
        <f>+O18-O20+O21+O22</f>
        <v>35782</v>
      </c>
      <c r="P23" s="209">
        <v>34018.591443000005</v>
      </c>
    </row>
    <row r="24" spans="1:16" ht="15.5">
      <c r="B24" s="172"/>
      <c r="C24" s="207"/>
      <c r="D24" s="207"/>
      <c r="E24" s="207"/>
      <c r="F24" s="207"/>
      <c r="G24" s="207"/>
      <c r="H24" s="207"/>
      <c r="I24" s="207"/>
      <c r="J24" s="207"/>
      <c r="K24" s="207"/>
      <c r="L24" s="207"/>
      <c r="M24" s="207"/>
      <c r="N24" s="207"/>
      <c r="O24" s="207"/>
      <c r="P24" s="207"/>
    </row>
    <row r="25" spans="1:16" ht="15.5">
      <c r="B25" s="172" t="s">
        <v>48</v>
      </c>
      <c r="C25" s="207">
        <v>-72222</v>
      </c>
      <c r="D25" s="207">
        <v>-66853</v>
      </c>
      <c r="E25" s="207">
        <v>-17675</v>
      </c>
      <c r="F25" s="207">
        <v>-16833</v>
      </c>
      <c r="G25" s="207">
        <v>-20151</v>
      </c>
      <c r="H25" s="207">
        <v>-14305</v>
      </c>
      <c r="I25" s="207">
        <v>-15276</v>
      </c>
      <c r="J25" s="207">
        <v>-20273</v>
      </c>
      <c r="K25" s="207">
        <v>-13119</v>
      </c>
      <c r="L25" s="207">
        <v>-17430</v>
      </c>
      <c r="M25" s="207">
        <v>-17234</v>
      </c>
      <c r="N25" s="207">
        <v>-15702</v>
      </c>
      <c r="O25" s="207">
        <f>-48586-M25-N25+1</f>
        <v>-15649</v>
      </c>
      <c r="P25" s="207">
        <v>-28470.678848999996</v>
      </c>
    </row>
    <row r="26" spans="1:16" ht="15.5">
      <c r="B26" s="174" t="s">
        <v>49</v>
      </c>
      <c r="C26" s="209">
        <v>51415</v>
      </c>
      <c r="D26" s="209">
        <v>57320</v>
      </c>
      <c r="E26" s="209">
        <v>11543</v>
      </c>
      <c r="F26" s="209">
        <v>11634</v>
      </c>
      <c r="G26" s="209">
        <v>8807</v>
      </c>
      <c r="H26" s="209">
        <v>15815</v>
      </c>
      <c r="I26" s="209">
        <v>14705</v>
      </c>
      <c r="J26" s="209">
        <v>9187</v>
      </c>
      <c r="K26" s="209">
        <v>17834</v>
      </c>
      <c r="L26" s="209">
        <v>13884</v>
      </c>
      <c r="M26" s="209">
        <v>12052</v>
      </c>
      <c r="N26" s="209">
        <v>9359</v>
      </c>
      <c r="O26" s="209">
        <f>+O23+O25</f>
        <v>20133</v>
      </c>
      <c r="P26" s="209">
        <v>5547.9125940000085</v>
      </c>
    </row>
    <row r="27" spans="1:16" ht="15.5">
      <c r="B27" s="171"/>
      <c r="C27" s="9"/>
      <c r="D27" s="9"/>
      <c r="E27" s="9"/>
      <c r="F27" s="9"/>
      <c r="G27" s="9"/>
      <c r="H27" s="9"/>
      <c r="I27" s="9"/>
      <c r="J27" s="9"/>
      <c r="K27" s="9"/>
      <c r="L27" s="9"/>
      <c r="M27" s="9"/>
      <c r="N27" s="9"/>
      <c r="O27" s="9"/>
      <c r="P27" s="9"/>
    </row>
    <row r="28" spans="1:16" ht="15.5">
      <c r="B28" s="172" t="s">
        <v>50</v>
      </c>
      <c r="C28" s="207">
        <v>9109</v>
      </c>
      <c r="D28" s="207">
        <v>12227</v>
      </c>
      <c r="E28" s="207">
        <v>1978</v>
      </c>
      <c r="F28" s="207">
        <v>1777</v>
      </c>
      <c r="G28" s="207">
        <v>1329</v>
      </c>
      <c r="H28" s="207">
        <v>-254</v>
      </c>
      <c r="I28" s="207">
        <v>3898</v>
      </c>
      <c r="J28" s="207">
        <v>118</v>
      </c>
      <c r="K28" s="207">
        <v>3933</v>
      </c>
      <c r="L28" s="207">
        <v>2148</v>
      </c>
      <c r="M28" s="207">
        <v>1278</v>
      </c>
      <c r="N28" s="207">
        <v>1944</v>
      </c>
      <c r="O28" s="207">
        <f>8432-M28-N28</f>
        <v>5210</v>
      </c>
      <c r="P28" s="207">
        <v>-351.81883400000004</v>
      </c>
    </row>
    <row r="29" spans="1:16" ht="15.5">
      <c r="B29" s="174" t="s">
        <v>53</v>
      </c>
      <c r="C29" s="209">
        <v>42306</v>
      </c>
      <c r="D29" s="209">
        <v>45093</v>
      </c>
      <c r="E29" s="209">
        <v>9565</v>
      </c>
      <c r="F29" s="209">
        <v>9857</v>
      </c>
      <c r="G29" s="209">
        <v>7478</v>
      </c>
      <c r="H29" s="209">
        <v>16069</v>
      </c>
      <c r="I29" s="209">
        <v>10807</v>
      </c>
      <c r="J29" s="209">
        <v>9069</v>
      </c>
      <c r="K29" s="209">
        <v>13901</v>
      </c>
      <c r="L29" s="209">
        <v>11736</v>
      </c>
      <c r="M29" s="209">
        <v>10774</v>
      </c>
      <c r="N29" s="209">
        <v>7415</v>
      </c>
      <c r="O29" s="209">
        <f>+O26-O28</f>
        <v>14923</v>
      </c>
      <c r="P29" s="209">
        <v>5899.7314280000082</v>
      </c>
    </row>
    <row r="30" spans="1:16" ht="15.5">
      <c r="B30" s="233"/>
      <c r="C30" s="233"/>
      <c r="D30" s="233"/>
      <c r="E30" s="233"/>
      <c r="F30" s="233"/>
      <c r="G30" s="233"/>
      <c r="H30" s="233"/>
      <c r="I30" s="233"/>
      <c r="J30" s="233"/>
      <c r="K30" s="233"/>
      <c r="L30" s="233"/>
      <c r="M30" s="233"/>
      <c r="N30" s="233"/>
      <c r="O30" s="233"/>
      <c r="P30" s="106"/>
    </row>
    <row r="31" spans="1:16" ht="15.5">
      <c r="B31" s="125" t="s">
        <v>396</v>
      </c>
      <c r="C31" s="233"/>
      <c r="D31" s="233"/>
      <c r="E31" s="233"/>
      <c r="F31" s="233"/>
      <c r="G31" s="233"/>
      <c r="H31" s="177"/>
      <c r="I31" s="177"/>
      <c r="J31" s="177"/>
      <c r="K31" s="177"/>
      <c r="L31" s="177"/>
      <c r="M31" s="177"/>
      <c r="N31" s="177"/>
      <c r="O31" s="177"/>
      <c r="P31" s="106"/>
    </row>
    <row r="32" spans="1:16" ht="15.5">
      <c r="B32" s="258" t="s">
        <v>393</v>
      </c>
      <c r="C32" s="233"/>
      <c r="D32" s="233"/>
      <c r="E32" s="233"/>
      <c r="F32" s="233"/>
      <c r="G32" s="233"/>
      <c r="H32" s="178"/>
      <c r="I32" s="178"/>
      <c r="J32" s="178"/>
      <c r="K32" s="178"/>
      <c r="L32" s="178"/>
      <c r="M32" s="178"/>
      <c r="N32" s="178"/>
      <c r="O32" s="178"/>
      <c r="P32" s="106"/>
    </row>
    <row r="33" spans="2:16" ht="15.5">
      <c r="B33" s="179"/>
      <c r="C33" s="233"/>
      <c r="D33" s="233"/>
      <c r="E33" s="233"/>
      <c r="F33" s="233"/>
      <c r="G33" s="233"/>
      <c r="H33" s="179"/>
      <c r="I33" s="179"/>
      <c r="J33" s="179"/>
      <c r="K33" s="179"/>
      <c r="L33" s="179"/>
      <c r="M33" s="179"/>
      <c r="N33" s="179"/>
      <c r="O33" s="179"/>
      <c r="P33" s="106"/>
    </row>
    <row r="34" spans="2:16" s="106" customFormat="1" ht="15.5" thickBot="1">
      <c r="B34" s="241"/>
      <c r="C34" s="242">
        <v>2016</v>
      </c>
      <c r="D34" s="242">
        <v>2017</v>
      </c>
      <c r="E34" s="242" t="s">
        <v>20</v>
      </c>
      <c r="F34" s="242" t="s">
        <v>21</v>
      </c>
      <c r="G34" s="242" t="s">
        <v>22</v>
      </c>
      <c r="H34" s="242" t="s">
        <v>23</v>
      </c>
      <c r="I34" s="242" t="s">
        <v>24</v>
      </c>
      <c r="J34" s="242" t="s">
        <v>25</v>
      </c>
      <c r="K34" s="242" t="s">
        <v>26</v>
      </c>
      <c r="L34" s="242" t="s">
        <v>27</v>
      </c>
      <c r="M34" s="242" t="s">
        <v>28</v>
      </c>
      <c r="N34" s="242" t="s">
        <v>29</v>
      </c>
      <c r="O34" s="242" t="s">
        <v>30</v>
      </c>
      <c r="P34" s="635" t="s">
        <v>954</v>
      </c>
    </row>
    <row r="35" spans="2:16" s="106" customFormat="1" ht="15">
      <c r="B35" s="272" t="s">
        <v>56</v>
      </c>
      <c r="C35" s="273"/>
      <c r="D35" s="273"/>
      <c r="E35" s="273"/>
      <c r="F35" s="273"/>
      <c r="G35" s="273"/>
      <c r="H35" s="273"/>
      <c r="I35" s="273"/>
      <c r="J35" s="273"/>
      <c r="K35" s="273"/>
      <c r="L35" s="273"/>
      <c r="M35" s="273"/>
      <c r="N35" s="273"/>
      <c r="O35" s="273"/>
      <c r="P35" s="273"/>
    </row>
    <row r="36" spans="2:16" ht="15.5" thickBot="1">
      <c r="B36" s="216" t="s">
        <v>57</v>
      </c>
      <c r="C36" s="217"/>
      <c r="D36" s="217"/>
      <c r="E36" s="217"/>
      <c r="F36" s="217"/>
      <c r="G36" s="217"/>
      <c r="H36" s="217"/>
      <c r="I36" s="217"/>
      <c r="J36" s="217"/>
      <c r="K36" s="217"/>
      <c r="L36" s="217"/>
      <c r="M36" s="217"/>
      <c r="N36" s="217"/>
      <c r="O36" s="217"/>
      <c r="P36" s="217"/>
    </row>
    <row r="37" spans="2:16" s="101" customFormat="1" ht="16" thickBot="1">
      <c r="B37" s="287" t="s">
        <v>58</v>
      </c>
      <c r="C37" s="288">
        <v>23780</v>
      </c>
      <c r="D37" s="288">
        <v>58396</v>
      </c>
      <c r="E37" s="288">
        <v>71772</v>
      </c>
      <c r="F37" s="288">
        <v>69675</v>
      </c>
      <c r="G37" s="288">
        <v>84519</v>
      </c>
      <c r="H37" s="288">
        <v>14993</v>
      </c>
      <c r="I37" s="288">
        <v>88153</v>
      </c>
      <c r="J37" s="288">
        <v>32519</v>
      </c>
      <c r="K37" s="288">
        <v>28794</v>
      </c>
      <c r="L37" s="288">
        <v>107023</v>
      </c>
      <c r="M37" s="288">
        <v>63442</v>
      </c>
      <c r="N37" s="288">
        <v>73305</v>
      </c>
      <c r="O37" s="288">
        <v>66213</v>
      </c>
      <c r="P37" s="288">
        <v>78660.329572999995</v>
      </c>
    </row>
    <row r="38" spans="2:16" s="101" customFormat="1" ht="16" thickBot="1">
      <c r="B38" s="287" t="s">
        <v>59</v>
      </c>
      <c r="C38" s="288">
        <f>128874+21470</f>
        <v>150344</v>
      </c>
      <c r="D38" s="288">
        <v>129338</v>
      </c>
      <c r="E38" s="288">
        <v>150077</v>
      </c>
      <c r="F38" s="288">
        <v>152551</v>
      </c>
      <c r="G38" s="288">
        <v>150703</v>
      </c>
      <c r="H38" s="288">
        <v>207466</v>
      </c>
      <c r="I38" s="288">
        <v>161282</v>
      </c>
      <c r="J38" s="288">
        <v>358114</v>
      </c>
      <c r="K38" s="288">
        <v>377042</v>
      </c>
      <c r="L38" s="288">
        <v>276863</v>
      </c>
      <c r="M38" s="288">
        <v>296045</v>
      </c>
      <c r="N38" s="288">
        <v>260736</v>
      </c>
      <c r="O38" s="288">
        <v>252595</v>
      </c>
      <c r="P38" s="288">
        <v>219704.89140399999</v>
      </c>
    </row>
    <row r="39" spans="2:16" s="101" customFormat="1" ht="16" thickBot="1">
      <c r="B39" s="287" t="s">
        <v>60</v>
      </c>
      <c r="C39" s="288">
        <v>59</v>
      </c>
      <c r="D39" s="288">
        <v>39</v>
      </c>
      <c r="E39" s="288">
        <v>39</v>
      </c>
      <c r="F39" s="288">
        <v>39</v>
      </c>
      <c r="G39" s="288">
        <v>39</v>
      </c>
      <c r="H39" s="288">
        <v>3163</v>
      </c>
      <c r="I39" s="288">
        <v>3178</v>
      </c>
      <c r="J39" s="288">
        <v>3178</v>
      </c>
      <c r="K39" s="288">
        <v>3178</v>
      </c>
      <c r="L39" s="288">
        <v>5275</v>
      </c>
      <c r="M39" s="288">
        <v>3178</v>
      </c>
      <c r="N39" s="288">
        <v>3178</v>
      </c>
      <c r="O39" s="288">
        <v>3178</v>
      </c>
      <c r="P39" s="288">
        <v>2628.049649</v>
      </c>
    </row>
    <row r="40" spans="2:16" s="101" customFormat="1" ht="16" thickBot="1">
      <c r="B40" s="287" t="s">
        <v>62</v>
      </c>
      <c r="C40" s="288">
        <v>544</v>
      </c>
      <c r="D40" s="288">
        <v>654</v>
      </c>
      <c r="E40" s="288">
        <v>326</v>
      </c>
      <c r="F40" s="288">
        <v>1403</v>
      </c>
      <c r="G40" s="288">
        <v>1319</v>
      </c>
      <c r="H40" s="288">
        <v>1060</v>
      </c>
      <c r="I40" s="288">
        <v>910</v>
      </c>
      <c r="J40" s="288">
        <v>898</v>
      </c>
      <c r="K40" s="288">
        <v>619</v>
      </c>
      <c r="L40" s="288">
        <v>1266</v>
      </c>
      <c r="M40" s="288">
        <v>1270</v>
      </c>
      <c r="N40" s="288">
        <v>1244</v>
      </c>
      <c r="O40" s="288">
        <v>880</v>
      </c>
      <c r="P40" s="288">
        <v>1910.5675819999999</v>
      </c>
    </row>
    <row r="41" spans="2:16" s="101" customFormat="1" ht="16" thickBot="1">
      <c r="B41" s="287" t="s">
        <v>319</v>
      </c>
      <c r="C41" s="288">
        <v>0</v>
      </c>
      <c r="D41" s="288">
        <v>468</v>
      </c>
      <c r="E41" s="288">
        <v>455</v>
      </c>
      <c r="F41" s="288">
        <v>487</v>
      </c>
      <c r="G41" s="288">
        <v>504</v>
      </c>
      <c r="H41" s="288">
        <v>557</v>
      </c>
      <c r="I41" s="288">
        <v>594</v>
      </c>
      <c r="J41" s="288">
        <v>775</v>
      </c>
      <c r="K41" s="288">
        <v>630</v>
      </c>
      <c r="L41" s="288">
        <v>574</v>
      </c>
      <c r="M41" s="288">
        <v>609</v>
      </c>
      <c r="N41" s="288">
        <v>522</v>
      </c>
      <c r="O41" s="288">
        <v>502</v>
      </c>
      <c r="P41" s="288">
        <v>438.84922799999998</v>
      </c>
    </row>
    <row r="42" spans="2:16" s="101" customFormat="1" ht="15.5">
      <c r="B42" s="289" t="s">
        <v>63</v>
      </c>
      <c r="C42" s="290">
        <v>0</v>
      </c>
      <c r="D42" s="290">
        <v>0</v>
      </c>
      <c r="E42" s="290">
        <v>0</v>
      </c>
      <c r="F42" s="290">
        <v>0</v>
      </c>
      <c r="G42" s="290">
        <v>0</v>
      </c>
      <c r="H42" s="290">
        <v>0</v>
      </c>
      <c r="I42" s="290">
        <v>0</v>
      </c>
      <c r="J42" s="290">
        <v>0</v>
      </c>
      <c r="K42" s="290">
        <v>0</v>
      </c>
      <c r="L42" s="290">
        <v>0</v>
      </c>
      <c r="M42" s="290">
        <v>0</v>
      </c>
      <c r="N42" s="290">
        <v>0</v>
      </c>
      <c r="O42" s="290">
        <v>0</v>
      </c>
      <c r="P42" s="290"/>
    </row>
    <row r="43" spans="2:16" ht="15">
      <c r="B43" s="291" t="s">
        <v>64</v>
      </c>
      <c r="C43" s="278">
        <f t="shared" ref="C43:N43" si="0">SUM(C37:C42)</f>
        <v>174727</v>
      </c>
      <c r="D43" s="278">
        <f t="shared" si="0"/>
        <v>188895</v>
      </c>
      <c r="E43" s="278">
        <f t="shared" si="0"/>
        <v>222669</v>
      </c>
      <c r="F43" s="278">
        <f t="shared" si="0"/>
        <v>224155</v>
      </c>
      <c r="G43" s="278">
        <f t="shared" si="0"/>
        <v>237084</v>
      </c>
      <c r="H43" s="278">
        <f t="shared" si="0"/>
        <v>227239</v>
      </c>
      <c r="I43" s="278">
        <f t="shared" si="0"/>
        <v>254117</v>
      </c>
      <c r="J43" s="278">
        <f t="shared" si="0"/>
        <v>395484</v>
      </c>
      <c r="K43" s="278">
        <f t="shared" si="0"/>
        <v>410263</v>
      </c>
      <c r="L43" s="278">
        <f t="shared" si="0"/>
        <v>391001</v>
      </c>
      <c r="M43" s="278">
        <f t="shared" si="0"/>
        <v>364544</v>
      </c>
      <c r="N43" s="278">
        <f t="shared" si="0"/>
        <v>338985</v>
      </c>
      <c r="O43" s="278">
        <v>323368</v>
      </c>
      <c r="P43" s="278">
        <f>SUM(P37:P42)</f>
        <v>303342.68743599992</v>
      </c>
    </row>
    <row r="44" spans="2:16" ht="15">
      <c r="B44" s="292" t="s">
        <v>65</v>
      </c>
      <c r="C44" s="293"/>
      <c r="D44" s="293"/>
      <c r="E44" s="293"/>
      <c r="F44" s="293"/>
      <c r="G44" s="293"/>
      <c r="H44" s="293"/>
      <c r="I44" s="293"/>
      <c r="J44" s="293"/>
      <c r="K44" s="293"/>
      <c r="L44" s="293"/>
      <c r="M44" s="293"/>
      <c r="N44" s="293"/>
      <c r="O44" s="293"/>
      <c r="P44" s="275"/>
    </row>
    <row r="45" spans="2:16" s="101" customFormat="1" ht="15.5">
      <c r="B45" s="294" t="s">
        <v>66</v>
      </c>
      <c r="C45" s="277">
        <v>0</v>
      </c>
      <c r="D45" s="277">
        <v>0</v>
      </c>
      <c r="E45" s="277">
        <v>0</v>
      </c>
      <c r="F45" s="277">
        <v>0</v>
      </c>
      <c r="G45" s="277">
        <v>0</v>
      </c>
      <c r="H45" s="277">
        <v>0</v>
      </c>
      <c r="I45" s="277">
        <v>0</v>
      </c>
      <c r="J45" s="277">
        <v>0</v>
      </c>
      <c r="K45" s="277">
        <v>0</v>
      </c>
      <c r="L45" s="277">
        <v>0</v>
      </c>
      <c r="M45" s="277">
        <v>0</v>
      </c>
      <c r="N45" s="277">
        <v>0</v>
      </c>
      <c r="O45" s="277">
        <v>0</v>
      </c>
      <c r="P45" s="277">
        <v>0</v>
      </c>
    </row>
    <row r="46" spans="2:16" s="101" customFormat="1" ht="15.5">
      <c r="B46" s="294" t="s">
        <v>67</v>
      </c>
      <c r="C46" s="277">
        <v>0</v>
      </c>
      <c r="D46" s="277">
        <v>0</v>
      </c>
      <c r="E46" s="277">
        <v>0</v>
      </c>
      <c r="F46" s="277">
        <v>0</v>
      </c>
      <c r="G46" s="277">
        <v>0</v>
      </c>
      <c r="H46" s="277">
        <v>0</v>
      </c>
      <c r="I46" s="277">
        <v>0</v>
      </c>
      <c r="J46" s="277">
        <v>0</v>
      </c>
      <c r="K46" s="277">
        <v>0</v>
      </c>
      <c r="L46" s="277">
        <v>0</v>
      </c>
      <c r="M46" s="277">
        <v>0</v>
      </c>
      <c r="N46" s="277">
        <v>0</v>
      </c>
      <c r="O46" s="277">
        <v>0</v>
      </c>
      <c r="P46" s="277">
        <v>0</v>
      </c>
    </row>
    <row r="47" spans="2:16" s="101" customFormat="1" ht="30">
      <c r="B47" s="294" t="s">
        <v>114</v>
      </c>
      <c r="C47" s="277">
        <v>0</v>
      </c>
      <c r="D47" s="277">
        <v>0</v>
      </c>
      <c r="E47" s="277">
        <v>0</v>
      </c>
      <c r="F47" s="277">
        <v>0</v>
      </c>
      <c r="G47" s="277">
        <v>0</v>
      </c>
      <c r="H47" s="277">
        <v>0</v>
      </c>
      <c r="I47" s="277">
        <v>0</v>
      </c>
      <c r="J47" s="277">
        <v>0</v>
      </c>
      <c r="K47" s="277">
        <v>0</v>
      </c>
      <c r="L47" s="277">
        <v>0</v>
      </c>
      <c r="M47" s="277">
        <v>0</v>
      </c>
      <c r="N47" s="277">
        <v>0</v>
      </c>
      <c r="O47" s="277">
        <v>0</v>
      </c>
      <c r="P47" s="277">
        <v>0</v>
      </c>
    </row>
    <row r="48" spans="2:16" s="101" customFormat="1" ht="15.5">
      <c r="B48" s="294" t="s">
        <v>115</v>
      </c>
      <c r="C48" s="277">
        <v>0</v>
      </c>
      <c r="D48" s="277">
        <v>0</v>
      </c>
      <c r="E48" s="277">
        <v>0</v>
      </c>
      <c r="F48" s="277">
        <v>0</v>
      </c>
      <c r="G48" s="277">
        <v>0</v>
      </c>
      <c r="H48" s="277">
        <v>0</v>
      </c>
      <c r="I48" s="277">
        <v>0</v>
      </c>
      <c r="J48" s="277">
        <v>0</v>
      </c>
      <c r="K48" s="277">
        <v>0</v>
      </c>
      <c r="L48" s="277">
        <v>0</v>
      </c>
      <c r="M48" s="277">
        <v>0</v>
      </c>
      <c r="N48" s="277">
        <v>0</v>
      </c>
      <c r="O48" s="277">
        <v>0</v>
      </c>
      <c r="P48" s="277">
        <v>0</v>
      </c>
    </row>
    <row r="49" spans="2:16" s="101" customFormat="1" ht="15.5">
      <c r="B49" s="294" t="s">
        <v>59</v>
      </c>
      <c r="C49" s="277">
        <v>949045</v>
      </c>
      <c r="D49" s="277">
        <v>975679</v>
      </c>
      <c r="E49" s="277">
        <v>947480</v>
      </c>
      <c r="F49" s="277">
        <v>949610</v>
      </c>
      <c r="G49" s="277">
        <v>959295</v>
      </c>
      <c r="H49" s="277">
        <v>972773</v>
      </c>
      <c r="I49" s="277">
        <v>968001</v>
      </c>
      <c r="J49" s="277">
        <v>973867</v>
      </c>
      <c r="K49" s="277">
        <v>988013</v>
      </c>
      <c r="L49" s="277">
        <v>1005560</v>
      </c>
      <c r="M49" s="277">
        <v>1003605</v>
      </c>
      <c r="N49" s="277">
        <v>1035417</v>
      </c>
      <c r="O49" s="277">
        <v>1082561</v>
      </c>
      <c r="P49" s="277">
        <v>1115065.613415</v>
      </c>
    </row>
    <row r="50" spans="2:16" s="101" customFormat="1" ht="15.5">
      <c r="B50" s="294" t="s">
        <v>70</v>
      </c>
      <c r="C50" s="277">
        <v>0</v>
      </c>
      <c r="D50" s="277">
        <v>0</v>
      </c>
      <c r="E50" s="277">
        <v>0</v>
      </c>
      <c r="F50" s="277">
        <v>0</v>
      </c>
      <c r="G50" s="277">
        <v>0</v>
      </c>
      <c r="H50" s="277">
        <v>0</v>
      </c>
      <c r="I50" s="277">
        <v>0</v>
      </c>
      <c r="J50" s="277">
        <v>0</v>
      </c>
      <c r="K50" s="277">
        <v>0</v>
      </c>
      <c r="L50" s="277">
        <v>0</v>
      </c>
      <c r="M50" s="277">
        <v>0</v>
      </c>
      <c r="N50" s="277">
        <v>0</v>
      </c>
      <c r="O50" s="277">
        <v>0</v>
      </c>
      <c r="P50" s="277">
        <v>0</v>
      </c>
    </row>
    <row r="51" spans="2:16" s="101" customFormat="1" ht="15.5">
      <c r="B51" s="294" t="s">
        <v>71</v>
      </c>
      <c r="C51" s="277">
        <v>385</v>
      </c>
      <c r="D51" s="277">
        <v>582</v>
      </c>
      <c r="E51" s="277">
        <v>569</v>
      </c>
      <c r="F51" s="277">
        <v>583</v>
      </c>
      <c r="G51" s="277">
        <v>593</v>
      </c>
      <c r="H51" s="277">
        <v>591</v>
      </c>
      <c r="I51" s="277">
        <v>1471</v>
      </c>
      <c r="J51" s="277">
        <v>554</v>
      </c>
      <c r="K51" s="277">
        <v>538</v>
      </c>
      <c r="L51" s="277">
        <v>227</v>
      </c>
      <c r="M51" s="277">
        <v>206</v>
      </c>
      <c r="N51" s="277">
        <v>181</v>
      </c>
      <c r="O51" s="277">
        <v>168</v>
      </c>
      <c r="P51" s="277">
        <v>151.289412</v>
      </c>
    </row>
    <row r="52" spans="2:16" s="101" customFormat="1" ht="15.5">
      <c r="B52" s="294" t="s">
        <v>72</v>
      </c>
      <c r="C52" s="277">
        <v>0</v>
      </c>
      <c r="D52" s="277">
        <v>0</v>
      </c>
      <c r="E52" s="277">
        <v>0</v>
      </c>
      <c r="F52" s="277">
        <v>0</v>
      </c>
      <c r="G52" s="277">
        <v>0</v>
      </c>
      <c r="H52" s="277">
        <v>0</v>
      </c>
      <c r="I52" s="277">
        <v>0</v>
      </c>
      <c r="J52" s="277">
        <v>0</v>
      </c>
      <c r="K52" s="277">
        <v>0</v>
      </c>
      <c r="L52" s="277">
        <v>0</v>
      </c>
      <c r="M52" s="277">
        <v>0</v>
      </c>
      <c r="N52" s="277">
        <v>0</v>
      </c>
      <c r="O52" s="277">
        <v>0</v>
      </c>
      <c r="P52" s="277">
        <v>0</v>
      </c>
    </row>
    <row r="53" spans="2:16" s="101" customFormat="1" ht="15.5">
      <c r="B53" s="294" t="s">
        <v>74</v>
      </c>
      <c r="C53" s="277">
        <v>881</v>
      </c>
      <c r="D53" s="277">
        <v>1064</v>
      </c>
      <c r="E53" s="277">
        <v>1008</v>
      </c>
      <c r="F53" s="277">
        <v>972</v>
      </c>
      <c r="G53" s="277">
        <v>915</v>
      </c>
      <c r="H53" s="277">
        <v>908</v>
      </c>
      <c r="I53" s="277">
        <v>870</v>
      </c>
      <c r="J53" s="277">
        <v>810</v>
      </c>
      <c r="K53" s="277">
        <v>749</v>
      </c>
      <c r="L53" s="277">
        <v>689</v>
      </c>
      <c r="M53" s="277">
        <v>629</v>
      </c>
      <c r="N53" s="277">
        <v>569</v>
      </c>
      <c r="O53" s="277">
        <v>509</v>
      </c>
      <c r="P53" s="277">
        <v>472.66735399999999</v>
      </c>
    </row>
    <row r="54" spans="2:16" s="101" customFormat="1" ht="15.5">
      <c r="B54" s="294" t="s">
        <v>62</v>
      </c>
      <c r="C54" s="277">
        <v>0</v>
      </c>
      <c r="D54" s="277">
        <v>0</v>
      </c>
      <c r="E54" s="277">
        <v>0</v>
      </c>
      <c r="F54" s="277">
        <v>0</v>
      </c>
      <c r="G54" s="277">
        <v>0</v>
      </c>
      <c r="H54" s="277">
        <v>0</v>
      </c>
      <c r="I54" s="277">
        <v>0</v>
      </c>
      <c r="J54" s="277">
        <v>0</v>
      </c>
      <c r="K54" s="277">
        <v>0</v>
      </c>
      <c r="L54" s="277">
        <v>0</v>
      </c>
      <c r="M54" s="277">
        <v>0</v>
      </c>
      <c r="N54" s="277">
        <v>0</v>
      </c>
      <c r="O54" s="277">
        <v>0</v>
      </c>
      <c r="P54" s="277">
        <v>0</v>
      </c>
    </row>
    <row r="55" spans="2:16" s="101" customFormat="1" ht="15.5">
      <c r="B55" s="294" t="s">
        <v>75</v>
      </c>
      <c r="C55" s="277">
        <v>0</v>
      </c>
      <c r="D55" s="277">
        <v>0</v>
      </c>
      <c r="E55" s="277">
        <v>0</v>
      </c>
      <c r="F55" s="277">
        <v>0</v>
      </c>
      <c r="G55" s="277">
        <v>0</v>
      </c>
      <c r="H55" s="277">
        <v>0</v>
      </c>
      <c r="I55" s="277">
        <v>0</v>
      </c>
      <c r="J55" s="277">
        <v>0</v>
      </c>
      <c r="K55" s="277">
        <v>0</v>
      </c>
      <c r="L55" s="277">
        <v>0</v>
      </c>
      <c r="M55" s="277">
        <v>0</v>
      </c>
      <c r="N55" s="277">
        <v>0</v>
      </c>
      <c r="O55" s="277">
        <v>91</v>
      </c>
      <c r="P55" s="277">
        <v>0</v>
      </c>
    </row>
    <row r="56" spans="2:16" s="101" customFormat="1" ht="15.5">
      <c r="B56" s="294" t="s">
        <v>76</v>
      </c>
      <c r="C56" s="277">
        <v>0</v>
      </c>
      <c r="D56" s="277">
        <v>0</v>
      </c>
      <c r="E56" s="277">
        <v>0</v>
      </c>
      <c r="F56" s="277">
        <v>0</v>
      </c>
      <c r="G56" s="277">
        <v>0</v>
      </c>
      <c r="H56" s="277">
        <v>0</v>
      </c>
      <c r="I56" s="277">
        <v>-17</v>
      </c>
      <c r="J56" s="277">
        <v>1292</v>
      </c>
      <c r="K56" s="277">
        <v>1193</v>
      </c>
      <c r="L56" s="277">
        <v>1292</v>
      </c>
      <c r="M56" s="277">
        <v>1182</v>
      </c>
      <c r="N56" s="277">
        <v>1170</v>
      </c>
      <c r="O56" s="277">
        <v>1081</v>
      </c>
      <c r="P56" s="277">
        <v>1004.190327</v>
      </c>
    </row>
    <row r="57" spans="2:16" s="101" customFormat="1" ht="15.5">
      <c r="B57" s="294" t="s">
        <v>63</v>
      </c>
      <c r="C57" s="277">
        <v>0</v>
      </c>
      <c r="D57" s="277">
        <v>0</v>
      </c>
      <c r="E57" s="277">
        <v>0</v>
      </c>
      <c r="F57" s="277">
        <v>0</v>
      </c>
      <c r="G57" s="277">
        <v>0</v>
      </c>
      <c r="H57" s="277">
        <v>0</v>
      </c>
      <c r="I57" s="277">
        <v>0</v>
      </c>
      <c r="J57" s="277">
        <v>0</v>
      </c>
      <c r="K57" s="277">
        <v>0</v>
      </c>
      <c r="L57" s="277">
        <v>0</v>
      </c>
      <c r="M57" s="277">
        <v>0</v>
      </c>
      <c r="N57" s="277">
        <v>0</v>
      </c>
      <c r="O57" s="277">
        <v>0</v>
      </c>
      <c r="P57" s="277"/>
    </row>
    <row r="58" spans="2:16" ht="15">
      <c r="B58" s="292" t="s">
        <v>78</v>
      </c>
      <c r="C58" s="279">
        <f t="shared" ref="C58:N58" si="1">SUM(C45:C57)</f>
        <v>950311</v>
      </c>
      <c r="D58" s="279">
        <f t="shared" si="1"/>
        <v>977325</v>
      </c>
      <c r="E58" s="279">
        <f t="shared" si="1"/>
        <v>949057</v>
      </c>
      <c r="F58" s="279">
        <f t="shared" si="1"/>
        <v>951165</v>
      </c>
      <c r="G58" s="279">
        <f t="shared" si="1"/>
        <v>960803</v>
      </c>
      <c r="H58" s="279">
        <f t="shared" si="1"/>
        <v>974272</v>
      </c>
      <c r="I58" s="279">
        <f t="shared" si="1"/>
        <v>970325</v>
      </c>
      <c r="J58" s="279">
        <f t="shared" si="1"/>
        <v>976523</v>
      </c>
      <c r="K58" s="279">
        <f t="shared" si="1"/>
        <v>990493</v>
      </c>
      <c r="L58" s="279">
        <f t="shared" si="1"/>
        <v>1007768</v>
      </c>
      <c r="M58" s="279">
        <f t="shared" si="1"/>
        <v>1005622</v>
      </c>
      <c r="N58" s="279">
        <f t="shared" si="1"/>
        <v>1037337</v>
      </c>
      <c r="O58" s="279">
        <v>1084410</v>
      </c>
      <c r="P58" s="279">
        <f>SUM(P45:P57)</f>
        <v>1116693.7605080002</v>
      </c>
    </row>
    <row r="59" spans="2:16" ht="15">
      <c r="B59" s="291" t="s">
        <v>79</v>
      </c>
      <c r="C59" s="278">
        <f t="shared" ref="C59:N59" si="2">+C43+C58</f>
        <v>1125038</v>
      </c>
      <c r="D59" s="278">
        <f t="shared" si="2"/>
        <v>1166220</v>
      </c>
      <c r="E59" s="278">
        <f t="shared" si="2"/>
        <v>1171726</v>
      </c>
      <c r="F59" s="278">
        <f t="shared" si="2"/>
        <v>1175320</v>
      </c>
      <c r="G59" s="278">
        <f t="shared" si="2"/>
        <v>1197887</v>
      </c>
      <c r="H59" s="278">
        <f t="shared" si="2"/>
        <v>1201511</v>
      </c>
      <c r="I59" s="278">
        <f t="shared" si="2"/>
        <v>1224442</v>
      </c>
      <c r="J59" s="278">
        <f t="shared" si="2"/>
        <v>1372007</v>
      </c>
      <c r="K59" s="278">
        <f t="shared" si="2"/>
        <v>1400756</v>
      </c>
      <c r="L59" s="278">
        <f t="shared" si="2"/>
        <v>1398769</v>
      </c>
      <c r="M59" s="278">
        <f t="shared" si="2"/>
        <v>1370166</v>
      </c>
      <c r="N59" s="278">
        <f t="shared" si="2"/>
        <v>1376322</v>
      </c>
      <c r="O59" s="278">
        <v>1407778</v>
      </c>
      <c r="P59" s="278">
        <f>+P43+P58</f>
        <v>1420036.4479440001</v>
      </c>
    </row>
    <row r="60" spans="2:16" ht="15.5" thickBot="1">
      <c r="B60" s="295"/>
      <c r="C60" s="296"/>
      <c r="D60" s="296"/>
      <c r="E60" s="296"/>
      <c r="F60" s="296"/>
      <c r="G60" s="296"/>
      <c r="H60" s="296"/>
      <c r="I60" s="296"/>
      <c r="J60" s="296"/>
      <c r="K60" s="296"/>
      <c r="L60" s="296"/>
      <c r="M60" s="296"/>
      <c r="N60" s="296"/>
      <c r="O60" s="296"/>
      <c r="P60" s="106"/>
    </row>
    <row r="61" spans="2:16" ht="15">
      <c r="B61" s="297" t="s">
        <v>80</v>
      </c>
      <c r="C61" s="273"/>
      <c r="D61" s="273"/>
      <c r="E61" s="273"/>
      <c r="F61" s="273"/>
      <c r="G61" s="273"/>
      <c r="H61" s="273"/>
      <c r="I61" s="273"/>
      <c r="J61" s="273"/>
      <c r="K61" s="273"/>
      <c r="L61" s="273"/>
      <c r="M61" s="273"/>
      <c r="N61" s="273"/>
      <c r="O61" s="273"/>
      <c r="P61" s="273"/>
    </row>
    <row r="62" spans="2:16" ht="15.5" thickBot="1">
      <c r="B62" s="292" t="s">
        <v>81</v>
      </c>
      <c r="C62" s="217"/>
      <c r="D62" s="217"/>
      <c r="E62" s="217"/>
      <c r="F62" s="217"/>
      <c r="G62" s="217"/>
      <c r="H62" s="217"/>
      <c r="I62" s="217"/>
      <c r="J62" s="217"/>
      <c r="K62" s="217"/>
      <c r="L62" s="217"/>
      <c r="M62" s="217"/>
      <c r="N62" s="217"/>
      <c r="O62" s="217"/>
      <c r="P62" s="217"/>
    </row>
    <row r="63" spans="2:16" s="101" customFormat="1" ht="15.5">
      <c r="B63" s="294" t="s">
        <v>82</v>
      </c>
      <c r="C63" s="277">
        <v>56294</v>
      </c>
      <c r="D63" s="277">
        <v>48260</v>
      </c>
      <c r="E63" s="277">
        <v>39776</v>
      </c>
      <c r="F63" s="277">
        <v>34831</v>
      </c>
      <c r="G63" s="277">
        <v>45192</v>
      </c>
      <c r="H63" s="277">
        <v>71718</v>
      </c>
      <c r="I63" s="277">
        <v>58956</v>
      </c>
      <c r="J63" s="277">
        <v>33815</v>
      </c>
      <c r="K63" s="277">
        <v>45990</v>
      </c>
      <c r="L63" s="277">
        <v>55333</v>
      </c>
      <c r="M63" s="277">
        <v>50226</v>
      </c>
      <c r="N63" s="277">
        <v>39903</v>
      </c>
      <c r="O63" s="277">
        <v>47256</v>
      </c>
      <c r="P63" s="277">
        <v>35318.455847999998</v>
      </c>
    </row>
    <row r="64" spans="2:16" s="101" customFormat="1" ht="15.5">
      <c r="B64" s="294" t="s">
        <v>83</v>
      </c>
      <c r="C64" s="277">
        <v>8692</v>
      </c>
      <c r="D64" s="277">
        <v>4638</v>
      </c>
      <c r="E64" s="277">
        <v>19863</v>
      </c>
      <c r="F64" s="277">
        <v>22688</v>
      </c>
      <c r="G64" s="277">
        <v>20923</v>
      </c>
      <c r="H64" s="277">
        <v>5349</v>
      </c>
      <c r="I64" s="277">
        <v>21520</v>
      </c>
      <c r="J64" s="277">
        <v>21740</v>
      </c>
      <c r="K64" s="277">
        <v>23163</v>
      </c>
      <c r="L64" s="277">
        <v>10043</v>
      </c>
      <c r="M64" s="277">
        <v>30342</v>
      </c>
      <c r="N64" s="277">
        <v>28901</v>
      </c>
      <c r="O64" s="277">
        <v>30819</v>
      </c>
      <c r="P64" s="277">
        <v>38663.811324000002</v>
      </c>
    </row>
    <row r="65" spans="2:16" s="101" customFormat="1" ht="15.5">
      <c r="B65" s="294" t="s">
        <v>85</v>
      </c>
      <c r="C65" s="277">
        <v>0</v>
      </c>
      <c r="D65" s="277">
        <v>0</v>
      </c>
      <c r="E65" s="277">
        <v>163</v>
      </c>
      <c r="F65" s="277">
        <v>180</v>
      </c>
      <c r="G65" s="277">
        <v>162</v>
      </c>
      <c r="H65" s="277">
        <v>0</v>
      </c>
      <c r="I65" s="277">
        <v>167</v>
      </c>
      <c r="J65" s="277">
        <v>190</v>
      </c>
      <c r="K65" s="277">
        <v>211</v>
      </c>
      <c r="L65" s="277">
        <v>0</v>
      </c>
      <c r="M65" s="277">
        <v>191</v>
      </c>
      <c r="N65" s="277">
        <v>230</v>
      </c>
      <c r="O65" s="277">
        <v>266</v>
      </c>
      <c r="P65" s="277">
        <v>277.297101</v>
      </c>
    </row>
    <row r="66" spans="2:16" s="101" customFormat="1" ht="15.5">
      <c r="B66" s="294" t="s">
        <v>60</v>
      </c>
      <c r="C66" s="277">
        <v>0</v>
      </c>
      <c r="D66" s="277">
        <v>1442</v>
      </c>
      <c r="E66" s="277">
        <v>1968</v>
      </c>
      <c r="F66" s="277">
        <v>1875</v>
      </c>
      <c r="G66" s="277">
        <v>1598</v>
      </c>
      <c r="H66" s="277">
        <v>1618</v>
      </c>
      <c r="I66" s="277">
        <v>1771</v>
      </c>
      <c r="J66" s="277">
        <v>1806</v>
      </c>
      <c r="K66" s="277">
        <v>6851</v>
      </c>
      <c r="L66" s="277">
        <v>0</v>
      </c>
      <c r="M66" s="277">
        <v>2505</v>
      </c>
      <c r="N66" s="277">
        <v>1137</v>
      </c>
      <c r="O66" s="277">
        <v>1240</v>
      </c>
      <c r="P66" s="277">
        <v>998.79442900000004</v>
      </c>
    </row>
    <row r="67" spans="2:16" s="101" customFormat="1" ht="15.5">
      <c r="B67" s="294" t="s">
        <v>86</v>
      </c>
      <c r="C67" s="277">
        <v>0</v>
      </c>
      <c r="D67" s="277">
        <v>0</v>
      </c>
      <c r="E67" s="277">
        <v>0</v>
      </c>
      <c r="F67" s="277">
        <v>0</v>
      </c>
      <c r="G67" s="277">
        <v>922</v>
      </c>
      <c r="H67" s="277">
        <v>0</v>
      </c>
      <c r="I67" s="277">
        <v>694</v>
      </c>
      <c r="J67" s="277">
        <v>2975</v>
      </c>
      <c r="K67" s="277">
        <v>2947</v>
      </c>
      <c r="L67" s="277">
        <v>7007</v>
      </c>
      <c r="M67" s="277">
        <v>6071</v>
      </c>
      <c r="N67" s="277">
        <v>8092</v>
      </c>
      <c r="O67" s="277">
        <v>8095</v>
      </c>
      <c r="P67" s="277">
        <v>11436.014999999999</v>
      </c>
    </row>
    <row r="68" spans="2:16" s="101" customFormat="1" ht="15.5">
      <c r="B68" s="294" t="s">
        <v>84</v>
      </c>
      <c r="C68" s="277">
        <v>1292</v>
      </c>
      <c r="D68" s="277">
        <v>1120</v>
      </c>
      <c r="E68" s="277">
        <v>414</v>
      </c>
      <c r="F68" s="277">
        <v>739</v>
      </c>
      <c r="G68" s="277">
        <v>812</v>
      </c>
      <c r="H68" s="277">
        <v>1117</v>
      </c>
      <c r="I68" s="277">
        <v>550</v>
      </c>
      <c r="J68" s="277">
        <v>733</v>
      </c>
      <c r="K68" s="277">
        <v>1023</v>
      </c>
      <c r="L68" s="277">
        <v>1357</v>
      </c>
      <c r="M68" s="277">
        <v>481</v>
      </c>
      <c r="N68" s="277">
        <v>783</v>
      </c>
      <c r="O68" s="277">
        <v>836</v>
      </c>
      <c r="P68" s="277">
        <v>1163.2058919999999</v>
      </c>
    </row>
    <row r="69" spans="2:16" s="101" customFormat="1" ht="15.5">
      <c r="B69" s="294" t="s">
        <v>87</v>
      </c>
      <c r="C69" s="277">
        <v>2838</v>
      </c>
      <c r="D69" s="277">
        <v>2</v>
      </c>
      <c r="E69" s="277">
        <v>0</v>
      </c>
      <c r="F69" s="277">
        <v>0</v>
      </c>
      <c r="G69" s="277">
        <v>0</v>
      </c>
      <c r="H69" s="277">
        <v>1</v>
      </c>
      <c r="I69" s="277">
        <v>0</v>
      </c>
      <c r="J69" s="277">
        <v>0</v>
      </c>
      <c r="K69" s="277">
        <v>0</v>
      </c>
      <c r="L69" s="277">
        <v>0</v>
      </c>
      <c r="M69" s="277">
        <v>0</v>
      </c>
      <c r="N69" s="277">
        <v>243</v>
      </c>
      <c r="O69" s="277">
        <v>254</v>
      </c>
      <c r="P69" s="277">
        <v>294.09186399999999</v>
      </c>
    </row>
    <row r="70" spans="2:16" s="101" customFormat="1" ht="15.5">
      <c r="B70" s="294" t="s">
        <v>116</v>
      </c>
      <c r="C70" s="277">
        <v>0</v>
      </c>
      <c r="D70" s="277">
        <v>0</v>
      </c>
      <c r="E70" s="277">
        <v>0</v>
      </c>
      <c r="F70" s="277">
        <v>0</v>
      </c>
      <c r="G70" s="277">
        <v>0</v>
      </c>
      <c r="H70" s="277">
        <v>0</v>
      </c>
      <c r="I70" s="277">
        <v>0</v>
      </c>
      <c r="J70" s="277">
        <v>0</v>
      </c>
      <c r="K70" s="277">
        <v>0</v>
      </c>
      <c r="L70" s="277">
        <v>0</v>
      </c>
      <c r="M70" s="277">
        <v>0</v>
      </c>
      <c r="N70" s="277">
        <v>0</v>
      </c>
      <c r="O70" s="277">
        <v>0</v>
      </c>
      <c r="P70" s="277">
        <v>0</v>
      </c>
    </row>
    <row r="71" spans="2:16" ht="15">
      <c r="B71" s="292" t="s">
        <v>89</v>
      </c>
      <c r="C71" s="279">
        <f t="shared" ref="C71:N71" si="3">SUM(C63:C70)</f>
        <v>69116</v>
      </c>
      <c r="D71" s="279">
        <f t="shared" si="3"/>
        <v>55462</v>
      </c>
      <c r="E71" s="279">
        <f t="shared" si="3"/>
        <v>62184</v>
      </c>
      <c r="F71" s="279">
        <f t="shared" si="3"/>
        <v>60313</v>
      </c>
      <c r="G71" s="279">
        <f t="shared" si="3"/>
        <v>69609</v>
      </c>
      <c r="H71" s="279">
        <f t="shared" si="3"/>
        <v>79803</v>
      </c>
      <c r="I71" s="279">
        <f t="shared" si="3"/>
        <v>83658</v>
      </c>
      <c r="J71" s="279">
        <f t="shared" si="3"/>
        <v>61259</v>
      </c>
      <c r="K71" s="279">
        <f t="shared" si="3"/>
        <v>80185</v>
      </c>
      <c r="L71" s="279">
        <f t="shared" si="3"/>
        <v>73740</v>
      </c>
      <c r="M71" s="279">
        <f t="shared" si="3"/>
        <v>89816</v>
      </c>
      <c r="N71" s="279">
        <f t="shared" si="3"/>
        <v>79289</v>
      </c>
      <c r="O71" s="279">
        <v>88766</v>
      </c>
      <c r="P71" s="279">
        <f>SUM(P63:P70)</f>
        <v>88151.671457999997</v>
      </c>
    </row>
    <row r="72" spans="2:16" ht="15">
      <c r="B72" s="298" t="s">
        <v>90</v>
      </c>
      <c r="C72" s="299"/>
      <c r="D72" s="299"/>
      <c r="E72" s="299"/>
      <c r="F72" s="299"/>
      <c r="G72" s="299"/>
      <c r="H72" s="299"/>
      <c r="I72" s="299"/>
      <c r="J72" s="299"/>
      <c r="K72" s="299"/>
      <c r="L72" s="299"/>
      <c r="M72" s="299"/>
      <c r="N72" s="299"/>
      <c r="O72" s="299"/>
      <c r="P72" s="285"/>
    </row>
    <row r="73" spans="2:16" s="101" customFormat="1" ht="15.5">
      <c r="B73" s="294" t="s">
        <v>82</v>
      </c>
      <c r="C73" s="277">
        <v>496863</v>
      </c>
      <c r="D73" s="277">
        <v>493406</v>
      </c>
      <c r="E73" s="277">
        <v>497438</v>
      </c>
      <c r="F73" s="277">
        <v>487255</v>
      </c>
      <c r="G73" s="277">
        <v>495094</v>
      </c>
      <c r="H73" s="277">
        <v>619671</v>
      </c>
      <c r="I73" s="277">
        <v>474172</v>
      </c>
      <c r="J73" s="277">
        <v>626883</v>
      </c>
      <c r="K73" s="277">
        <v>627450</v>
      </c>
      <c r="L73" s="277">
        <v>765038</v>
      </c>
      <c r="M73" s="277">
        <v>608941</v>
      </c>
      <c r="N73" s="277">
        <v>605645</v>
      </c>
      <c r="O73" s="277">
        <v>610885</v>
      </c>
      <c r="P73" s="277">
        <v>605149.71300999995</v>
      </c>
    </row>
    <row r="74" spans="2:16" s="101" customFormat="1" ht="15.5">
      <c r="B74" s="294" t="s">
        <v>83</v>
      </c>
      <c r="C74" s="277">
        <v>161074</v>
      </c>
      <c r="D74" s="277">
        <v>164349</v>
      </c>
      <c r="E74" s="277">
        <v>148174</v>
      </c>
      <c r="F74" s="277">
        <v>152929</v>
      </c>
      <c r="G74" s="277">
        <v>149009</v>
      </c>
      <c r="H74" s="277">
        <v>0</v>
      </c>
      <c r="I74" s="277">
        <v>149735</v>
      </c>
      <c r="J74" s="277">
        <v>157749</v>
      </c>
      <c r="K74" s="277">
        <v>149073</v>
      </c>
      <c r="L74" s="277">
        <v>903</v>
      </c>
      <c r="M74" s="277">
        <v>149509</v>
      </c>
      <c r="N74" s="277">
        <v>159598</v>
      </c>
      <c r="O74" s="277">
        <v>156384</v>
      </c>
      <c r="P74" s="277">
        <v>169595.62221900001</v>
      </c>
    </row>
    <row r="75" spans="2:16" s="101" customFormat="1" ht="15.5">
      <c r="B75" s="294" t="s">
        <v>91</v>
      </c>
      <c r="C75" s="277">
        <v>0</v>
      </c>
      <c r="D75" s="277">
        <v>0</v>
      </c>
      <c r="E75" s="277">
        <v>0</v>
      </c>
      <c r="F75" s="277">
        <v>0</v>
      </c>
      <c r="G75" s="277">
        <v>0</v>
      </c>
      <c r="H75" s="277">
        <v>0</v>
      </c>
      <c r="I75" s="277">
        <v>0</v>
      </c>
      <c r="J75" s="277">
        <v>0</v>
      </c>
      <c r="K75" s="277">
        <v>0</v>
      </c>
      <c r="L75" s="277">
        <v>0</v>
      </c>
      <c r="M75" s="277">
        <v>0</v>
      </c>
      <c r="N75" s="277">
        <v>0</v>
      </c>
      <c r="O75" s="277">
        <v>0</v>
      </c>
      <c r="P75" s="277">
        <v>0</v>
      </c>
    </row>
    <row r="76" spans="2:16" s="101" customFormat="1" ht="15.5">
      <c r="B76" s="294" t="s">
        <v>85</v>
      </c>
      <c r="C76" s="277">
        <v>0</v>
      </c>
      <c r="D76" s="277">
        <v>0</v>
      </c>
      <c r="E76" s="277">
        <v>0</v>
      </c>
      <c r="F76" s="277">
        <v>0</v>
      </c>
      <c r="G76" s="277">
        <v>0</v>
      </c>
      <c r="H76" s="277">
        <v>0</v>
      </c>
      <c r="I76" s="277">
        <v>0</v>
      </c>
      <c r="J76" s="277">
        <v>0</v>
      </c>
      <c r="K76" s="277">
        <v>0</v>
      </c>
      <c r="L76" s="277">
        <v>0</v>
      </c>
      <c r="M76" s="277">
        <v>0</v>
      </c>
      <c r="N76" s="277">
        <v>0</v>
      </c>
      <c r="O76" s="277">
        <v>0</v>
      </c>
      <c r="P76" s="277">
        <v>0</v>
      </c>
    </row>
    <row r="77" spans="2:16" s="101" customFormat="1" ht="15.5">
      <c r="B77" s="294" t="s">
        <v>86</v>
      </c>
      <c r="C77" s="277">
        <v>0</v>
      </c>
      <c r="D77" s="277">
        <v>0</v>
      </c>
      <c r="E77" s="277">
        <v>0</v>
      </c>
      <c r="F77" s="277">
        <v>0</v>
      </c>
      <c r="G77" s="277">
        <v>0</v>
      </c>
      <c r="H77" s="277">
        <v>0</v>
      </c>
      <c r="I77" s="277">
        <v>0</v>
      </c>
      <c r="J77" s="277">
        <v>0</v>
      </c>
      <c r="K77" s="277">
        <v>0</v>
      </c>
      <c r="L77" s="277">
        <v>0</v>
      </c>
      <c r="M77" s="277">
        <v>0</v>
      </c>
      <c r="N77" s="277">
        <v>0</v>
      </c>
      <c r="O77" s="277">
        <v>0</v>
      </c>
      <c r="P77" s="277">
        <v>0</v>
      </c>
    </row>
    <row r="78" spans="2:16" s="101" customFormat="1" ht="15.5">
      <c r="B78" s="294" t="s">
        <v>87</v>
      </c>
      <c r="C78" s="277">
        <v>0</v>
      </c>
      <c r="D78" s="277">
        <v>0</v>
      </c>
      <c r="E78" s="277">
        <v>0</v>
      </c>
      <c r="F78" s="277">
        <v>0</v>
      </c>
      <c r="G78" s="277">
        <v>0</v>
      </c>
      <c r="H78" s="277">
        <v>0</v>
      </c>
      <c r="I78" s="277">
        <v>0</v>
      </c>
      <c r="J78" s="277">
        <v>0</v>
      </c>
      <c r="K78" s="277">
        <v>0</v>
      </c>
      <c r="L78" s="277">
        <v>0</v>
      </c>
      <c r="M78" s="277">
        <v>0</v>
      </c>
      <c r="N78" s="277">
        <v>0</v>
      </c>
      <c r="O78" s="277">
        <v>0</v>
      </c>
      <c r="P78" s="277">
        <v>0</v>
      </c>
    </row>
    <row r="79" spans="2:16" s="101" customFormat="1" ht="15.5">
      <c r="B79" s="294" t="s">
        <v>117</v>
      </c>
      <c r="C79" s="277">
        <v>72183</v>
      </c>
      <c r="D79" s="277">
        <v>84171</v>
      </c>
      <c r="E79" s="277">
        <v>86079</v>
      </c>
      <c r="F79" s="277">
        <v>87753</v>
      </c>
      <c r="G79" s="277">
        <v>89323</v>
      </c>
      <c r="H79" s="277">
        <v>89746</v>
      </c>
      <c r="I79" s="277">
        <v>93777</v>
      </c>
      <c r="J79" s="277">
        <v>94007</v>
      </c>
      <c r="K79" s="277">
        <v>98062</v>
      </c>
      <c r="L79" s="277">
        <v>100617</v>
      </c>
      <c r="M79" s="277">
        <v>102471</v>
      </c>
      <c r="N79" s="277">
        <v>104655</v>
      </c>
      <c r="O79" s="277">
        <v>109979</v>
      </c>
      <c r="P79" s="277">
        <v>109616.095346</v>
      </c>
    </row>
    <row r="80" spans="2:16" ht="15">
      <c r="B80" s="292" t="s">
        <v>92</v>
      </c>
      <c r="C80" s="279">
        <f t="shared" ref="C80:N80" si="4">SUM(C73:C79)</f>
        <v>730120</v>
      </c>
      <c r="D80" s="279">
        <f t="shared" si="4"/>
        <v>741926</v>
      </c>
      <c r="E80" s="279">
        <f t="shared" si="4"/>
        <v>731691</v>
      </c>
      <c r="F80" s="279">
        <f t="shared" si="4"/>
        <v>727937</v>
      </c>
      <c r="G80" s="279">
        <f t="shared" si="4"/>
        <v>733426</v>
      </c>
      <c r="H80" s="279">
        <f t="shared" si="4"/>
        <v>709417</v>
      </c>
      <c r="I80" s="279">
        <f t="shared" si="4"/>
        <v>717684</v>
      </c>
      <c r="J80" s="279">
        <f t="shared" si="4"/>
        <v>878639</v>
      </c>
      <c r="K80" s="279">
        <f t="shared" si="4"/>
        <v>874585</v>
      </c>
      <c r="L80" s="279">
        <f t="shared" si="4"/>
        <v>866558</v>
      </c>
      <c r="M80" s="279">
        <f t="shared" si="4"/>
        <v>860921</v>
      </c>
      <c r="N80" s="279">
        <f t="shared" si="4"/>
        <v>869898</v>
      </c>
      <c r="O80" s="279">
        <v>877248</v>
      </c>
      <c r="P80" s="279">
        <f>SUM(P73:P79)</f>
        <v>884361.43057500001</v>
      </c>
    </row>
    <row r="81" spans="2:16" ht="15">
      <c r="B81" s="291" t="s">
        <v>93</v>
      </c>
      <c r="C81" s="278">
        <f t="shared" ref="C81:N81" si="5">+C71+C80</f>
        <v>799236</v>
      </c>
      <c r="D81" s="278">
        <f t="shared" si="5"/>
        <v>797388</v>
      </c>
      <c r="E81" s="278">
        <f t="shared" si="5"/>
        <v>793875</v>
      </c>
      <c r="F81" s="278">
        <f t="shared" si="5"/>
        <v>788250</v>
      </c>
      <c r="G81" s="278">
        <f t="shared" si="5"/>
        <v>803035</v>
      </c>
      <c r="H81" s="278">
        <f t="shared" si="5"/>
        <v>789220</v>
      </c>
      <c r="I81" s="278">
        <f t="shared" si="5"/>
        <v>801342</v>
      </c>
      <c r="J81" s="278">
        <f t="shared" si="5"/>
        <v>939898</v>
      </c>
      <c r="K81" s="278">
        <f t="shared" si="5"/>
        <v>954770</v>
      </c>
      <c r="L81" s="278">
        <f t="shared" si="5"/>
        <v>940298</v>
      </c>
      <c r="M81" s="278">
        <f t="shared" si="5"/>
        <v>950737</v>
      </c>
      <c r="N81" s="278">
        <f t="shared" si="5"/>
        <v>949187</v>
      </c>
      <c r="O81" s="278">
        <v>966014</v>
      </c>
      <c r="P81" s="278">
        <f>+P80+P71</f>
        <v>972513.10203299997</v>
      </c>
    </row>
    <row r="82" spans="2:16" ht="15">
      <c r="B82" s="295"/>
      <c r="C82" s="296"/>
      <c r="D82" s="296"/>
      <c r="E82" s="296"/>
      <c r="F82" s="296"/>
      <c r="G82" s="296"/>
      <c r="H82" s="296"/>
      <c r="I82" s="296"/>
      <c r="J82" s="296"/>
      <c r="K82" s="296"/>
      <c r="L82" s="296"/>
      <c r="M82" s="296"/>
      <c r="N82" s="296"/>
      <c r="O82" s="296"/>
      <c r="P82" s="280"/>
    </row>
    <row r="83" spans="2:16" ht="15">
      <c r="B83" s="298" t="s">
        <v>94</v>
      </c>
      <c r="C83" s="299"/>
      <c r="D83" s="299"/>
      <c r="E83" s="299"/>
      <c r="F83" s="299"/>
      <c r="G83" s="299"/>
      <c r="H83" s="299"/>
      <c r="I83" s="299"/>
      <c r="J83" s="299"/>
      <c r="K83" s="299"/>
      <c r="L83" s="299"/>
      <c r="M83" s="299"/>
      <c r="N83" s="299"/>
      <c r="O83" s="299"/>
      <c r="P83" s="285"/>
    </row>
    <row r="84" spans="2:16" s="101" customFormat="1" ht="15.5">
      <c r="B84" s="294" t="s">
        <v>95</v>
      </c>
      <c r="C84" s="277">
        <v>85214</v>
      </c>
      <c r="D84" s="277">
        <v>85214</v>
      </c>
      <c r="E84" s="277">
        <v>85214</v>
      </c>
      <c r="F84" s="277">
        <v>85214</v>
      </c>
      <c r="G84" s="277">
        <v>85214</v>
      </c>
      <c r="H84" s="277">
        <v>85214</v>
      </c>
      <c r="I84" s="277">
        <v>85214</v>
      </c>
      <c r="J84" s="277">
        <v>85214</v>
      </c>
      <c r="K84" s="277">
        <v>85214</v>
      </c>
      <c r="L84" s="277">
        <v>85214</v>
      </c>
      <c r="M84" s="277">
        <v>85214</v>
      </c>
      <c r="N84" s="277">
        <v>85214</v>
      </c>
      <c r="O84" s="277">
        <v>85214</v>
      </c>
      <c r="P84" s="277">
        <v>85214.499991000004</v>
      </c>
    </row>
    <row r="85" spans="2:16" s="101" customFormat="1" ht="15.5">
      <c r="B85" s="294" t="s">
        <v>96</v>
      </c>
      <c r="C85" s="277">
        <v>0</v>
      </c>
      <c r="D85" s="277">
        <v>0</v>
      </c>
      <c r="E85" s="277">
        <v>0</v>
      </c>
      <c r="F85" s="277">
        <v>0</v>
      </c>
      <c r="G85" s="277">
        <v>0</v>
      </c>
      <c r="H85" s="277">
        <v>0</v>
      </c>
      <c r="I85" s="277">
        <v>0</v>
      </c>
      <c r="J85" s="277">
        <v>0</v>
      </c>
      <c r="K85" s="277">
        <v>0</v>
      </c>
      <c r="L85" s="277">
        <v>0</v>
      </c>
      <c r="M85" s="277">
        <v>0</v>
      </c>
      <c r="N85" s="277">
        <v>0</v>
      </c>
      <c r="O85" s="277">
        <v>0</v>
      </c>
      <c r="P85" s="277">
        <v>0</v>
      </c>
    </row>
    <row r="86" spans="2:16" s="101" customFormat="1" ht="15.5">
      <c r="B86" s="294" t="s">
        <v>97</v>
      </c>
      <c r="C86" s="277">
        <v>0</v>
      </c>
      <c r="D86" s="277">
        <v>0</v>
      </c>
      <c r="E86" s="277">
        <v>0</v>
      </c>
      <c r="F86" s="277">
        <v>0</v>
      </c>
      <c r="G86" s="277">
        <v>0</v>
      </c>
      <c r="H86" s="277">
        <v>0</v>
      </c>
      <c r="I86" s="277">
        <v>0</v>
      </c>
      <c r="J86" s="277">
        <v>0</v>
      </c>
      <c r="K86" s="277">
        <v>0</v>
      </c>
      <c r="L86" s="277">
        <v>0</v>
      </c>
      <c r="M86" s="277">
        <v>0</v>
      </c>
      <c r="N86" s="277">
        <v>0</v>
      </c>
      <c r="O86" s="277">
        <v>0</v>
      </c>
      <c r="P86" s="277">
        <v>0</v>
      </c>
    </row>
    <row r="87" spans="2:16" s="101" customFormat="1" ht="15.5">
      <c r="B87" s="294" t="s">
        <v>98</v>
      </c>
      <c r="C87" s="277">
        <v>193927</v>
      </c>
      <c r="D87" s="277">
        <v>236233</v>
      </c>
      <c r="E87" s="277">
        <v>281327</v>
      </c>
      <c r="F87" s="277">
        <v>281327</v>
      </c>
      <c r="G87" s="277">
        <v>281327</v>
      </c>
      <c r="H87" s="277">
        <v>281225</v>
      </c>
      <c r="I87" s="277">
        <v>324193</v>
      </c>
      <c r="J87" s="277">
        <v>324193</v>
      </c>
      <c r="K87" s="277">
        <v>324193</v>
      </c>
      <c r="L87" s="277">
        <v>324193</v>
      </c>
      <c r="M87" s="277">
        <v>318693</v>
      </c>
      <c r="N87" s="277">
        <v>318693</v>
      </c>
      <c r="O87" s="277">
        <v>318693</v>
      </c>
      <c r="P87" s="277">
        <v>318693.229207</v>
      </c>
    </row>
    <row r="88" spans="2:16" s="101" customFormat="1" ht="15.5">
      <c r="B88" s="294" t="s">
        <v>99</v>
      </c>
      <c r="C88" s="277">
        <v>42306</v>
      </c>
      <c r="D88" s="277">
        <v>45093</v>
      </c>
      <c r="E88" s="277">
        <v>9565</v>
      </c>
      <c r="F88" s="277">
        <v>19422</v>
      </c>
      <c r="G88" s="277">
        <v>26900</v>
      </c>
      <c r="H88" s="277">
        <v>42969</v>
      </c>
      <c r="I88" s="277">
        <v>10807</v>
      </c>
      <c r="J88" s="277">
        <v>19876</v>
      </c>
      <c r="K88" s="277">
        <v>33777</v>
      </c>
      <c r="L88" s="277">
        <v>45514</v>
      </c>
      <c r="M88" s="277">
        <v>10774</v>
      </c>
      <c r="N88" s="277">
        <v>18189</v>
      </c>
      <c r="O88" s="277">
        <v>33112</v>
      </c>
      <c r="P88" s="277">
        <v>39011.664788000002</v>
      </c>
    </row>
    <row r="89" spans="2:16" s="101" customFormat="1" ht="15.5">
      <c r="B89" s="294" t="s">
        <v>100</v>
      </c>
      <c r="C89" s="277">
        <v>4355</v>
      </c>
      <c r="D89" s="277">
        <v>2292</v>
      </c>
      <c r="E89" s="277">
        <v>1745</v>
      </c>
      <c r="F89" s="277">
        <v>1107</v>
      </c>
      <c r="G89" s="277">
        <v>1411</v>
      </c>
      <c r="H89" s="277">
        <v>2883</v>
      </c>
      <c r="I89" s="277">
        <v>2886</v>
      </c>
      <c r="J89" s="277">
        <v>2826</v>
      </c>
      <c r="K89" s="277">
        <v>2802</v>
      </c>
      <c r="L89" s="277">
        <v>3550</v>
      </c>
      <c r="M89" s="277">
        <v>4748</v>
      </c>
      <c r="N89" s="277">
        <v>5039</v>
      </c>
      <c r="O89" s="277">
        <v>4745</v>
      </c>
      <c r="P89" s="277">
        <v>4603.9519250000003</v>
      </c>
    </row>
    <row r="90" spans="2:16" ht="15">
      <c r="B90" s="292" t="s">
        <v>103</v>
      </c>
      <c r="C90" s="279">
        <f t="shared" ref="C90:N90" si="6">SUM(C84:C89)</f>
        <v>325802</v>
      </c>
      <c r="D90" s="279">
        <f t="shared" si="6"/>
        <v>368832</v>
      </c>
      <c r="E90" s="279">
        <f t="shared" si="6"/>
        <v>377851</v>
      </c>
      <c r="F90" s="279">
        <f t="shared" si="6"/>
        <v>387070</v>
      </c>
      <c r="G90" s="279">
        <f t="shared" si="6"/>
        <v>394852</v>
      </c>
      <c r="H90" s="279">
        <f t="shared" si="6"/>
        <v>412291</v>
      </c>
      <c r="I90" s="279">
        <f t="shared" si="6"/>
        <v>423100</v>
      </c>
      <c r="J90" s="279">
        <f t="shared" si="6"/>
        <v>432109</v>
      </c>
      <c r="K90" s="279">
        <f t="shared" si="6"/>
        <v>445986</v>
      </c>
      <c r="L90" s="279">
        <f t="shared" si="6"/>
        <v>458471</v>
      </c>
      <c r="M90" s="279">
        <f t="shared" si="6"/>
        <v>419429</v>
      </c>
      <c r="N90" s="279">
        <f t="shared" si="6"/>
        <v>427135</v>
      </c>
      <c r="O90" s="279">
        <v>441764</v>
      </c>
      <c r="P90" s="279">
        <f>SUM(P84:P89)</f>
        <v>447523.34591099998</v>
      </c>
    </row>
    <row r="91" spans="2:16" ht="15">
      <c r="B91" s="291" t="s">
        <v>104</v>
      </c>
      <c r="C91" s="278">
        <f t="shared" ref="C91:N91" si="7">+C81+C90</f>
        <v>1125038</v>
      </c>
      <c r="D91" s="278">
        <f t="shared" si="7"/>
        <v>1166220</v>
      </c>
      <c r="E91" s="278">
        <f t="shared" si="7"/>
        <v>1171726</v>
      </c>
      <c r="F91" s="278">
        <f t="shared" si="7"/>
        <v>1175320</v>
      </c>
      <c r="G91" s="278">
        <f t="shared" si="7"/>
        <v>1197887</v>
      </c>
      <c r="H91" s="278">
        <f t="shared" si="7"/>
        <v>1201511</v>
      </c>
      <c r="I91" s="278">
        <f t="shared" si="7"/>
        <v>1224442</v>
      </c>
      <c r="J91" s="278">
        <f t="shared" si="7"/>
        <v>1372007</v>
      </c>
      <c r="K91" s="278">
        <f t="shared" si="7"/>
        <v>1400756</v>
      </c>
      <c r="L91" s="278">
        <f t="shared" si="7"/>
        <v>1398769</v>
      </c>
      <c r="M91" s="278">
        <f t="shared" si="7"/>
        <v>1370166</v>
      </c>
      <c r="N91" s="278">
        <f t="shared" si="7"/>
        <v>1376322</v>
      </c>
      <c r="O91" s="278">
        <v>1407778</v>
      </c>
      <c r="P91" s="278">
        <f>+P90+P81</f>
        <v>1420036.4479439999</v>
      </c>
    </row>
    <row r="92" spans="2:16" ht="15.5">
      <c r="B92" s="300"/>
      <c r="C92" s="301"/>
      <c r="D92" s="301"/>
      <c r="E92" s="301"/>
      <c r="F92" s="301"/>
      <c r="G92" s="301"/>
      <c r="H92" s="300"/>
      <c r="I92" s="300"/>
      <c r="J92" s="300"/>
      <c r="K92" s="300"/>
      <c r="L92" s="300"/>
      <c r="M92" s="301"/>
      <c r="N92" s="301"/>
      <c r="O92" s="301"/>
      <c r="P92" s="106"/>
    </row>
    <row r="93" spans="2:16" ht="15.5">
      <c r="B93" s="233"/>
      <c r="C93" s="233"/>
      <c r="D93" s="233"/>
      <c r="E93" s="233"/>
      <c r="F93" s="233"/>
      <c r="G93" s="233"/>
      <c r="H93" s="233"/>
      <c r="I93" s="233"/>
      <c r="J93" s="233"/>
      <c r="K93" s="233"/>
      <c r="L93" s="233"/>
      <c r="M93" s="233"/>
      <c r="N93" s="233"/>
      <c r="O93" s="233"/>
      <c r="P93" s="106"/>
    </row>
    <row r="94" spans="2:16" ht="15.5">
      <c r="B94" s="125" t="s">
        <v>397</v>
      </c>
      <c r="C94" s="33"/>
      <c r="D94" s="33"/>
      <c r="E94" s="34"/>
      <c r="F94" s="33"/>
      <c r="G94" s="33"/>
      <c r="H94" s="33"/>
      <c r="I94" s="34"/>
      <c r="J94" s="33"/>
      <c r="K94" s="33"/>
      <c r="L94" s="33"/>
      <c r="M94" s="34"/>
      <c r="N94" s="33"/>
      <c r="O94" s="33"/>
      <c r="P94" s="106"/>
    </row>
    <row r="95" spans="2:16" ht="15.5">
      <c r="B95" s="258" t="s">
        <v>393</v>
      </c>
      <c r="C95" s="233"/>
      <c r="D95" s="233"/>
      <c r="E95" s="233"/>
      <c r="F95" s="233"/>
      <c r="G95" s="233"/>
      <c r="H95" s="233"/>
      <c r="I95" s="233"/>
      <c r="J95" s="233"/>
      <c r="K95" s="233"/>
      <c r="L95" s="233"/>
      <c r="M95" s="233"/>
      <c r="N95" s="233"/>
      <c r="O95" s="233"/>
      <c r="P95" s="106"/>
    </row>
    <row r="96" spans="2:16" ht="6" customHeight="1">
      <c r="B96" s="35"/>
      <c r="C96" s="35"/>
      <c r="D96" s="35"/>
      <c r="E96" s="35"/>
      <c r="F96" s="35"/>
      <c r="G96" s="35"/>
      <c r="H96" s="35"/>
      <c r="I96" s="35"/>
      <c r="J96" s="35"/>
      <c r="K96" s="35"/>
      <c r="L96" s="35"/>
      <c r="M96" s="35"/>
      <c r="N96" s="35"/>
      <c r="O96" s="35"/>
      <c r="P96" s="106"/>
    </row>
    <row r="97" spans="2:16" ht="15">
      <c r="B97" s="241"/>
      <c r="C97" s="242">
        <v>2016</v>
      </c>
      <c r="D97" s="242">
        <v>2017</v>
      </c>
      <c r="E97" s="242" t="s">
        <v>20</v>
      </c>
      <c r="F97" s="242" t="s">
        <v>21</v>
      </c>
      <c r="G97" s="242" t="s">
        <v>22</v>
      </c>
      <c r="H97" s="242" t="s">
        <v>23</v>
      </c>
      <c r="I97" s="242" t="s">
        <v>24</v>
      </c>
      <c r="J97" s="242" t="s">
        <v>25</v>
      </c>
      <c r="K97" s="242" t="s">
        <v>26</v>
      </c>
      <c r="L97" s="242" t="s">
        <v>27</v>
      </c>
      <c r="M97" s="242" t="s">
        <v>28</v>
      </c>
      <c r="N97" s="242" t="s">
        <v>29</v>
      </c>
      <c r="O97" s="242" t="s">
        <v>30</v>
      </c>
      <c r="P97" s="635" t="s">
        <v>954</v>
      </c>
    </row>
    <row r="98" spans="2:16" ht="7" customHeight="1">
      <c r="B98" s="243"/>
      <c r="C98" s="35"/>
      <c r="D98" s="35"/>
      <c r="E98" s="35"/>
      <c r="F98" s="35"/>
      <c r="G98" s="35"/>
      <c r="H98" s="35"/>
      <c r="I98" s="35"/>
      <c r="J98" s="35"/>
      <c r="K98" s="35"/>
      <c r="L98" s="35"/>
      <c r="M98" s="35"/>
      <c r="N98" s="35"/>
      <c r="O98" s="35"/>
      <c r="P98" s="106"/>
    </row>
    <row r="99" spans="2:16" ht="15.5">
      <c r="B99" s="172" t="s">
        <v>31</v>
      </c>
      <c r="C99" s="207">
        <v>3404</v>
      </c>
      <c r="D99" s="207">
        <v>1850</v>
      </c>
      <c r="E99" s="207">
        <v>582</v>
      </c>
      <c r="F99" s="207">
        <v>152</v>
      </c>
      <c r="G99" s="207">
        <v>669</v>
      </c>
      <c r="H99" s="207">
        <v>394</v>
      </c>
      <c r="I99" s="207">
        <v>2114</v>
      </c>
      <c r="J99" s="207">
        <v>2166</v>
      </c>
      <c r="K99" s="207">
        <v>263</v>
      </c>
      <c r="L99" s="207">
        <v>2065</v>
      </c>
      <c r="M99" s="207">
        <v>-65</v>
      </c>
      <c r="N99" s="207">
        <v>151</v>
      </c>
      <c r="O99" s="207">
        <v>549</v>
      </c>
      <c r="P99" s="207">
        <v>3092.7752770000002</v>
      </c>
    </row>
    <row r="100" spans="2:16" ht="15.5">
      <c r="B100" s="172" t="s">
        <v>32</v>
      </c>
      <c r="C100" s="207">
        <v>3013</v>
      </c>
      <c r="D100" s="207">
        <v>1637</v>
      </c>
      <c r="E100" s="207">
        <v>515</v>
      </c>
      <c r="F100" s="207">
        <v>135</v>
      </c>
      <c r="G100" s="207">
        <v>592</v>
      </c>
      <c r="H100" s="207">
        <v>349</v>
      </c>
      <c r="I100" s="207">
        <v>1870</v>
      </c>
      <c r="J100" s="207">
        <v>1918</v>
      </c>
      <c r="K100" s="207">
        <v>232</v>
      </c>
      <c r="L100" s="207">
        <v>1828</v>
      </c>
      <c r="M100" s="207">
        <v>-56</v>
      </c>
      <c r="N100" s="207">
        <v>131</v>
      </c>
      <c r="O100" s="207">
        <v>477</v>
      </c>
      <c r="P100" s="207">
        <v>2689.3698060000002</v>
      </c>
    </row>
    <row r="101" spans="2:16" ht="15.5">
      <c r="B101" s="232" t="s">
        <v>33</v>
      </c>
      <c r="C101" s="244">
        <v>391</v>
      </c>
      <c r="D101" s="244">
        <v>213</v>
      </c>
      <c r="E101" s="244">
        <v>67</v>
      </c>
      <c r="F101" s="244">
        <v>17</v>
      </c>
      <c r="G101" s="244">
        <v>77</v>
      </c>
      <c r="H101" s="244">
        <v>45</v>
      </c>
      <c r="I101" s="244">
        <v>244</v>
      </c>
      <c r="J101" s="244">
        <v>248</v>
      </c>
      <c r="K101" s="244">
        <v>31</v>
      </c>
      <c r="L101" s="244">
        <v>237</v>
      </c>
      <c r="M101" s="244">
        <v>-9</v>
      </c>
      <c r="N101" s="244">
        <v>20</v>
      </c>
      <c r="O101" s="244">
        <v>72</v>
      </c>
      <c r="P101" s="244">
        <v>403.40547100000003</v>
      </c>
    </row>
    <row r="102" spans="2:16" ht="15.5">
      <c r="B102" s="172"/>
      <c r="C102" s="207"/>
      <c r="D102" s="207"/>
      <c r="E102" s="207"/>
      <c r="F102" s="207"/>
      <c r="G102" s="207"/>
      <c r="H102" s="207"/>
      <c r="I102" s="207"/>
      <c r="J102" s="207"/>
      <c r="K102" s="207"/>
      <c r="L102" s="207"/>
      <c r="M102" s="207"/>
      <c r="N102" s="207"/>
      <c r="O102" s="207"/>
      <c r="P102" s="207"/>
    </row>
    <row r="103" spans="2:16" ht="15.5">
      <c r="B103" s="172" t="s">
        <v>394</v>
      </c>
      <c r="C103" s="207">
        <v>9856</v>
      </c>
      <c r="D103" s="207">
        <v>10456</v>
      </c>
      <c r="E103" s="207">
        <v>3151</v>
      </c>
      <c r="F103" s="207">
        <v>2372</v>
      </c>
      <c r="G103" s="207">
        <v>1962</v>
      </c>
      <c r="H103" s="207">
        <v>2944</v>
      </c>
      <c r="I103" s="207">
        <v>3391</v>
      </c>
      <c r="J103" s="207">
        <v>3214</v>
      </c>
      <c r="K103" s="207">
        <v>2034</v>
      </c>
      <c r="L103" s="207">
        <v>2200</v>
      </c>
      <c r="M103" s="207">
        <v>3403</v>
      </c>
      <c r="N103" s="207">
        <v>3646</v>
      </c>
      <c r="O103" s="207">
        <v>2234</v>
      </c>
      <c r="P103" s="207">
        <v>2771.4469170000002</v>
      </c>
    </row>
    <row r="104" spans="2:16" ht="15.5">
      <c r="B104" s="172" t="s">
        <v>395</v>
      </c>
      <c r="C104" s="207">
        <v>19971</v>
      </c>
      <c r="D104" s="207">
        <v>18953</v>
      </c>
      <c r="E104" s="207">
        <v>4356</v>
      </c>
      <c r="F104" s="207">
        <v>3903</v>
      </c>
      <c r="G104" s="207">
        <v>3848</v>
      </c>
      <c r="H104" s="207">
        <v>3723</v>
      </c>
      <c r="I104" s="207">
        <v>3760</v>
      </c>
      <c r="J104" s="207">
        <v>3693</v>
      </c>
      <c r="K104" s="207">
        <v>3555</v>
      </c>
      <c r="L104" s="207">
        <v>3410</v>
      </c>
      <c r="M104" s="207">
        <v>3296</v>
      </c>
      <c r="N104" s="207">
        <v>2741</v>
      </c>
      <c r="O104" s="207">
        <v>2019</v>
      </c>
      <c r="P104" s="207">
        <v>2397.4204569999997</v>
      </c>
    </row>
    <row r="105" spans="2:16" ht="15.5">
      <c r="B105" s="172" t="s">
        <v>40</v>
      </c>
      <c r="C105" s="207">
        <v>0</v>
      </c>
      <c r="D105" s="207">
        <v>0</v>
      </c>
      <c r="E105" s="207">
        <v>0</v>
      </c>
      <c r="F105" s="207">
        <v>0</v>
      </c>
      <c r="G105" s="207">
        <v>0</v>
      </c>
      <c r="H105" s="207">
        <v>0</v>
      </c>
      <c r="I105" s="207">
        <v>0</v>
      </c>
      <c r="J105" s="207">
        <v>0</v>
      </c>
      <c r="K105" s="207">
        <v>0</v>
      </c>
      <c r="L105" s="207">
        <v>0</v>
      </c>
      <c r="M105" s="207">
        <v>0</v>
      </c>
      <c r="N105" s="207">
        <v>0</v>
      </c>
      <c r="O105" s="207">
        <v>0</v>
      </c>
      <c r="P105" s="207">
        <v>0</v>
      </c>
    </row>
    <row r="106" spans="2:16" ht="15.5">
      <c r="B106" s="172" t="s">
        <v>41</v>
      </c>
      <c r="C106" s="207">
        <v>9297</v>
      </c>
      <c r="D106" s="207">
        <v>9868</v>
      </c>
      <c r="E106" s="207">
        <v>2976</v>
      </c>
      <c r="F106" s="207">
        <v>2236</v>
      </c>
      <c r="G106" s="207">
        <v>1852</v>
      </c>
      <c r="H106" s="207">
        <v>2778</v>
      </c>
      <c r="I106" s="207">
        <v>3200</v>
      </c>
      <c r="J106" s="207">
        <v>3030</v>
      </c>
      <c r="K106" s="207">
        <v>1920</v>
      </c>
      <c r="L106" s="207">
        <v>2076</v>
      </c>
      <c r="M106" s="207">
        <v>3151</v>
      </c>
      <c r="N106" s="207">
        <v>3376</v>
      </c>
      <c r="O106" s="207">
        <v>2068</v>
      </c>
      <c r="P106" s="207">
        <v>2566.154552</v>
      </c>
    </row>
    <row r="107" spans="2:16" ht="15.5">
      <c r="B107" s="232" t="s">
        <v>42</v>
      </c>
      <c r="C107" s="244">
        <v>20530</v>
      </c>
      <c r="D107" s="244">
        <v>19541</v>
      </c>
      <c r="E107" s="244">
        <v>4531</v>
      </c>
      <c r="F107" s="244">
        <v>4039</v>
      </c>
      <c r="G107" s="244">
        <v>3958</v>
      </c>
      <c r="H107" s="244">
        <v>3889</v>
      </c>
      <c r="I107" s="244">
        <v>3951</v>
      </c>
      <c r="J107" s="244">
        <v>3877</v>
      </c>
      <c r="K107" s="244">
        <v>3669</v>
      </c>
      <c r="L107" s="244">
        <v>3534</v>
      </c>
      <c r="M107" s="244">
        <v>3548</v>
      </c>
      <c r="N107" s="244">
        <v>3011</v>
      </c>
      <c r="O107" s="244">
        <v>2185</v>
      </c>
      <c r="P107" s="244">
        <v>2602.7128219999995</v>
      </c>
    </row>
    <row r="108" spans="2:16" ht="15.5">
      <c r="B108" s="174" t="s">
        <v>43</v>
      </c>
      <c r="C108" s="208">
        <v>20921</v>
      </c>
      <c r="D108" s="208">
        <v>19754</v>
      </c>
      <c r="E108" s="208">
        <v>4598</v>
      </c>
      <c r="F108" s="208">
        <v>4056</v>
      </c>
      <c r="G108" s="208">
        <v>4035</v>
      </c>
      <c r="H108" s="208">
        <v>3934</v>
      </c>
      <c r="I108" s="208">
        <v>4195</v>
      </c>
      <c r="J108" s="208">
        <v>4125</v>
      </c>
      <c r="K108" s="208">
        <v>3700</v>
      </c>
      <c r="L108" s="208">
        <v>3771</v>
      </c>
      <c r="M108" s="208">
        <v>3539</v>
      </c>
      <c r="N108" s="208">
        <v>3031</v>
      </c>
      <c r="O108" s="208">
        <v>2257</v>
      </c>
      <c r="P108" s="208">
        <v>3006.1182929999995</v>
      </c>
    </row>
    <row r="109" spans="2:16" ht="15.5">
      <c r="B109" s="171"/>
      <c r="C109" s="9"/>
      <c r="D109" s="9"/>
      <c r="E109" s="9"/>
      <c r="F109" s="271"/>
      <c r="G109" s="9"/>
      <c r="H109" s="9"/>
      <c r="I109" s="9"/>
      <c r="J109" s="9"/>
      <c r="K109" s="9"/>
      <c r="L109" s="9"/>
      <c r="M109" s="9"/>
      <c r="N109" s="9"/>
      <c r="O109" s="9"/>
      <c r="P109" s="9"/>
    </row>
    <row r="110" spans="2:16" ht="15.5">
      <c r="B110" s="172" t="s">
        <v>44</v>
      </c>
      <c r="C110" s="207">
        <v>56</v>
      </c>
      <c r="D110" s="207">
        <v>72</v>
      </c>
      <c r="E110" s="207">
        <v>27</v>
      </c>
      <c r="F110" s="207">
        <v>15</v>
      </c>
      <c r="G110" s="207">
        <v>21</v>
      </c>
      <c r="H110" s="207">
        <v>21</v>
      </c>
      <c r="I110" s="207">
        <v>21</v>
      </c>
      <c r="J110" s="207">
        <v>30</v>
      </c>
      <c r="K110" s="207">
        <v>33</v>
      </c>
      <c r="L110" s="207">
        <v>33</v>
      </c>
      <c r="M110" s="207">
        <v>33</v>
      </c>
      <c r="N110" s="207">
        <v>35</v>
      </c>
      <c r="O110" s="207">
        <v>34</v>
      </c>
      <c r="P110" s="207">
        <v>35.991820000000004</v>
      </c>
    </row>
    <row r="111" spans="2:16" ht="15.5">
      <c r="B111" s="172" t="s">
        <v>45</v>
      </c>
      <c r="C111" s="207">
        <v>0</v>
      </c>
      <c r="D111" s="207">
        <v>0</v>
      </c>
      <c r="E111" s="207">
        <v>0</v>
      </c>
      <c r="F111" s="207">
        <v>0</v>
      </c>
      <c r="G111" s="207">
        <v>0</v>
      </c>
      <c r="H111" s="207">
        <v>0</v>
      </c>
      <c r="I111" s="207">
        <v>0</v>
      </c>
      <c r="J111" s="207">
        <v>0</v>
      </c>
      <c r="K111" s="207">
        <v>0</v>
      </c>
      <c r="L111" s="207">
        <v>0</v>
      </c>
      <c r="M111" s="207">
        <v>0</v>
      </c>
      <c r="N111" s="207">
        <v>0</v>
      </c>
      <c r="O111" s="207">
        <v>0</v>
      </c>
      <c r="P111" s="207"/>
    </row>
    <row r="112" spans="2:16" ht="15.5">
      <c r="B112" s="172" t="s">
        <v>46</v>
      </c>
      <c r="C112" s="207">
        <v>-229</v>
      </c>
      <c r="D112" s="207">
        <v>45</v>
      </c>
      <c r="E112" s="207">
        <v>0</v>
      </c>
      <c r="F112" s="207">
        <v>0</v>
      </c>
      <c r="G112" s="207">
        <v>1</v>
      </c>
      <c r="H112" s="207">
        <v>4</v>
      </c>
      <c r="I112" s="207">
        <v>13</v>
      </c>
      <c r="J112" s="207">
        <v>7</v>
      </c>
      <c r="K112" s="207">
        <v>3</v>
      </c>
      <c r="L112" s="207">
        <v>-1</v>
      </c>
      <c r="M112" s="207">
        <v>2</v>
      </c>
      <c r="N112" s="207">
        <v>-117</v>
      </c>
      <c r="O112" s="207">
        <v>97</v>
      </c>
      <c r="P112" s="207">
        <v>-11.393132000000005</v>
      </c>
    </row>
    <row r="113" spans="2:16" ht="15.5">
      <c r="B113" s="174" t="s">
        <v>47</v>
      </c>
      <c r="C113" s="209">
        <v>20636</v>
      </c>
      <c r="D113" s="209">
        <v>19727</v>
      </c>
      <c r="E113" s="209">
        <v>4571</v>
      </c>
      <c r="F113" s="209">
        <v>4041</v>
      </c>
      <c r="G113" s="209">
        <v>4015</v>
      </c>
      <c r="H113" s="209">
        <v>3917</v>
      </c>
      <c r="I113" s="209">
        <v>4187</v>
      </c>
      <c r="J113" s="209">
        <v>4102</v>
      </c>
      <c r="K113" s="209">
        <v>3670</v>
      </c>
      <c r="L113" s="209">
        <v>3737</v>
      </c>
      <c r="M113" s="209">
        <v>3508</v>
      </c>
      <c r="N113" s="209">
        <v>2879</v>
      </c>
      <c r="O113" s="209">
        <v>2320</v>
      </c>
      <c r="P113" s="209">
        <v>2958.7333409999992</v>
      </c>
    </row>
    <row r="114" spans="2:16" ht="15.5">
      <c r="B114" s="172"/>
      <c r="C114" s="207"/>
      <c r="D114" s="207"/>
      <c r="E114" s="207"/>
      <c r="F114" s="207"/>
      <c r="G114" s="207"/>
      <c r="H114" s="207"/>
      <c r="I114" s="207"/>
      <c r="J114" s="207"/>
      <c r="K114" s="207"/>
      <c r="L114" s="207"/>
      <c r="M114" s="207"/>
      <c r="N114" s="207"/>
      <c r="O114" s="207"/>
      <c r="P114" s="207"/>
    </row>
    <row r="115" spans="2:16" ht="15.5">
      <c r="B115" s="172" t="s">
        <v>48</v>
      </c>
      <c r="C115" s="207">
        <v>-13312</v>
      </c>
      <c r="D115" s="207">
        <v>-12664</v>
      </c>
      <c r="E115" s="207">
        <v>-2781</v>
      </c>
      <c r="F115" s="207">
        <v>-2679</v>
      </c>
      <c r="G115" s="207">
        <v>-2561</v>
      </c>
      <c r="H115" s="207">
        <v>-2311</v>
      </c>
      <c r="I115" s="207">
        <v>-2067</v>
      </c>
      <c r="J115" s="207">
        <v>-2087</v>
      </c>
      <c r="K115" s="207">
        <v>-1681</v>
      </c>
      <c r="L115" s="207">
        <v>-2031</v>
      </c>
      <c r="M115" s="207">
        <v>-2012</v>
      </c>
      <c r="N115" s="207">
        <v>-1682</v>
      </c>
      <c r="O115" s="207">
        <v>-1510</v>
      </c>
      <c r="P115" s="207">
        <v>-1881.9900979999993</v>
      </c>
    </row>
    <row r="116" spans="2:16" ht="15.5">
      <c r="B116" s="174" t="s">
        <v>49</v>
      </c>
      <c r="C116" s="209">
        <v>7324</v>
      </c>
      <c r="D116" s="209">
        <v>7063</v>
      </c>
      <c r="E116" s="209">
        <v>1790</v>
      </c>
      <c r="F116" s="209">
        <v>1362</v>
      </c>
      <c r="G116" s="209">
        <v>1454</v>
      </c>
      <c r="H116" s="209">
        <v>1606</v>
      </c>
      <c r="I116" s="209">
        <v>2120</v>
      </c>
      <c r="J116" s="209">
        <v>2015</v>
      </c>
      <c r="K116" s="209">
        <v>1989</v>
      </c>
      <c r="L116" s="209">
        <v>1706</v>
      </c>
      <c r="M116" s="209">
        <v>1496</v>
      </c>
      <c r="N116" s="209">
        <v>1197</v>
      </c>
      <c r="O116" s="209">
        <v>810</v>
      </c>
      <c r="P116" s="209">
        <v>1076.7432429999999</v>
      </c>
    </row>
    <row r="117" spans="2:16" ht="15.5">
      <c r="B117" s="171"/>
      <c r="C117" s="9"/>
      <c r="D117" s="9"/>
      <c r="E117" s="9"/>
      <c r="F117" s="9"/>
      <c r="G117" s="9"/>
      <c r="H117" s="9"/>
      <c r="I117" s="9"/>
      <c r="J117" s="9"/>
      <c r="K117" s="9"/>
      <c r="L117" s="9"/>
      <c r="M117" s="9"/>
      <c r="N117" s="9"/>
      <c r="O117" s="9"/>
      <c r="P117" s="9"/>
    </row>
    <row r="118" spans="2:16" ht="15.5">
      <c r="B118" s="172" t="s">
        <v>50</v>
      </c>
      <c r="C118" s="207">
        <v>196</v>
      </c>
      <c r="D118" s="207">
        <v>588</v>
      </c>
      <c r="E118" s="207">
        <v>111</v>
      </c>
      <c r="F118" s="207">
        <v>-68</v>
      </c>
      <c r="G118" s="207">
        <v>66</v>
      </c>
      <c r="H118" s="207">
        <v>54</v>
      </c>
      <c r="I118" s="207">
        <v>572</v>
      </c>
      <c r="J118" s="207">
        <v>-197</v>
      </c>
      <c r="K118" s="207">
        <v>294</v>
      </c>
      <c r="L118" s="207">
        <v>75</v>
      </c>
      <c r="M118" s="207">
        <v>-54</v>
      </c>
      <c r="N118" s="207">
        <v>198</v>
      </c>
      <c r="O118" s="207">
        <v>154</v>
      </c>
      <c r="P118" s="207">
        <v>-203.27058799999998</v>
      </c>
    </row>
    <row r="119" spans="2:16" ht="15.5">
      <c r="B119" s="174" t="s">
        <v>53</v>
      </c>
      <c r="C119" s="209">
        <v>7128</v>
      </c>
      <c r="D119" s="209">
        <v>6475</v>
      </c>
      <c r="E119" s="209">
        <v>1679</v>
      </c>
      <c r="F119" s="209">
        <v>1430</v>
      </c>
      <c r="G119" s="209">
        <v>1388</v>
      </c>
      <c r="H119" s="209">
        <v>1552</v>
      </c>
      <c r="I119" s="209">
        <v>1548</v>
      </c>
      <c r="J119" s="209">
        <v>2212</v>
      </c>
      <c r="K119" s="209">
        <v>1695</v>
      </c>
      <c r="L119" s="209">
        <v>1631</v>
      </c>
      <c r="M119" s="209">
        <v>1550</v>
      </c>
      <c r="N119" s="209">
        <v>999</v>
      </c>
      <c r="O119" s="209">
        <v>656</v>
      </c>
      <c r="P119" s="209">
        <v>1280.0138309999998</v>
      </c>
    </row>
    <row r="120" spans="2:16" ht="15.5">
      <c r="B120" s="233"/>
      <c r="C120" s="233"/>
      <c r="D120" s="233"/>
      <c r="E120" s="233"/>
      <c r="F120" s="233"/>
      <c r="G120" s="233"/>
      <c r="H120" s="233"/>
      <c r="I120" s="233"/>
      <c r="J120" s="233"/>
      <c r="K120" s="233"/>
      <c r="L120" s="233"/>
      <c r="M120" s="233"/>
      <c r="N120" s="233"/>
      <c r="O120" s="233"/>
      <c r="P120" s="106"/>
    </row>
    <row r="121" spans="2:16" ht="15.5">
      <c r="B121" s="125" t="s">
        <v>398</v>
      </c>
      <c r="C121" s="233"/>
      <c r="D121" s="233"/>
      <c r="E121" s="233"/>
      <c r="F121" s="233"/>
      <c r="G121" s="233"/>
      <c r="H121" s="177"/>
      <c r="I121" s="177"/>
      <c r="J121" s="177"/>
      <c r="K121" s="177"/>
      <c r="L121" s="177"/>
      <c r="M121" s="177"/>
      <c r="N121" s="177"/>
      <c r="O121" s="177"/>
      <c r="P121" s="106"/>
    </row>
    <row r="122" spans="2:16" ht="15.5">
      <c r="B122" s="258" t="s">
        <v>393</v>
      </c>
      <c r="C122" s="233"/>
      <c r="D122" s="233"/>
      <c r="E122" s="233"/>
      <c r="F122" s="233"/>
      <c r="G122" s="233"/>
      <c r="H122" s="178"/>
      <c r="I122" s="178"/>
      <c r="J122" s="178"/>
      <c r="K122" s="178"/>
      <c r="L122" s="178"/>
      <c r="M122" s="178"/>
      <c r="N122" s="178"/>
      <c r="O122" s="178"/>
      <c r="P122" s="106"/>
    </row>
    <row r="123" spans="2:16" ht="10" customHeight="1">
      <c r="B123" s="179"/>
      <c r="C123" s="233"/>
      <c r="D123" s="233"/>
      <c r="E123" s="233"/>
      <c r="F123" s="233"/>
      <c r="G123" s="233"/>
      <c r="H123" s="179"/>
      <c r="I123" s="179"/>
      <c r="J123" s="179"/>
      <c r="K123" s="179"/>
      <c r="L123" s="179"/>
      <c r="M123" s="179"/>
      <c r="N123" s="179"/>
      <c r="O123" s="179"/>
      <c r="P123" s="106"/>
    </row>
    <row r="124" spans="2:16" s="106" customFormat="1" ht="15.5" thickBot="1">
      <c r="B124" s="241"/>
      <c r="C124" s="242">
        <v>2016</v>
      </c>
      <c r="D124" s="242">
        <v>2017</v>
      </c>
      <c r="E124" s="242" t="s">
        <v>20</v>
      </c>
      <c r="F124" s="242" t="s">
        <v>21</v>
      </c>
      <c r="G124" s="242" t="s">
        <v>22</v>
      </c>
      <c r="H124" s="242" t="s">
        <v>23</v>
      </c>
      <c r="I124" s="242" t="s">
        <v>24</v>
      </c>
      <c r="J124" s="242" t="s">
        <v>25</v>
      </c>
      <c r="K124" s="242" t="s">
        <v>26</v>
      </c>
      <c r="L124" s="242" t="s">
        <v>27</v>
      </c>
      <c r="M124" s="242" t="s">
        <v>28</v>
      </c>
      <c r="N124" s="242" t="s">
        <v>29</v>
      </c>
      <c r="O124" s="242" t="s">
        <v>30</v>
      </c>
      <c r="P124" s="635" t="s">
        <v>954</v>
      </c>
    </row>
    <row r="125" spans="2:16" s="106" customFormat="1" ht="15">
      <c r="B125" s="272" t="s">
        <v>56</v>
      </c>
      <c r="C125" s="273"/>
      <c r="D125" s="273"/>
      <c r="E125" s="273"/>
      <c r="F125" s="273"/>
      <c r="G125" s="273"/>
      <c r="H125" s="273"/>
      <c r="I125" s="273"/>
      <c r="J125" s="273"/>
      <c r="K125" s="273"/>
      <c r="L125" s="273"/>
      <c r="M125" s="273"/>
      <c r="N125" s="273"/>
      <c r="O125" s="273"/>
      <c r="P125" s="273"/>
    </row>
    <row r="126" spans="2:16" ht="15.5" thickBot="1">
      <c r="B126" s="274" t="s">
        <v>57</v>
      </c>
      <c r="C126" s="217"/>
      <c r="D126" s="217"/>
      <c r="E126" s="217"/>
      <c r="F126" s="217"/>
      <c r="G126" s="217"/>
      <c r="H126" s="217"/>
      <c r="I126" s="217"/>
      <c r="J126" s="217"/>
      <c r="K126" s="217"/>
      <c r="L126" s="217"/>
      <c r="M126" s="217"/>
      <c r="N126" s="217"/>
      <c r="O126" s="217"/>
      <c r="P126" s="217"/>
    </row>
    <row r="127" spans="2:16" ht="15.5">
      <c r="B127" s="302" t="s">
        <v>58</v>
      </c>
      <c r="C127" s="199">
        <v>17994</v>
      </c>
      <c r="D127" s="199">
        <v>15903</v>
      </c>
      <c r="E127" s="199">
        <v>21306</v>
      </c>
      <c r="F127" s="199">
        <v>32668</v>
      </c>
      <c r="G127" s="199">
        <v>19631</v>
      </c>
      <c r="H127" s="199">
        <v>25310</v>
      </c>
      <c r="I127" s="199">
        <v>25644</v>
      </c>
      <c r="J127" s="199">
        <v>20738</v>
      </c>
      <c r="K127" s="199">
        <v>16854</v>
      </c>
      <c r="L127" s="199">
        <v>22114</v>
      </c>
      <c r="M127" s="199">
        <v>19856</v>
      </c>
      <c r="N127" s="199">
        <v>18379</v>
      </c>
      <c r="O127" s="199">
        <v>12458</v>
      </c>
      <c r="P127" s="199">
        <v>15233.452464</v>
      </c>
    </row>
    <row r="128" spans="2:16" ht="15.5">
      <c r="B128" s="302" t="s">
        <v>59</v>
      </c>
      <c r="C128" s="199">
        <v>58149</v>
      </c>
      <c r="D128" s="199">
        <v>65224</v>
      </c>
      <c r="E128" s="199">
        <v>61291</v>
      </c>
      <c r="F128" s="199">
        <v>55916</v>
      </c>
      <c r="G128" s="199">
        <v>58298</v>
      </c>
      <c r="H128" s="199">
        <v>64078</v>
      </c>
      <c r="I128" s="199">
        <v>62728</v>
      </c>
      <c r="J128" s="199">
        <v>68968</v>
      </c>
      <c r="K128" s="199">
        <v>63013</v>
      </c>
      <c r="L128" s="199">
        <v>68405</v>
      </c>
      <c r="M128" s="199">
        <v>67734</v>
      </c>
      <c r="N128" s="199">
        <v>72350</v>
      </c>
      <c r="O128" s="199">
        <v>58162</v>
      </c>
      <c r="P128" s="199">
        <v>67877.837167999998</v>
      </c>
    </row>
    <row r="129" spans="2:16" ht="15.5">
      <c r="B129" s="302" t="s">
        <v>60</v>
      </c>
      <c r="C129" s="199">
        <v>4</v>
      </c>
      <c r="D129" s="199">
        <v>6</v>
      </c>
      <c r="E129" s="199">
        <v>6</v>
      </c>
      <c r="F129" s="199">
        <v>6</v>
      </c>
      <c r="G129" s="199">
        <v>6</v>
      </c>
      <c r="H129" s="199">
        <v>6</v>
      </c>
      <c r="I129" s="199">
        <v>9</v>
      </c>
      <c r="J129" s="199">
        <v>9</v>
      </c>
      <c r="K129" s="199">
        <v>10</v>
      </c>
      <c r="L129" s="199">
        <v>10</v>
      </c>
      <c r="M129" s="199">
        <v>9</v>
      </c>
      <c r="N129" s="199">
        <v>577</v>
      </c>
      <c r="O129" s="199">
        <v>577</v>
      </c>
      <c r="P129" s="199">
        <v>580.93899899999997</v>
      </c>
    </row>
    <row r="130" spans="2:16" ht="15.5">
      <c r="B130" s="302" t="s">
        <v>62</v>
      </c>
      <c r="C130" s="199">
        <v>315</v>
      </c>
      <c r="D130" s="199">
        <v>264</v>
      </c>
      <c r="E130" s="199">
        <v>163</v>
      </c>
      <c r="F130" s="199">
        <v>613</v>
      </c>
      <c r="G130" s="199">
        <v>544</v>
      </c>
      <c r="H130" s="199">
        <v>422</v>
      </c>
      <c r="I130" s="199">
        <v>330</v>
      </c>
      <c r="J130" s="199">
        <v>275</v>
      </c>
      <c r="K130" s="199">
        <v>163</v>
      </c>
      <c r="L130" s="199">
        <v>455</v>
      </c>
      <c r="M130" s="199">
        <v>3956</v>
      </c>
      <c r="N130" s="199">
        <v>439</v>
      </c>
      <c r="O130" s="199">
        <v>271</v>
      </c>
      <c r="P130" s="199">
        <v>666.55438800000002</v>
      </c>
    </row>
    <row r="131" spans="2:16" ht="15.5">
      <c r="B131" s="302" t="s">
        <v>319</v>
      </c>
      <c r="C131" s="199">
        <v>0</v>
      </c>
      <c r="D131" s="199">
        <v>0</v>
      </c>
      <c r="E131" s="199">
        <v>0</v>
      </c>
      <c r="F131" s="199">
        <v>0</v>
      </c>
      <c r="G131" s="199">
        <v>0</v>
      </c>
      <c r="H131" s="199">
        <v>0</v>
      </c>
      <c r="I131" s="199">
        <v>0</v>
      </c>
      <c r="J131" s="199">
        <v>0</v>
      </c>
      <c r="K131" s="199">
        <v>0</v>
      </c>
      <c r="L131" s="199">
        <v>0</v>
      </c>
      <c r="M131" s="199">
        <v>0</v>
      </c>
      <c r="N131" s="199">
        <v>0</v>
      </c>
      <c r="O131" s="199">
        <v>0</v>
      </c>
      <c r="P131" s="199">
        <v>0</v>
      </c>
    </row>
    <row r="132" spans="2:16" ht="15.5">
      <c r="B132" s="302" t="s">
        <v>63</v>
      </c>
      <c r="C132" s="199">
        <v>0</v>
      </c>
      <c r="D132" s="199">
        <v>0</v>
      </c>
      <c r="E132" s="199">
        <v>0</v>
      </c>
      <c r="F132" s="199">
        <v>0</v>
      </c>
      <c r="G132" s="199">
        <v>0</v>
      </c>
      <c r="H132" s="199">
        <v>0</v>
      </c>
      <c r="I132" s="199">
        <v>0</v>
      </c>
      <c r="J132" s="199">
        <v>0</v>
      </c>
      <c r="K132" s="199">
        <v>0</v>
      </c>
      <c r="L132" s="199">
        <v>0</v>
      </c>
      <c r="M132" s="199">
        <v>0</v>
      </c>
      <c r="N132" s="199">
        <v>0</v>
      </c>
      <c r="O132" s="199">
        <v>0</v>
      </c>
      <c r="P132" s="199">
        <v>0</v>
      </c>
    </row>
    <row r="133" spans="2:16" ht="15">
      <c r="B133" s="222" t="s">
        <v>64</v>
      </c>
      <c r="C133" s="278">
        <v>76462</v>
      </c>
      <c r="D133" s="278">
        <v>81397</v>
      </c>
      <c r="E133" s="278">
        <v>82766</v>
      </c>
      <c r="F133" s="278">
        <v>89203</v>
      </c>
      <c r="G133" s="278">
        <v>78479</v>
      </c>
      <c r="H133" s="278">
        <v>89816</v>
      </c>
      <c r="I133" s="278">
        <v>88711</v>
      </c>
      <c r="J133" s="278">
        <v>89990</v>
      </c>
      <c r="K133" s="278">
        <v>80040</v>
      </c>
      <c r="L133" s="278">
        <v>90984</v>
      </c>
      <c r="M133" s="278">
        <v>91555</v>
      </c>
      <c r="N133" s="278">
        <v>91745</v>
      </c>
      <c r="O133" s="278">
        <v>71468</v>
      </c>
      <c r="P133" s="278">
        <f>SUM(P127:P132)</f>
        <v>84358.78301900001</v>
      </c>
    </row>
    <row r="134" spans="2:16" ht="15">
      <c r="B134" s="274" t="s">
        <v>65</v>
      </c>
      <c r="C134" s="275"/>
      <c r="D134" s="275"/>
      <c r="E134" s="275"/>
      <c r="F134" s="275"/>
      <c r="G134" s="275"/>
      <c r="H134" s="275"/>
      <c r="I134" s="275"/>
      <c r="J134" s="275"/>
      <c r="K134" s="275"/>
      <c r="L134" s="275"/>
      <c r="M134" s="275"/>
      <c r="N134" s="275"/>
      <c r="O134" s="275"/>
      <c r="P134" s="275"/>
    </row>
    <row r="135" spans="2:16" ht="15.5">
      <c r="B135" s="302" t="s">
        <v>66</v>
      </c>
      <c r="C135" s="199">
        <v>0</v>
      </c>
      <c r="D135" s="199">
        <v>0</v>
      </c>
      <c r="E135" s="199">
        <v>0</v>
      </c>
      <c r="F135" s="199">
        <v>0</v>
      </c>
      <c r="G135" s="199">
        <v>0</v>
      </c>
      <c r="H135" s="199">
        <v>0</v>
      </c>
      <c r="I135" s="199">
        <v>0</v>
      </c>
      <c r="J135" s="199">
        <v>0</v>
      </c>
      <c r="K135" s="199">
        <v>0</v>
      </c>
      <c r="L135" s="199">
        <v>0</v>
      </c>
      <c r="M135" s="199">
        <v>0</v>
      </c>
      <c r="N135" s="199">
        <v>0</v>
      </c>
      <c r="O135" s="199">
        <v>0</v>
      </c>
      <c r="P135" s="199">
        <v>0</v>
      </c>
    </row>
    <row r="136" spans="2:16" ht="15.5">
      <c r="B136" s="302" t="s">
        <v>67</v>
      </c>
      <c r="C136" s="199">
        <v>0</v>
      </c>
      <c r="D136" s="199">
        <v>0</v>
      </c>
      <c r="E136" s="199">
        <v>0</v>
      </c>
      <c r="F136" s="199">
        <v>0</v>
      </c>
      <c r="G136" s="199">
        <v>0</v>
      </c>
      <c r="H136" s="199">
        <v>0</v>
      </c>
      <c r="I136" s="199">
        <v>0</v>
      </c>
      <c r="J136" s="199">
        <v>0</v>
      </c>
      <c r="K136" s="199">
        <v>0</v>
      </c>
      <c r="L136" s="199">
        <v>0</v>
      </c>
      <c r="M136" s="199">
        <v>0</v>
      </c>
      <c r="N136" s="199">
        <v>0</v>
      </c>
      <c r="O136" s="199">
        <v>0</v>
      </c>
      <c r="P136" s="199">
        <v>0</v>
      </c>
    </row>
    <row r="137" spans="2:16" ht="30">
      <c r="B137" s="302" t="s">
        <v>114</v>
      </c>
      <c r="C137" s="199">
        <v>0</v>
      </c>
      <c r="D137" s="199">
        <v>0</v>
      </c>
      <c r="E137" s="199">
        <v>0</v>
      </c>
      <c r="F137" s="199">
        <v>0</v>
      </c>
      <c r="G137" s="199">
        <v>0</v>
      </c>
      <c r="H137" s="199">
        <v>0</v>
      </c>
      <c r="I137" s="199">
        <v>0</v>
      </c>
      <c r="J137" s="199">
        <v>0</v>
      </c>
      <c r="K137" s="199">
        <v>0</v>
      </c>
      <c r="L137" s="199">
        <v>0</v>
      </c>
      <c r="M137" s="199">
        <v>0</v>
      </c>
      <c r="N137" s="199">
        <v>0</v>
      </c>
      <c r="O137" s="199">
        <v>0</v>
      </c>
      <c r="P137" s="199">
        <v>0</v>
      </c>
    </row>
    <row r="138" spans="2:16" ht="15.5">
      <c r="B138" s="302" t="s">
        <v>115</v>
      </c>
      <c r="C138" s="199">
        <v>0</v>
      </c>
      <c r="D138" s="199">
        <v>0</v>
      </c>
      <c r="E138" s="199">
        <v>0</v>
      </c>
      <c r="F138" s="199">
        <v>0</v>
      </c>
      <c r="G138" s="199">
        <v>0</v>
      </c>
      <c r="H138" s="199">
        <v>0</v>
      </c>
      <c r="I138" s="199">
        <v>0</v>
      </c>
      <c r="J138" s="199">
        <v>0</v>
      </c>
      <c r="K138" s="199">
        <v>0</v>
      </c>
      <c r="L138" s="199">
        <v>0</v>
      </c>
      <c r="M138" s="199">
        <v>0</v>
      </c>
      <c r="N138" s="199">
        <v>0</v>
      </c>
      <c r="O138" s="199">
        <v>0</v>
      </c>
      <c r="P138" s="199">
        <v>0</v>
      </c>
    </row>
    <row r="139" spans="2:16" ht="15.5">
      <c r="B139" s="302" t="s">
        <v>59</v>
      </c>
      <c r="C139" s="199">
        <v>182000</v>
      </c>
      <c r="D139" s="199">
        <v>162376</v>
      </c>
      <c r="E139" s="199">
        <v>150789</v>
      </c>
      <c r="F139" s="199">
        <v>145668</v>
      </c>
      <c r="G139" s="199">
        <v>141484</v>
      </c>
      <c r="H139" s="199">
        <v>132927</v>
      </c>
      <c r="I139" s="199">
        <v>123926</v>
      </c>
      <c r="J139" s="199">
        <v>119778</v>
      </c>
      <c r="K139" s="199">
        <v>112822</v>
      </c>
      <c r="L139" s="199">
        <v>107777</v>
      </c>
      <c r="M139" s="199">
        <v>94637</v>
      </c>
      <c r="N139" s="199">
        <v>93251</v>
      </c>
      <c r="O139" s="199">
        <v>94262</v>
      </c>
      <c r="P139" s="199">
        <v>87898.453836000001</v>
      </c>
    </row>
    <row r="140" spans="2:16" ht="15.5">
      <c r="B140" s="302" t="s">
        <v>70</v>
      </c>
      <c r="C140" s="199">
        <v>0</v>
      </c>
      <c r="D140" s="199">
        <v>0</v>
      </c>
      <c r="E140" s="199">
        <v>0</v>
      </c>
      <c r="F140" s="199">
        <v>0</v>
      </c>
      <c r="G140" s="199">
        <v>0</v>
      </c>
      <c r="H140" s="199">
        <v>0</v>
      </c>
      <c r="I140" s="199">
        <v>0</v>
      </c>
      <c r="J140" s="199">
        <v>0</v>
      </c>
      <c r="K140" s="199">
        <v>0</v>
      </c>
      <c r="L140" s="199">
        <v>0</v>
      </c>
      <c r="M140" s="199">
        <v>0</v>
      </c>
      <c r="N140" s="199">
        <v>0</v>
      </c>
      <c r="O140" s="199">
        <v>0</v>
      </c>
      <c r="P140" s="199">
        <v>0</v>
      </c>
    </row>
    <row r="141" spans="2:16" ht="15.5">
      <c r="B141" s="302" t="s">
        <v>71</v>
      </c>
      <c r="C141" s="199">
        <v>80</v>
      </c>
      <c r="D141" s="199">
        <v>117</v>
      </c>
      <c r="E141" s="199">
        <v>105</v>
      </c>
      <c r="F141" s="199">
        <v>94</v>
      </c>
      <c r="G141" s="199">
        <v>84</v>
      </c>
      <c r="H141" s="199">
        <v>90</v>
      </c>
      <c r="I141" s="199">
        <v>158</v>
      </c>
      <c r="J141" s="199">
        <v>80</v>
      </c>
      <c r="K141" s="199">
        <v>91</v>
      </c>
      <c r="L141" s="199">
        <v>86</v>
      </c>
      <c r="M141" s="199">
        <v>84</v>
      </c>
      <c r="N141" s="199">
        <v>78</v>
      </c>
      <c r="O141" s="199">
        <v>71</v>
      </c>
      <c r="P141" s="199">
        <v>69.724816000000004</v>
      </c>
    </row>
    <row r="142" spans="2:16" ht="15.5">
      <c r="B142" s="302" t="s">
        <v>72</v>
      </c>
      <c r="C142" s="199">
        <v>0</v>
      </c>
      <c r="D142" s="199">
        <v>0</v>
      </c>
      <c r="E142" s="199">
        <v>0</v>
      </c>
      <c r="F142" s="199">
        <v>0</v>
      </c>
      <c r="G142" s="199">
        <v>0</v>
      </c>
      <c r="H142" s="199">
        <v>0</v>
      </c>
      <c r="I142" s="199">
        <v>0</v>
      </c>
      <c r="J142" s="199">
        <v>0</v>
      </c>
      <c r="K142" s="199">
        <v>0</v>
      </c>
      <c r="L142" s="199">
        <v>0</v>
      </c>
      <c r="M142" s="199">
        <v>0</v>
      </c>
      <c r="N142" s="199">
        <v>0</v>
      </c>
      <c r="O142" s="199">
        <v>0</v>
      </c>
      <c r="P142" s="199">
        <v>0</v>
      </c>
    </row>
    <row r="143" spans="2:16" ht="15.5">
      <c r="B143" s="302" t="s">
        <v>74</v>
      </c>
      <c r="C143" s="199">
        <v>115</v>
      </c>
      <c r="D143" s="199">
        <v>219</v>
      </c>
      <c r="E143" s="199">
        <v>209</v>
      </c>
      <c r="F143" s="199">
        <v>199</v>
      </c>
      <c r="G143" s="199">
        <v>197</v>
      </c>
      <c r="H143" s="199">
        <v>186</v>
      </c>
      <c r="I143" s="199">
        <v>199</v>
      </c>
      <c r="J143" s="199">
        <v>188</v>
      </c>
      <c r="K143" s="199">
        <v>177</v>
      </c>
      <c r="L143" s="199">
        <v>166</v>
      </c>
      <c r="M143" s="199">
        <v>167</v>
      </c>
      <c r="N143" s="199">
        <v>153</v>
      </c>
      <c r="O143" s="199">
        <v>138</v>
      </c>
      <c r="P143" s="199">
        <v>123.46214999999999</v>
      </c>
    </row>
    <row r="144" spans="2:16" ht="15.5">
      <c r="B144" s="302" t="s">
        <v>62</v>
      </c>
      <c r="C144" s="199">
        <v>0</v>
      </c>
      <c r="D144" s="199">
        <v>0</v>
      </c>
      <c r="E144" s="199">
        <v>0</v>
      </c>
      <c r="F144" s="199">
        <v>0</v>
      </c>
      <c r="G144" s="199">
        <v>0</v>
      </c>
      <c r="H144" s="199">
        <v>0</v>
      </c>
      <c r="I144" s="199">
        <v>0</v>
      </c>
      <c r="J144" s="199">
        <v>0</v>
      </c>
      <c r="K144" s="199">
        <v>0</v>
      </c>
      <c r="L144" s="199">
        <v>0</v>
      </c>
      <c r="M144" s="199">
        <v>0</v>
      </c>
      <c r="N144" s="199">
        <v>0</v>
      </c>
      <c r="O144" s="199">
        <v>0</v>
      </c>
      <c r="P144" s="199">
        <v>0</v>
      </c>
    </row>
    <row r="145" spans="2:16" ht="15.5">
      <c r="B145" s="302" t="s">
        <v>75</v>
      </c>
      <c r="C145" s="199">
        <v>6464</v>
      </c>
      <c r="D145" s="199">
        <v>5876</v>
      </c>
      <c r="E145" s="199">
        <v>5765</v>
      </c>
      <c r="F145" s="199">
        <v>5833</v>
      </c>
      <c r="G145" s="199">
        <v>5766</v>
      </c>
      <c r="H145" s="199">
        <v>5713</v>
      </c>
      <c r="I145" s="199">
        <v>5140</v>
      </c>
      <c r="J145" s="199">
        <v>5338</v>
      </c>
      <c r="K145" s="199">
        <v>5044</v>
      </c>
      <c r="L145" s="199">
        <v>4969</v>
      </c>
      <c r="M145" s="199">
        <v>5023</v>
      </c>
      <c r="N145" s="199">
        <v>4825</v>
      </c>
      <c r="O145" s="199">
        <v>4670</v>
      </c>
      <c r="P145" s="199">
        <v>4873.5888189999996</v>
      </c>
    </row>
    <row r="146" spans="2:16" ht="15.5">
      <c r="B146" s="302" t="s">
        <v>76</v>
      </c>
      <c r="C146" s="199">
        <v>0</v>
      </c>
      <c r="D146" s="199">
        <v>0</v>
      </c>
      <c r="E146" s="199">
        <v>0</v>
      </c>
      <c r="F146" s="199">
        <v>0</v>
      </c>
      <c r="G146" s="199">
        <v>0</v>
      </c>
      <c r="H146" s="199">
        <v>0</v>
      </c>
      <c r="I146" s="199">
        <v>-5</v>
      </c>
      <c r="J146" s="199">
        <v>171</v>
      </c>
      <c r="K146" s="199">
        <v>156</v>
      </c>
      <c r="L146" s="199">
        <v>141</v>
      </c>
      <c r="M146" s="199">
        <v>125</v>
      </c>
      <c r="N146" s="199">
        <v>112</v>
      </c>
      <c r="O146" s="199">
        <v>99</v>
      </c>
      <c r="P146" s="199">
        <v>86.242311999999998</v>
      </c>
    </row>
    <row r="147" spans="2:16" ht="15.5">
      <c r="B147" s="302" t="s">
        <v>63</v>
      </c>
      <c r="C147" s="199">
        <v>0</v>
      </c>
      <c r="D147" s="199">
        <v>0</v>
      </c>
      <c r="E147" s="199">
        <v>0</v>
      </c>
      <c r="F147" s="199">
        <v>0</v>
      </c>
      <c r="G147" s="199">
        <v>0</v>
      </c>
      <c r="H147" s="199">
        <v>0</v>
      </c>
      <c r="I147" s="199">
        <v>0</v>
      </c>
      <c r="J147" s="199">
        <v>0</v>
      </c>
      <c r="K147" s="199">
        <v>0</v>
      </c>
      <c r="L147" s="199">
        <v>0</v>
      </c>
      <c r="M147" s="199">
        <v>0</v>
      </c>
      <c r="N147" s="199">
        <v>0</v>
      </c>
      <c r="O147" s="199">
        <v>0</v>
      </c>
      <c r="P147" s="199">
        <v>0</v>
      </c>
    </row>
    <row r="148" spans="2:16" ht="15">
      <c r="B148" s="274" t="s">
        <v>78</v>
      </c>
      <c r="C148" s="279">
        <v>188659</v>
      </c>
      <c r="D148" s="279">
        <v>168588</v>
      </c>
      <c r="E148" s="279">
        <v>156868</v>
      </c>
      <c r="F148" s="279">
        <v>151794</v>
      </c>
      <c r="G148" s="279">
        <v>147531</v>
      </c>
      <c r="H148" s="279">
        <v>138916</v>
      </c>
      <c r="I148" s="279">
        <v>129418</v>
      </c>
      <c r="J148" s="279">
        <v>125555</v>
      </c>
      <c r="K148" s="279">
        <v>118290</v>
      </c>
      <c r="L148" s="279">
        <v>113139</v>
      </c>
      <c r="M148" s="279">
        <v>100036</v>
      </c>
      <c r="N148" s="279">
        <v>98419</v>
      </c>
      <c r="O148" s="279">
        <v>99240</v>
      </c>
      <c r="P148" s="279">
        <f>SUM(P135:P147)</f>
        <v>93051.471933000008</v>
      </c>
    </row>
    <row r="149" spans="2:16" ht="15">
      <c r="B149" s="222" t="s">
        <v>79</v>
      </c>
      <c r="C149" s="278">
        <v>265121</v>
      </c>
      <c r="D149" s="278">
        <v>249985</v>
      </c>
      <c r="E149" s="278">
        <v>239634</v>
      </c>
      <c r="F149" s="278">
        <v>240997</v>
      </c>
      <c r="G149" s="278">
        <v>226010</v>
      </c>
      <c r="H149" s="278">
        <v>228732</v>
      </c>
      <c r="I149" s="278">
        <v>218129</v>
      </c>
      <c r="J149" s="278">
        <v>215545</v>
      </c>
      <c r="K149" s="278">
        <v>198330</v>
      </c>
      <c r="L149" s="278">
        <v>204123</v>
      </c>
      <c r="M149" s="278">
        <v>191591</v>
      </c>
      <c r="N149" s="278">
        <v>190164</v>
      </c>
      <c r="O149" s="278">
        <v>170708</v>
      </c>
      <c r="P149" s="278">
        <f>+P133+P148</f>
        <v>177410.25495200002</v>
      </c>
    </row>
    <row r="150" spans="2:16" ht="15">
      <c r="B150" s="224"/>
      <c r="C150" s="280"/>
      <c r="D150" s="280"/>
      <c r="E150" s="280"/>
      <c r="F150" s="280"/>
      <c r="G150" s="280"/>
      <c r="H150" s="280"/>
      <c r="I150" s="280"/>
      <c r="J150" s="280"/>
      <c r="K150" s="280"/>
      <c r="L150" s="280"/>
      <c r="M150" s="280"/>
      <c r="N150" s="280"/>
      <c r="O150" s="280"/>
      <c r="P150" s="280"/>
    </row>
    <row r="151" spans="2:16" ht="15">
      <c r="B151" s="281" t="s">
        <v>80</v>
      </c>
      <c r="C151" s="282"/>
      <c r="D151" s="282"/>
      <c r="E151" s="282"/>
      <c r="F151" s="282"/>
      <c r="G151" s="282"/>
      <c r="H151" s="282"/>
      <c r="I151" s="282"/>
      <c r="J151" s="282"/>
      <c r="K151" s="282"/>
      <c r="L151" s="282"/>
      <c r="M151" s="282"/>
      <c r="N151" s="282"/>
      <c r="O151" s="282"/>
      <c r="P151" s="282"/>
    </row>
    <row r="152" spans="2:16" ht="15">
      <c r="B152" s="274" t="s">
        <v>81</v>
      </c>
      <c r="C152" s="283"/>
      <c r="D152" s="283"/>
      <c r="E152" s="283"/>
      <c r="F152" s="283"/>
      <c r="G152" s="283"/>
      <c r="H152" s="283"/>
      <c r="I152" s="283"/>
      <c r="J152" s="283"/>
      <c r="K152" s="283"/>
      <c r="L152" s="283"/>
      <c r="M152" s="283"/>
      <c r="N152" s="283"/>
      <c r="O152" s="283"/>
      <c r="P152" s="283"/>
    </row>
    <row r="153" spans="2:16" ht="15.5">
      <c r="B153" s="302" t="s">
        <v>82</v>
      </c>
      <c r="C153" s="199">
        <v>25310</v>
      </c>
      <c r="D153" s="199">
        <v>31122</v>
      </c>
      <c r="E153" s="199">
        <v>27246</v>
      </c>
      <c r="F153" s="199">
        <v>28638</v>
      </c>
      <c r="G153" s="199">
        <v>29062</v>
      </c>
      <c r="H153" s="199">
        <v>30196</v>
      </c>
      <c r="I153" s="199">
        <v>30700</v>
      </c>
      <c r="J153" s="199">
        <v>32021</v>
      </c>
      <c r="K153" s="199">
        <v>33127</v>
      </c>
      <c r="L153" s="199">
        <v>34180</v>
      </c>
      <c r="M153" s="199">
        <v>35165</v>
      </c>
      <c r="N153" s="199">
        <v>35836</v>
      </c>
      <c r="O153" s="199">
        <v>37358</v>
      </c>
      <c r="P153" s="199">
        <v>37334.165015999999</v>
      </c>
    </row>
    <row r="154" spans="2:16" ht="15.5">
      <c r="B154" s="302" t="s">
        <v>83</v>
      </c>
      <c r="C154" s="199">
        <v>7165</v>
      </c>
      <c r="D154" s="199">
        <v>8339</v>
      </c>
      <c r="E154" s="199">
        <v>7033</v>
      </c>
      <c r="F154" s="199">
        <v>7498</v>
      </c>
      <c r="G154" s="199">
        <v>7246</v>
      </c>
      <c r="H154" s="199">
        <v>8112</v>
      </c>
      <c r="I154" s="199">
        <v>4463</v>
      </c>
      <c r="J154" s="199">
        <v>7923</v>
      </c>
      <c r="K154" s="199">
        <v>7551</v>
      </c>
      <c r="L154" s="199">
        <v>8251</v>
      </c>
      <c r="M154" s="199">
        <v>9108</v>
      </c>
      <c r="N154" s="199">
        <v>7958</v>
      </c>
      <c r="O154" s="199">
        <v>8728</v>
      </c>
      <c r="P154" s="199">
        <v>11769.729023</v>
      </c>
    </row>
    <row r="155" spans="2:16" ht="15.5">
      <c r="B155" s="302" t="s">
        <v>85</v>
      </c>
      <c r="C155" s="199">
        <v>18</v>
      </c>
      <c r="D155" s="199">
        <v>16</v>
      </c>
      <c r="E155" s="199">
        <v>44</v>
      </c>
      <c r="F155" s="199">
        <v>14</v>
      </c>
      <c r="G155" s="199">
        <v>18</v>
      </c>
      <c r="H155" s="199">
        <v>21</v>
      </c>
      <c r="I155" s="199">
        <v>16</v>
      </c>
      <c r="J155" s="199">
        <v>17</v>
      </c>
      <c r="K155" s="199">
        <v>19</v>
      </c>
      <c r="L155" s="199">
        <v>22</v>
      </c>
      <c r="M155" s="199">
        <v>22</v>
      </c>
      <c r="N155" s="199">
        <v>28</v>
      </c>
      <c r="O155" s="199">
        <v>30</v>
      </c>
      <c r="P155" s="199">
        <v>29.352350999999999</v>
      </c>
    </row>
    <row r="156" spans="2:16" ht="15.5">
      <c r="B156" s="302" t="s">
        <v>60</v>
      </c>
      <c r="C156" s="199">
        <v>878</v>
      </c>
      <c r="D156" s="199">
        <v>1030</v>
      </c>
      <c r="E156" s="199">
        <v>827</v>
      </c>
      <c r="F156" s="199">
        <v>616</v>
      </c>
      <c r="G156" s="199">
        <v>582</v>
      </c>
      <c r="H156" s="199">
        <v>583</v>
      </c>
      <c r="I156" s="199">
        <v>647</v>
      </c>
      <c r="J156" s="199">
        <v>581</v>
      </c>
      <c r="K156" s="199">
        <v>643</v>
      </c>
      <c r="L156" s="199">
        <v>1491</v>
      </c>
      <c r="M156" s="199">
        <v>121</v>
      </c>
      <c r="N156" s="199">
        <v>403</v>
      </c>
      <c r="O156" s="199">
        <v>644</v>
      </c>
      <c r="P156" s="199">
        <v>723.85848599999997</v>
      </c>
    </row>
    <row r="157" spans="2:16" ht="15.5">
      <c r="B157" s="302" t="s">
        <v>86</v>
      </c>
      <c r="C157" s="199">
        <v>772</v>
      </c>
      <c r="D157" s="199">
        <v>858</v>
      </c>
      <c r="E157" s="199">
        <v>0</v>
      </c>
      <c r="F157" s="199">
        <v>0</v>
      </c>
      <c r="G157" s="199">
        <v>125</v>
      </c>
      <c r="H157" s="199">
        <v>0</v>
      </c>
      <c r="I157" s="199">
        <v>1408</v>
      </c>
      <c r="J157" s="199">
        <v>467</v>
      </c>
      <c r="K157" s="199">
        <v>229</v>
      </c>
      <c r="L157" s="199">
        <v>559</v>
      </c>
      <c r="M157" s="199">
        <v>138</v>
      </c>
      <c r="N157" s="199">
        <v>138</v>
      </c>
      <c r="O157" s="199">
        <v>138</v>
      </c>
      <c r="P157" s="199">
        <v>577.29338900000005</v>
      </c>
    </row>
    <row r="158" spans="2:16" ht="15.5">
      <c r="B158" s="302" t="s">
        <v>84</v>
      </c>
      <c r="C158" s="199">
        <v>152</v>
      </c>
      <c r="D158" s="199">
        <v>161</v>
      </c>
      <c r="E158" s="199">
        <v>128</v>
      </c>
      <c r="F158" s="199">
        <v>141</v>
      </c>
      <c r="G158" s="199">
        <v>156</v>
      </c>
      <c r="H158" s="199">
        <v>165</v>
      </c>
      <c r="I158" s="199">
        <v>131</v>
      </c>
      <c r="J158" s="199">
        <v>140</v>
      </c>
      <c r="K158" s="199">
        <v>149</v>
      </c>
      <c r="L158" s="199">
        <v>165</v>
      </c>
      <c r="M158" s="199">
        <v>135</v>
      </c>
      <c r="N158" s="199">
        <v>144</v>
      </c>
      <c r="O158" s="199">
        <v>152</v>
      </c>
      <c r="P158" s="199">
        <v>168.10815199999999</v>
      </c>
    </row>
    <row r="159" spans="2:16" ht="15.5">
      <c r="B159" s="302" t="s">
        <v>87</v>
      </c>
      <c r="C159" s="199">
        <v>0</v>
      </c>
      <c r="D159" s="199">
        <v>0</v>
      </c>
      <c r="E159" s="199">
        <v>0</v>
      </c>
      <c r="F159" s="199">
        <v>0</v>
      </c>
      <c r="G159" s="199">
        <v>0</v>
      </c>
      <c r="H159" s="199">
        <v>0</v>
      </c>
      <c r="I159" s="199">
        <v>0</v>
      </c>
      <c r="J159" s="199">
        <v>0</v>
      </c>
      <c r="K159" s="199">
        <v>0</v>
      </c>
      <c r="L159" s="199">
        <v>0</v>
      </c>
      <c r="M159" s="199">
        <v>0</v>
      </c>
      <c r="N159" s="199">
        <v>0</v>
      </c>
      <c r="O159" s="199">
        <v>0</v>
      </c>
      <c r="P159" s="199">
        <v>0</v>
      </c>
    </row>
    <row r="160" spans="2:16" ht="15.5">
      <c r="B160" s="302" t="s">
        <v>116</v>
      </c>
      <c r="C160" s="199">
        <v>0</v>
      </c>
      <c r="D160" s="199">
        <v>0</v>
      </c>
      <c r="E160" s="199">
        <v>0</v>
      </c>
      <c r="F160" s="199">
        <v>0</v>
      </c>
      <c r="G160" s="199">
        <v>0</v>
      </c>
      <c r="H160" s="199">
        <v>0</v>
      </c>
      <c r="I160" s="199">
        <v>0</v>
      </c>
      <c r="J160" s="199">
        <v>0</v>
      </c>
      <c r="K160" s="199">
        <v>0</v>
      </c>
      <c r="L160" s="199">
        <v>0</v>
      </c>
      <c r="M160" s="199">
        <v>0</v>
      </c>
      <c r="N160" s="199">
        <v>0</v>
      </c>
      <c r="O160" s="199">
        <v>0</v>
      </c>
      <c r="P160" s="199">
        <v>0</v>
      </c>
    </row>
    <row r="161" spans="2:16" ht="15">
      <c r="B161" s="274" t="s">
        <v>89</v>
      </c>
      <c r="C161" s="279">
        <v>34295</v>
      </c>
      <c r="D161" s="279">
        <v>41526</v>
      </c>
      <c r="E161" s="279">
        <v>35278</v>
      </c>
      <c r="F161" s="279">
        <v>36907</v>
      </c>
      <c r="G161" s="279">
        <v>37189</v>
      </c>
      <c r="H161" s="279">
        <v>39077</v>
      </c>
      <c r="I161" s="279">
        <v>37365</v>
      </c>
      <c r="J161" s="279">
        <v>41149</v>
      </c>
      <c r="K161" s="279">
        <v>41718</v>
      </c>
      <c r="L161" s="279">
        <v>44668</v>
      </c>
      <c r="M161" s="279">
        <v>44689</v>
      </c>
      <c r="N161" s="279">
        <v>44507</v>
      </c>
      <c r="O161" s="279">
        <v>47050</v>
      </c>
      <c r="P161" s="279">
        <f>SUM(P153:P160)</f>
        <v>50602.506416999997</v>
      </c>
    </row>
    <row r="162" spans="2:16" ht="15">
      <c r="B162" s="284" t="s">
        <v>90</v>
      </c>
      <c r="C162" s="285"/>
      <c r="D162" s="285"/>
      <c r="E162" s="285"/>
      <c r="F162" s="285"/>
      <c r="G162" s="285"/>
      <c r="H162" s="285"/>
      <c r="I162" s="285"/>
      <c r="J162" s="285"/>
      <c r="K162" s="285"/>
      <c r="L162" s="285"/>
      <c r="M162" s="285"/>
      <c r="N162" s="285"/>
      <c r="O162" s="285"/>
      <c r="P162" s="285"/>
    </row>
    <row r="163" spans="2:16" ht="15.5">
      <c r="B163" s="302" t="s">
        <v>82</v>
      </c>
      <c r="C163" s="199">
        <v>128683</v>
      </c>
      <c r="D163" s="199">
        <v>102848</v>
      </c>
      <c r="E163" s="199">
        <v>96132</v>
      </c>
      <c r="F163" s="199">
        <v>96612</v>
      </c>
      <c r="G163" s="199">
        <v>82198</v>
      </c>
      <c r="H163" s="199">
        <v>83008</v>
      </c>
      <c r="I163" s="199">
        <v>71740</v>
      </c>
      <c r="J163" s="199">
        <v>73944</v>
      </c>
      <c r="K163" s="199">
        <v>57213</v>
      </c>
      <c r="L163" s="199">
        <v>57708</v>
      </c>
      <c r="M163" s="199">
        <v>42853</v>
      </c>
      <c r="N163" s="199">
        <v>43289</v>
      </c>
      <c r="O163" s="199">
        <v>23745</v>
      </c>
      <c r="P163" s="199">
        <v>25209.750968</v>
      </c>
    </row>
    <row r="164" spans="2:16" ht="15.5">
      <c r="B164" s="302" t="s">
        <v>83</v>
      </c>
      <c r="C164" s="199">
        <v>29057</v>
      </c>
      <c r="D164" s="199">
        <v>26050</v>
      </c>
      <c r="E164" s="199">
        <v>26984</v>
      </c>
      <c r="F164" s="199">
        <v>24808</v>
      </c>
      <c r="G164" s="199">
        <v>22565</v>
      </c>
      <c r="H164" s="199">
        <v>21037</v>
      </c>
      <c r="I164" s="199">
        <v>21865</v>
      </c>
      <c r="J164" s="199">
        <v>19379</v>
      </c>
      <c r="K164" s="199">
        <v>16631</v>
      </c>
      <c r="L164" s="199">
        <v>17348</v>
      </c>
      <c r="M164" s="199">
        <v>18100</v>
      </c>
      <c r="N164" s="199">
        <v>15420</v>
      </c>
      <c r="O164" s="199">
        <v>12309</v>
      </c>
      <c r="P164" s="199">
        <v>12713.751821</v>
      </c>
    </row>
    <row r="165" spans="2:16" ht="15.5">
      <c r="B165" s="302" t="s">
        <v>91</v>
      </c>
      <c r="C165" s="199">
        <v>0</v>
      </c>
      <c r="D165" s="199">
        <v>0</v>
      </c>
      <c r="E165" s="199">
        <v>0</v>
      </c>
      <c r="F165" s="199">
        <v>0</v>
      </c>
      <c r="G165" s="199">
        <v>0</v>
      </c>
      <c r="H165" s="199">
        <v>0</v>
      </c>
      <c r="I165" s="199">
        <v>0</v>
      </c>
      <c r="J165" s="199">
        <v>0</v>
      </c>
      <c r="K165" s="199">
        <v>0</v>
      </c>
      <c r="L165" s="199">
        <v>0</v>
      </c>
      <c r="M165" s="199">
        <v>0</v>
      </c>
      <c r="N165" s="199">
        <v>0</v>
      </c>
      <c r="O165" s="199">
        <v>0</v>
      </c>
      <c r="P165" s="199">
        <v>0</v>
      </c>
    </row>
    <row r="166" spans="2:16" ht="15.5">
      <c r="B166" s="302" t="s">
        <v>85</v>
      </c>
      <c r="C166" s="199">
        <v>0</v>
      </c>
      <c r="D166" s="199">
        <v>0</v>
      </c>
      <c r="E166" s="199">
        <v>0</v>
      </c>
      <c r="F166" s="199">
        <v>0</v>
      </c>
      <c r="G166" s="199">
        <v>0</v>
      </c>
      <c r="H166" s="199">
        <v>0</v>
      </c>
      <c r="I166" s="199">
        <v>0</v>
      </c>
      <c r="J166" s="199">
        <v>0</v>
      </c>
      <c r="K166" s="199">
        <v>0</v>
      </c>
      <c r="L166" s="199">
        <v>0</v>
      </c>
      <c r="M166" s="199">
        <v>0</v>
      </c>
      <c r="N166" s="199">
        <v>0</v>
      </c>
      <c r="O166" s="199">
        <v>0</v>
      </c>
      <c r="P166" s="199">
        <v>0</v>
      </c>
    </row>
    <row r="167" spans="2:16" ht="15.5">
      <c r="B167" s="302" t="s">
        <v>86</v>
      </c>
      <c r="C167" s="199">
        <v>0</v>
      </c>
      <c r="D167" s="199">
        <v>0</v>
      </c>
      <c r="E167" s="199">
        <v>0</v>
      </c>
      <c r="F167" s="199">
        <v>0</v>
      </c>
      <c r="G167" s="199">
        <v>0</v>
      </c>
      <c r="H167" s="199">
        <v>0</v>
      </c>
      <c r="I167" s="199">
        <v>0</v>
      </c>
      <c r="J167" s="199">
        <v>0</v>
      </c>
      <c r="K167" s="199">
        <v>0</v>
      </c>
      <c r="L167" s="199">
        <v>0</v>
      </c>
      <c r="M167" s="199">
        <v>0</v>
      </c>
      <c r="N167" s="199">
        <v>0</v>
      </c>
      <c r="O167" s="199">
        <v>0</v>
      </c>
      <c r="P167" s="199">
        <v>0</v>
      </c>
    </row>
    <row r="168" spans="2:16" ht="15.5">
      <c r="B168" s="302" t="s">
        <v>87</v>
      </c>
      <c r="C168" s="199">
        <v>0</v>
      </c>
      <c r="D168" s="199">
        <v>0</v>
      </c>
      <c r="E168" s="199">
        <v>0</v>
      </c>
      <c r="F168" s="199">
        <v>0</v>
      </c>
      <c r="G168" s="199">
        <v>0</v>
      </c>
      <c r="H168" s="199">
        <v>0</v>
      </c>
      <c r="I168" s="199">
        <v>0</v>
      </c>
      <c r="J168" s="199">
        <v>0</v>
      </c>
      <c r="K168" s="199">
        <v>0</v>
      </c>
      <c r="L168" s="199">
        <v>0</v>
      </c>
      <c r="M168" s="199">
        <v>0</v>
      </c>
      <c r="N168" s="199">
        <v>0</v>
      </c>
      <c r="O168" s="199">
        <v>0</v>
      </c>
      <c r="P168" s="199">
        <v>0</v>
      </c>
    </row>
    <row r="169" spans="2:16" ht="15.5">
      <c r="B169" s="302" t="s">
        <v>117</v>
      </c>
      <c r="C169" s="199">
        <v>0</v>
      </c>
      <c r="D169" s="199">
        <v>0</v>
      </c>
      <c r="E169" s="199">
        <v>0</v>
      </c>
      <c r="F169" s="199">
        <v>0</v>
      </c>
      <c r="G169" s="199">
        <v>0</v>
      </c>
      <c r="H169" s="199">
        <v>0</v>
      </c>
      <c r="I169" s="199">
        <v>0</v>
      </c>
      <c r="J169" s="199">
        <v>0</v>
      </c>
      <c r="K169" s="199">
        <v>0</v>
      </c>
      <c r="L169" s="199">
        <v>0</v>
      </c>
      <c r="M169" s="199">
        <v>0</v>
      </c>
      <c r="N169" s="199">
        <v>0</v>
      </c>
      <c r="O169" s="199">
        <v>0</v>
      </c>
      <c r="P169" s="199">
        <v>0</v>
      </c>
    </row>
    <row r="170" spans="2:16" ht="15">
      <c r="B170" s="274" t="s">
        <v>92</v>
      </c>
      <c r="C170" s="279">
        <v>157740</v>
      </c>
      <c r="D170" s="279">
        <v>128898</v>
      </c>
      <c r="E170" s="279">
        <v>123116</v>
      </c>
      <c r="F170" s="279">
        <v>121420</v>
      </c>
      <c r="G170" s="279">
        <v>104763</v>
      </c>
      <c r="H170" s="279">
        <v>104045</v>
      </c>
      <c r="I170" s="279">
        <v>93605</v>
      </c>
      <c r="J170" s="279">
        <v>93323</v>
      </c>
      <c r="K170" s="279">
        <v>73844</v>
      </c>
      <c r="L170" s="279">
        <v>75056</v>
      </c>
      <c r="M170" s="279">
        <v>60953</v>
      </c>
      <c r="N170" s="279">
        <v>58709</v>
      </c>
      <c r="O170" s="279">
        <v>36054</v>
      </c>
      <c r="P170" s="279">
        <f>SUM(P163:P169)</f>
        <v>37923.502788999998</v>
      </c>
    </row>
    <row r="171" spans="2:16" ht="15">
      <c r="B171" s="222" t="s">
        <v>93</v>
      </c>
      <c r="C171" s="278">
        <v>192035</v>
      </c>
      <c r="D171" s="278">
        <v>170424</v>
      </c>
      <c r="E171" s="278">
        <v>158394</v>
      </c>
      <c r="F171" s="278">
        <v>158327</v>
      </c>
      <c r="G171" s="278">
        <v>141952</v>
      </c>
      <c r="H171" s="278">
        <v>143122</v>
      </c>
      <c r="I171" s="278">
        <v>130970</v>
      </c>
      <c r="J171" s="278">
        <v>134472</v>
      </c>
      <c r="K171" s="278">
        <v>115562</v>
      </c>
      <c r="L171" s="278">
        <v>119724</v>
      </c>
      <c r="M171" s="278">
        <v>105642</v>
      </c>
      <c r="N171" s="278">
        <v>103216</v>
      </c>
      <c r="O171" s="278">
        <v>83104</v>
      </c>
      <c r="P171" s="278">
        <f>+P161+P170</f>
        <v>88526.009205999988</v>
      </c>
    </row>
    <row r="172" spans="2:16" ht="15">
      <c r="B172" s="224"/>
      <c r="C172" s="280"/>
      <c r="D172" s="280"/>
      <c r="E172" s="280"/>
      <c r="F172" s="280"/>
      <c r="G172" s="280"/>
      <c r="H172" s="280"/>
      <c r="I172" s="280"/>
      <c r="J172" s="280"/>
      <c r="K172" s="280"/>
      <c r="L172" s="280"/>
      <c r="M172" s="280"/>
      <c r="N172" s="280"/>
      <c r="O172" s="280"/>
      <c r="P172" s="280"/>
    </row>
    <row r="173" spans="2:16" ht="15">
      <c r="B173" s="284" t="s">
        <v>94</v>
      </c>
      <c r="C173" s="285"/>
      <c r="D173" s="285"/>
      <c r="E173" s="285"/>
      <c r="F173" s="285"/>
      <c r="G173" s="285"/>
      <c r="H173" s="285"/>
      <c r="I173" s="285"/>
      <c r="J173" s="285"/>
      <c r="K173" s="285"/>
      <c r="L173" s="285"/>
      <c r="M173" s="285"/>
      <c r="N173" s="285"/>
      <c r="O173" s="285"/>
      <c r="P173" s="285"/>
    </row>
    <row r="174" spans="2:16" ht="15.5">
      <c r="B174" s="302" t="s">
        <v>95</v>
      </c>
      <c r="C174" s="199">
        <v>48963</v>
      </c>
      <c r="D174" s="199">
        <v>48963</v>
      </c>
      <c r="E174" s="199">
        <v>48963</v>
      </c>
      <c r="F174" s="199">
        <v>48963</v>
      </c>
      <c r="G174" s="199">
        <v>48963</v>
      </c>
      <c r="H174" s="199">
        <v>48963</v>
      </c>
      <c r="I174" s="199">
        <v>48963</v>
      </c>
      <c r="J174" s="199">
        <v>48963</v>
      </c>
      <c r="K174" s="199">
        <v>48963</v>
      </c>
      <c r="L174" s="199">
        <v>48963</v>
      </c>
      <c r="M174" s="199">
        <v>48963</v>
      </c>
      <c r="N174" s="199">
        <v>48963</v>
      </c>
      <c r="O174" s="199">
        <v>48963</v>
      </c>
      <c r="P174" s="199">
        <v>48962.667104</v>
      </c>
    </row>
    <row r="175" spans="2:16" ht="15.5">
      <c r="B175" s="302" t="s">
        <v>96</v>
      </c>
      <c r="C175" s="199">
        <v>0</v>
      </c>
      <c r="D175" s="199">
        <v>0</v>
      </c>
      <c r="E175" s="199">
        <v>0</v>
      </c>
      <c r="F175" s="199">
        <v>0</v>
      </c>
      <c r="G175" s="199">
        <v>0</v>
      </c>
      <c r="H175" s="199">
        <v>0</v>
      </c>
      <c r="I175" s="199">
        <v>0</v>
      </c>
      <c r="J175" s="199">
        <v>0</v>
      </c>
      <c r="K175" s="199">
        <v>0</v>
      </c>
      <c r="L175" s="199">
        <v>0</v>
      </c>
      <c r="M175" s="199">
        <v>0</v>
      </c>
      <c r="N175" s="199">
        <v>0</v>
      </c>
      <c r="O175" s="199">
        <v>0</v>
      </c>
      <c r="P175" s="199">
        <v>0</v>
      </c>
    </row>
    <row r="176" spans="2:16" ht="15.5">
      <c r="B176" s="302" t="s">
        <v>97</v>
      </c>
      <c r="C176" s="199">
        <v>0</v>
      </c>
      <c r="D176" s="199">
        <v>0</v>
      </c>
      <c r="E176" s="199">
        <v>0</v>
      </c>
      <c r="F176" s="199">
        <v>0</v>
      </c>
      <c r="G176" s="199">
        <v>0</v>
      </c>
      <c r="H176" s="199">
        <v>0</v>
      </c>
      <c r="I176" s="199">
        <v>0</v>
      </c>
      <c r="J176" s="199">
        <v>0</v>
      </c>
      <c r="K176" s="199">
        <v>0</v>
      </c>
      <c r="L176" s="199">
        <v>0</v>
      </c>
      <c r="M176" s="199">
        <v>0</v>
      </c>
      <c r="N176" s="199">
        <v>0</v>
      </c>
      <c r="O176" s="199">
        <v>0</v>
      </c>
      <c r="P176" s="199">
        <v>0</v>
      </c>
    </row>
    <row r="177" spans="2:16" ht="15.5">
      <c r="B177" s="302" t="s">
        <v>98</v>
      </c>
      <c r="C177" s="199">
        <v>16995</v>
      </c>
      <c r="D177" s="199">
        <v>24123</v>
      </c>
      <c r="E177" s="199">
        <v>30598</v>
      </c>
      <c r="F177" s="199">
        <v>30598</v>
      </c>
      <c r="G177" s="199">
        <v>30598</v>
      </c>
      <c r="H177" s="199">
        <v>30598</v>
      </c>
      <c r="I177" s="199">
        <v>36648</v>
      </c>
      <c r="J177" s="199">
        <v>28350</v>
      </c>
      <c r="K177" s="199">
        <v>28350</v>
      </c>
      <c r="L177" s="199">
        <v>28350</v>
      </c>
      <c r="M177" s="199">
        <v>35436</v>
      </c>
      <c r="N177" s="199">
        <v>35436</v>
      </c>
      <c r="O177" s="199">
        <v>35436</v>
      </c>
      <c r="P177" s="199">
        <v>35436.462811999998</v>
      </c>
    </row>
    <row r="178" spans="2:16" ht="15.5">
      <c r="B178" s="302" t="s">
        <v>99</v>
      </c>
      <c r="C178" s="199">
        <v>7128</v>
      </c>
      <c r="D178" s="199">
        <v>6475</v>
      </c>
      <c r="E178" s="199">
        <v>1679</v>
      </c>
      <c r="F178" s="199">
        <v>3109</v>
      </c>
      <c r="G178" s="199">
        <v>4497</v>
      </c>
      <c r="H178" s="199">
        <v>6049</v>
      </c>
      <c r="I178" s="199">
        <v>1548</v>
      </c>
      <c r="J178" s="199">
        <v>3760</v>
      </c>
      <c r="K178" s="199">
        <v>5455</v>
      </c>
      <c r="L178" s="199">
        <v>7086</v>
      </c>
      <c r="M178" s="199">
        <v>1550</v>
      </c>
      <c r="N178" s="199">
        <v>2549</v>
      </c>
      <c r="O178" s="199">
        <v>3205</v>
      </c>
      <c r="P178" s="199">
        <v>4485.1158299999997</v>
      </c>
    </row>
    <row r="179" spans="2:16" ht="15.5">
      <c r="B179" s="302" t="s">
        <v>100</v>
      </c>
      <c r="C179" s="199">
        <v>0</v>
      </c>
      <c r="D179" s="199">
        <v>0</v>
      </c>
      <c r="E179" s="199">
        <v>0</v>
      </c>
      <c r="F179" s="199">
        <v>0</v>
      </c>
      <c r="G179" s="199">
        <v>0</v>
      </c>
      <c r="H179" s="199">
        <v>0</v>
      </c>
      <c r="I179" s="199">
        <v>0</v>
      </c>
      <c r="J179" s="199">
        <v>0</v>
      </c>
      <c r="K179" s="199">
        <v>0</v>
      </c>
      <c r="L179" s="199">
        <v>0</v>
      </c>
      <c r="M179" s="199">
        <v>0</v>
      </c>
      <c r="N179" s="199">
        <v>0</v>
      </c>
      <c r="O179" s="199">
        <v>0</v>
      </c>
      <c r="P179" s="199">
        <v>0</v>
      </c>
    </row>
    <row r="180" spans="2:16" ht="15">
      <c r="B180" s="274" t="s">
        <v>103</v>
      </c>
      <c r="C180" s="279">
        <v>73086</v>
      </c>
      <c r="D180" s="279">
        <v>79561</v>
      </c>
      <c r="E180" s="279">
        <v>81240</v>
      </c>
      <c r="F180" s="279">
        <v>82670</v>
      </c>
      <c r="G180" s="279">
        <v>84058</v>
      </c>
      <c r="H180" s="279">
        <v>85610</v>
      </c>
      <c r="I180" s="279">
        <v>87159</v>
      </c>
      <c r="J180" s="279">
        <v>81073</v>
      </c>
      <c r="K180" s="279">
        <v>82768</v>
      </c>
      <c r="L180" s="279">
        <v>84399</v>
      </c>
      <c r="M180" s="279">
        <v>85949</v>
      </c>
      <c r="N180" s="279">
        <v>86948</v>
      </c>
      <c r="O180" s="279">
        <v>87604</v>
      </c>
      <c r="P180" s="279">
        <f>SUM(P174:P179)</f>
        <v>88884.245746000001</v>
      </c>
    </row>
    <row r="181" spans="2:16" ht="15">
      <c r="B181" s="222" t="s">
        <v>104</v>
      </c>
      <c r="C181" s="278">
        <v>265121</v>
      </c>
      <c r="D181" s="278">
        <v>249985</v>
      </c>
      <c r="E181" s="278">
        <v>239634</v>
      </c>
      <c r="F181" s="278">
        <v>240997</v>
      </c>
      <c r="G181" s="278">
        <v>226010</v>
      </c>
      <c r="H181" s="278">
        <v>228732</v>
      </c>
      <c r="I181" s="278">
        <v>218129</v>
      </c>
      <c r="J181" s="278">
        <v>215545</v>
      </c>
      <c r="K181" s="278">
        <v>198330</v>
      </c>
      <c r="L181" s="278">
        <v>204123</v>
      </c>
      <c r="M181" s="278">
        <v>191591</v>
      </c>
      <c r="N181" s="278">
        <v>190164</v>
      </c>
      <c r="O181" s="278">
        <v>170708</v>
      </c>
      <c r="P181" s="278">
        <f>+P171+P180</f>
        <v>177410.25495199999</v>
      </c>
    </row>
    <row r="182" spans="2:16" ht="15.5">
      <c r="B182" s="233"/>
      <c r="C182" s="303">
        <v>0</v>
      </c>
      <c r="D182" s="303">
        <v>0</v>
      </c>
      <c r="E182" s="303">
        <v>0</v>
      </c>
      <c r="F182" s="303">
        <v>0</v>
      </c>
      <c r="G182" s="303">
        <v>0</v>
      </c>
      <c r="H182" s="303">
        <v>0</v>
      </c>
      <c r="I182" s="303">
        <v>0</v>
      </c>
      <c r="J182" s="303">
        <v>0</v>
      </c>
      <c r="K182" s="303">
        <v>0</v>
      </c>
      <c r="L182" s="303">
        <v>0</v>
      </c>
      <c r="M182" s="303">
        <v>0</v>
      </c>
      <c r="N182" s="303">
        <v>0</v>
      </c>
      <c r="O182" s="303"/>
      <c r="P182" s="106"/>
    </row>
    <row r="183" spans="2:16" ht="15.5">
      <c r="B183" s="233"/>
      <c r="C183" s="233"/>
      <c r="D183" s="233"/>
      <c r="E183" s="233"/>
      <c r="F183" s="233"/>
      <c r="G183" s="233"/>
      <c r="H183" s="233"/>
      <c r="I183" s="233"/>
      <c r="J183" s="233"/>
      <c r="K183" s="233"/>
      <c r="L183" s="233"/>
      <c r="M183" s="233"/>
      <c r="N183" s="233"/>
      <c r="O183" s="233"/>
      <c r="P183" s="106"/>
    </row>
    <row r="184" spans="2:16" ht="15.5">
      <c r="B184" s="125" t="s">
        <v>399</v>
      </c>
      <c r="C184" s="33"/>
      <c r="D184" s="33"/>
      <c r="E184" s="34"/>
      <c r="F184" s="33"/>
      <c r="G184" s="33"/>
      <c r="H184" s="33"/>
      <c r="I184" s="34"/>
      <c r="J184" s="33"/>
      <c r="K184" s="33"/>
      <c r="L184" s="33"/>
      <c r="M184" s="34"/>
      <c r="N184" s="33"/>
      <c r="O184" s="33"/>
      <c r="P184" s="106"/>
    </row>
    <row r="185" spans="2:16" ht="15.5">
      <c r="B185" s="258" t="s">
        <v>393</v>
      </c>
      <c r="C185" s="233"/>
      <c r="D185" s="233"/>
      <c r="E185" s="233"/>
      <c r="F185" s="233"/>
      <c r="G185" s="233"/>
      <c r="H185" s="233"/>
      <c r="I185" s="233"/>
      <c r="J185" s="233"/>
      <c r="K185" s="233"/>
      <c r="L185" s="233"/>
      <c r="M185" s="233"/>
      <c r="N185" s="233"/>
      <c r="O185" s="233"/>
      <c r="P185" s="106"/>
    </row>
    <row r="186" spans="2:16" ht="9" customHeight="1">
      <c r="B186" s="35"/>
      <c r="C186" s="35"/>
      <c r="D186" s="35"/>
      <c r="E186" s="35"/>
      <c r="F186" s="35"/>
      <c r="G186" s="35"/>
      <c r="H186" s="35"/>
      <c r="I186" s="35"/>
      <c r="J186" s="35"/>
      <c r="K186" s="35"/>
      <c r="L186" s="35"/>
      <c r="M186" s="35"/>
      <c r="N186" s="35"/>
      <c r="O186" s="35"/>
      <c r="P186" s="106"/>
    </row>
    <row r="187" spans="2:16" ht="15">
      <c r="B187" s="241"/>
      <c r="C187" s="242">
        <v>2016</v>
      </c>
      <c r="D187" s="242">
        <v>2017</v>
      </c>
      <c r="E187" s="242" t="s">
        <v>20</v>
      </c>
      <c r="F187" s="242" t="s">
        <v>21</v>
      </c>
      <c r="G187" s="242" t="s">
        <v>22</v>
      </c>
      <c r="H187" s="242" t="s">
        <v>23</v>
      </c>
      <c r="I187" s="242" t="s">
        <v>24</v>
      </c>
      <c r="J187" s="242" t="s">
        <v>25</v>
      </c>
      <c r="K187" s="242" t="s">
        <v>26</v>
      </c>
      <c r="L187" s="242" t="s">
        <v>27</v>
      </c>
      <c r="M187" s="242" t="s">
        <v>28</v>
      </c>
      <c r="N187" s="242" t="s">
        <v>29</v>
      </c>
      <c r="O187" s="242" t="s">
        <v>30</v>
      </c>
      <c r="P187" s="635" t="s">
        <v>954</v>
      </c>
    </row>
    <row r="188" spans="2:16" ht="10.5" customHeight="1">
      <c r="B188" s="243"/>
      <c r="C188" s="35"/>
      <c r="D188" s="35"/>
      <c r="E188" s="35"/>
      <c r="F188" s="35"/>
      <c r="G188" s="35"/>
      <c r="H188" s="35"/>
      <c r="I188" s="35"/>
      <c r="J188" s="35"/>
      <c r="K188" s="35"/>
      <c r="L188" s="35"/>
      <c r="M188" s="35"/>
      <c r="N188" s="35"/>
      <c r="O188" s="35"/>
      <c r="P188" s="106"/>
    </row>
    <row r="189" spans="2:16" ht="15.5">
      <c r="B189" s="172" t="s">
        <v>31</v>
      </c>
      <c r="C189" s="207">
        <v>383</v>
      </c>
      <c r="D189" s="207">
        <v>1005</v>
      </c>
      <c r="E189" s="207">
        <v>748</v>
      </c>
      <c r="F189" s="207">
        <v>-38</v>
      </c>
      <c r="G189" s="207">
        <v>197</v>
      </c>
      <c r="H189" s="207">
        <v>724</v>
      </c>
      <c r="I189" s="207">
        <v>419</v>
      </c>
      <c r="J189" s="207">
        <v>864</v>
      </c>
      <c r="K189" s="207">
        <v>1489</v>
      </c>
      <c r="L189" s="207">
        <v>2935</v>
      </c>
      <c r="M189" s="207">
        <v>1315</v>
      </c>
      <c r="N189" s="207">
        <v>-415</v>
      </c>
      <c r="O189" s="207">
        <v>663</v>
      </c>
      <c r="P189" s="207">
        <v>2357.4359569999997</v>
      </c>
    </row>
    <row r="190" spans="2:16" ht="15.5">
      <c r="B190" s="172" t="s">
        <v>32</v>
      </c>
      <c r="C190" s="207">
        <v>339</v>
      </c>
      <c r="D190" s="207">
        <v>890</v>
      </c>
      <c r="E190" s="207">
        <v>662</v>
      </c>
      <c r="F190" s="207">
        <v>-34</v>
      </c>
      <c r="G190" s="207">
        <v>174</v>
      </c>
      <c r="H190" s="207">
        <v>642</v>
      </c>
      <c r="I190" s="207">
        <v>371</v>
      </c>
      <c r="J190" s="207">
        <v>765</v>
      </c>
      <c r="K190" s="207">
        <v>1317</v>
      </c>
      <c r="L190" s="207">
        <v>2597</v>
      </c>
      <c r="M190" s="207">
        <v>1144</v>
      </c>
      <c r="N190" s="207">
        <v>-361</v>
      </c>
      <c r="O190" s="207">
        <v>576</v>
      </c>
      <c r="P190" s="207">
        <v>2049.9443110000002</v>
      </c>
    </row>
    <row r="191" spans="2:16" ht="15.5">
      <c r="B191" s="232" t="s">
        <v>33</v>
      </c>
      <c r="C191" s="244">
        <v>44</v>
      </c>
      <c r="D191" s="244">
        <v>115</v>
      </c>
      <c r="E191" s="244">
        <v>86</v>
      </c>
      <c r="F191" s="244">
        <v>-4</v>
      </c>
      <c r="G191" s="244">
        <v>23</v>
      </c>
      <c r="H191" s="244">
        <v>82</v>
      </c>
      <c r="I191" s="244">
        <v>48</v>
      </c>
      <c r="J191" s="244">
        <v>99</v>
      </c>
      <c r="K191" s="244">
        <v>172</v>
      </c>
      <c r="L191" s="244">
        <v>338</v>
      </c>
      <c r="M191" s="244">
        <v>171</v>
      </c>
      <c r="N191" s="244">
        <v>-54</v>
      </c>
      <c r="O191" s="244">
        <v>87</v>
      </c>
      <c r="P191" s="244">
        <v>307.49164599999949</v>
      </c>
    </row>
    <row r="192" spans="2:16" ht="6" customHeight="1">
      <c r="B192" s="172"/>
      <c r="C192" s="207"/>
      <c r="D192" s="207"/>
      <c r="E192" s="207"/>
      <c r="F192" s="207"/>
      <c r="G192" s="207"/>
      <c r="H192" s="207"/>
      <c r="I192" s="207"/>
      <c r="J192" s="207"/>
      <c r="K192" s="207"/>
      <c r="L192" s="207"/>
      <c r="M192" s="207"/>
      <c r="N192" s="207"/>
      <c r="O192" s="207"/>
      <c r="P192" s="207"/>
    </row>
    <row r="193" spans="2:16" ht="15.5">
      <c r="B193" s="172" t="s">
        <v>394</v>
      </c>
      <c r="C193" s="207">
        <v>10664</v>
      </c>
      <c r="D193" s="207">
        <v>10246</v>
      </c>
      <c r="E193" s="207">
        <v>2224</v>
      </c>
      <c r="F193" s="207">
        <v>3748</v>
      </c>
      <c r="G193" s="207">
        <v>2523</v>
      </c>
      <c r="H193" s="207">
        <v>3182</v>
      </c>
      <c r="I193" s="207">
        <v>2386</v>
      </c>
      <c r="J193" s="207">
        <v>3286</v>
      </c>
      <c r="K193" s="207">
        <v>2868</v>
      </c>
      <c r="L193" s="207">
        <v>2949</v>
      </c>
      <c r="M193" s="207">
        <v>2449</v>
      </c>
      <c r="N193" s="207">
        <v>2918</v>
      </c>
      <c r="O193" s="207">
        <v>2295</v>
      </c>
      <c r="P193" s="207">
        <v>4855.760319</v>
      </c>
    </row>
    <row r="194" spans="2:16" ht="15.5">
      <c r="B194" s="172" t="s">
        <v>395</v>
      </c>
      <c r="C194" s="207">
        <v>15218</v>
      </c>
      <c r="D194" s="207">
        <v>14624</v>
      </c>
      <c r="E194" s="207">
        <v>2197</v>
      </c>
      <c r="F194" s="207">
        <v>1986</v>
      </c>
      <c r="G194" s="207">
        <v>1774</v>
      </c>
      <c r="H194" s="207">
        <v>1575</v>
      </c>
      <c r="I194" s="207">
        <v>1606</v>
      </c>
      <c r="J194" s="207">
        <v>1416</v>
      </c>
      <c r="K194" s="207">
        <v>1423</v>
      </c>
      <c r="L194" s="207">
        <v>1147</v>
      </c>
      <c r="M194" s="207">
        <v>0</v>
      </c>
      <c r="N194" s="207">
        <v>0</v>
      </c>
      <c r="O194" s="207">
        <v>0</v>
      </c>
      <c r="P194" s="207">
        <v>1133.688717</v>
      </c>
    </row>
    <row r="195" spans="2:16" ht="15.5">
      <c r="B195" s="172" t="s">
        <v>40</v>
      </c>
      <c r="C195" s="207">
        <v>0</v>
      </c>
      <c r="D195" s="207">
        <v>0</v>
      </c>
      <c r="E195" s="207">
        <v>0</v>
      </c>
      <c r="F195" s="207">
        <v>0</v>
      </c>
      <c r="G195" s="207">
        <v>0</v>
      </c>
      <c r="H195" s="207">
        <v>0</v>
      </c>
      <c r="I195" s="207">
        <v>0</v>
      </c>
      <c r="J195" s="207">
        <v>0</v>
      </c>
      <c r="K195" s="207">
        <v>0</v>
      </c>
      <c r="L195" s="207">
        <v>0</v>
      </c>
      <c r="M195" s="207">
        <v>0</v>
      </c>
      <c r="N195" s="207">
        <v>0</v>
      </c>
      <c r="O195" s="207">
        <v>0</v>
      </c>
      <c r="P195" s="207">
        <v>0</v>
      </c>
    </row>
    <row r="196" spans="2:16" ht="15.5">
      <c r="B196" s="172" t="s">
        <v>41</v>
      </c>
      <c r="C196" s="207">
        <v>10061</v>
      </c>
      <c r="D196" s="207">
        <v>9666</v>
      </c>
      <c r="E196" s="207">
        <v>2099</v>
      </c>
      <c r="F196" s="207">
        <v>3535</v>
      </c>
      <c r="G196" s="207">
        <v>2381</v>
      </c>
      <c r="H196" s="207">
        <v>3000</v>
      </c>
      <c r="I196" s="207">
        <v>2251</v>
      </c>
      <c r="J196" s="207">
        <v>3099</v>
      </c>
      <c r="K196" s="207">
        <v>2707</v>
      </c>
      <c r="L196" s="207">
        <v>2782</v>
      </c>
      <c r="M196" s="207">
        <v>2267</v>
      </c>
      <c r="N196" s="207">
        <v>2702</v>
      </c>
      <c r="O196" s="207">
        <v>2128</v>
      </c>
      <c r="P196" s="207">
        <v>4496.0743689999999</v>
      </c>
    </row>
    <row r="197" spans="2:16" ht="15.5">
      <c r="B197" s="232" t="s">
        <v>42</v>
      </c>
      <c r="C197" s="244">
        <v>15821</v>
      </c>
      <c r="D197" s="244">
        <v>15204</v>
      </c>
      <c r="E197" s="244">
        <v>2322</v>
      </c>
      <c r="F197" s="244">
        <v>2199</v>
      </c>
      <c r="G197" s="244">
        <v>1916</v>
      </c>
      <c r="H197" s="244">
        <v>1757</v>
      </c>
      <c r="I197" s="244">
        <v>1741</v>
      </c>
      <c r="J197" s="244">
        <v>1603</v>
      </c>
      <c r="K197" s="244">
        <v>1584</v>
      </c>
      <c r="L197" s="244">
        <v>1314</v>
      </c>
      <c r="M197" s="244">
        <v>182</v>
      </c>
      <c r="N197" s="244">
        <v>216</v>
      </c>
      <c r="O197" s="244">
        <v>167</v>
      </c>
      <c r="P197" s="244">
        <v>1493.374667</v>
      </c>
    </row>
    <row r="198" spans="2:16" ht="15.5">
      <c r="B198" s="174" t="s">
        <v>43</v>
      </c>
      <c r="C198" s="208">
        <v>15865</v>
      </c>
      <c r="D198" s="208">
        <v>15319</v>
      </c>
      <c r="E198" s="208">
        <v>2408</v>
      </c>
      <c r="F198" s="208">
        <v>2195</v>
      </c>
      <c r="G198" s="208">
        <v>1939</v>
      </c>
      <c r="H198" s="208">
        <v>1839</v>
      </c>
      <c r="I198" s="208">
        <v>1789</v>
      </c>
      <c r="J198" s="208">
        <v>1702</v>
      </c>
      <c r="K198" s="208">
        <v>1756</v>
      </c>
      <c r="L198" s="208">
        <v>1652</v>
      </c>
      <c r="M198" s="208">
        <v>353</v>
      </c>
      <c r="N198" s="208">
        <v>162</v>
      </c>
      <c r="O198" s="208">
        <v>254</v>
      </c>
      <c r="P198" s="208">
        <v>1800.8663129999995</v>
      </c>
    </row>
    <row r="199" spans="2:16" ht="15.5">
      <c r="B199" s="171"/>
      <c r="C199" s="9"/>
      <c r="D199" s="9"/>
      <c r="E199" s="9"/>
      <c r="F199" s="271"/>
      <c r="G199" s="9"/>
      <c r="H199" s="9"/>
      <c r="I199" s="9"/>
      <c r="J199" s="9"/>
      <c r="K199" s="9"/>
      <c r="L199" s="9"/>
      <c r="M199" s="9"/>
      <c r="N199" s="9"/>
      <c r="O199" s="9"/>
      <c r="P199" s="9"/>
    </row>
    <row r="200" spans="2:16" ht="15.5">
      <c r="B200" s="172" t="s">
        <v>44</v>
      </c>
      <c r="C200" s="207">
        <v>70</v>
      </c>
      <c r="D200" s="207">
        <v>122</v>
      </c>
      <c r="E200" s="207">
        <v>37</v>
      </c>
      <c r="F200" s="207">
        <v>34</v>
      </c>
      <c r="G200" s="207">
        <v>36</v>
      </c>
      <c r="H200" s="207">
        <v>36</v>
      </c>
      <c r="I200" s="207">
        <v>110</v>
      </c>
      <c r="J200" s="207">
        <v>47</v>
      </c>
      <c r="K200" s="207">
        <v>46</v>
      </c>
      <c r="L200" s="207">
        <v>53</v>
      </c>
      <c r="M200" s="207">
        <v>52</v>
      </c>
      <c r="N200" s="207">
        <v>32</v>
      </c>
      <c r="O200" s="207">
        <v>45</v>
      </c>
      <c r="P200" s="207">
        <v>47.418841</v>
      </c>
    </row>
    <row r="201" spans="2:16" ht="15.5">
      <c r="B201" s="172" t="s">
        <v>45</v>
      </c>
      <c r="C201" s="207">
        <v>0</v>
      </c>
      <c r="D201" s="207">
        <v>0</v>
      </c>
      <c r="E201" s="207">
        <v>0</v>
      </c>
      <c r="F201" s="207">
        <v>0</v>
      </c>
      <c r="G201" s="207">
        <v>0</v>
      </c>
      <c r="H201" s="207">
        <v>0</v>
      </c>
      <c r="I201" s="207">
        <v>0</v>
      </c>
      <c r="J201" s="207">
        <v>0</v>
      </c>
      <c r="K201" s="207">
        <v>0</v>
      </c>
      <c r="L201" s="207">
        <v>0</v>
      </c>
      <c r="M201" s="207">
        <v>0</v>
      </c>
      <c r="N201" s="207">
        <v>0</v>
      </c>
      <c r="O201" s="207">
        <v>0</v>
      </c>
      <c r="P201" s="207"/>
    </row>
    <row r="202" spans="2:16" ht="15.5">
      <c r="B202" s="172" t="s">
        <v>46</v>
      </c>
      <c r="C202" s="207">
        <v>54</v>
      </c>
      <c r="D202" s="207">
        <v>65</v>
      </c>
      <c r="E202" s="207">
        <v>2</v>
      </c>
      <c r="F202" s="207">
        <v>0</v>
      </c>
      <c r="G202" s="207">
        <v>3</v>
      </c>
      <c r="H202" s="207">
        <v>-1</v>
      </c>
      <c r="I202" s="207">
        <v>13</v>
      </c>
      <c r="J202" s="207">
        <v>2</v>
      </c>
      <c r="K202" s="207">
        <v>96</v>
      </c>
      <c r="L202" s="207">
        <v>-263</v>
      </c>
      <c r="M202" s="207">
        <v>14</v>
      </c>
      <c r="N202" s="207">
        <v>-29</v>
      </c>
      <c r="O202" s="207">
        <v>57</v>
      </c>
      <c r="P202" s="207">
        <v>-9340.0712369999983</v>
      </c>
    </row>
    <row r="203" spans="2:16" ht="15.5">
      <c r="B203" s="174" t="s">
        <v>47</v>
      </c>
      <c r="C203" s="209">
        <v>15849</v>
      </c>
      <c r="D203" s="209">
        <v>15262</v>
      </c>
      <c r="E203" s="209">
        <v>2373</v>
      </c>
      <c r="F203" s="209">
        <v>2161</v>
      </c>
      <c r="G203" s="209">
        <v>1906</v>
      </c>
      <c r="H203" s="209">
        <v>1802</v>
      </c>
      <c r="I203" s="209">
        <v>1692</v>
      </c>
      <c r="J203" s="209">
        <v>1657</v>
      </c>
      <c r="K203" s="209">
        <v>1806</v>
      </c>
      <c r="L203" s="209">
        <v>1336</v>
      </c>
      <c r="M203" s="209">
        <v>315</v>
      </c>
      <c r="N203" s="209">
        <v>101</v>
      </c>
      <c r="O203" s="209">
        <v>266</v>
      </c>
      <c r="P203" s="209">
        <v>-7586.6237649999985</v>
      </c>
    </row>
    <row r="204" spans="2:16" ht="15.5">
      <c r="B204" s="172"/>
      <c r="C204" s="207"/>
      <c r="D204" s="207"/>
      <c r="E204" s="207"/>
      <c r="F204" s="207"/>
      <c r="G204" s="207"/>
      <c r="H204" s="207"/>
      <c r="I204" s="207"/>
      <c r="J204" s="207"/>
      <c r="K204" s="207"/>
      <c r="L204" s="207"/>
      <c r="M204" s="207"/>
      <c r="N204" s="207"/>
      <c r="O204" s="207"/>
      <c r="P204" s="207"/>
    </row>
    <row r="205" spans="2:16" ht="15.5">
      <c r="B205" s="172" t="s">
        <v>48</v>
      </c>
      <c r="C205" s="207">
        <v>-14451</v>
      </c>
      <c r="D205" s="207">
        <v>-11498</v>
      </c>
      <c r="E205" s="207">
        <v>-2618</v>
      </c>
      <c r="F205" s="207">
        <v>-2282</v>
      </c>
      <c r="G205" s="207">
        <v>-2297</v>
      </c>
      <c r="H205" s="207">
        <v>-1903</v>
      </c>
      <c r="I205" s="207">
        <v>-1752</v>
      </c>
      <c r="J205" s="207">
        <v>-1552</v>
      </c>
      <c r="K205" s="207">
        <v>-1168</v>
      </c>
      <c r="L205" s="207">
        <v>-1332</v>
      </c>
      <c r="M205" s="207">
        <v>-1328</v>
      </c>
      <c r="N205" s="207">
        <v>-1227</v>
      </c>
      <c r="O205" s="207">
        <v>-1256</v>
      </c>
      <c r="P205" s="207">
        <v>-1226.8322899999998</v>
      </c>
    </row>
    <row r="206" spans="2:16" ht="15.5">
      <c r="B206" s="174" t="s">
        <v>49</v>
      </c>
      <c r="C206" s="209">
        <v>1398</v>
      </c>
      <c r="D206" s="209">
        <v>3764</v>
      </c>
      <c r="E206" s="209">
        <v>-245</v>
      </c>
      <c r="F206" s="209">
        <v>-121</v>
      </c>
      <c r="G206" s="209">
        <v>-391</v>
      </c>
      <c r="H206" s="209">
        <v>-101</v>
      </c>
      <c r="I206" s="209">
        <v>-60</v>
      </c>
      <c r="J206" s="209">
        <v>105</v>
      </c>
      <c r="K206" s="209">
        <v>638</v>
      </c>
      <c r="L206" s="209">
        <v>4</v>
      </c>
      <c r="M206" s="209">
        <v>-1013</v>
      </c>
      <c r="N206" s="209">
        <v>-1126</v>
      </c>
      <c r="O206" s="209">
        <v>-990</v>
      </c>
      <c r="P206" s="209">
        <v>-8813.4560549999987</v>
      </c>
    </row>
    <row r="207" spans="2:16" ht="15.5">
      <c r="B207" s="171"/>
      <c r="C207" s="9"/>
      <c r="D207" s="9"/>
      <c r="E207" s="9"/>
      <c r="F207" s="9"/>
      <c r="G207" s="9"/>
      <c r="H207" s="9"/>
      <c r="I207" s="9"/>
      <c r="J207" s="9"/>
      <c r="K207" s="9"/>
      <c r="L207" s="9"/>
      <c r="M207" s="9"/>
      <c r="N207" s="9"/>
      <c r="O207" s="9"/>
      <c r="P207" s="9"/>
    </row>
    <row r="208" spans="2:16" ht="15.5">
      <c r="B208" s="172" t="s">
        <v>50</v>
      </c>
      <c r="C208" s="207">
        <v>7167</v>
      </c>
      <c r="D208" s="207">
        <v>4197</v>
      </c>
      <c r="E208" s="207">
        <v>-314</v>
      </c>
      <c r="F208" s="207">
        <v>-146</v>
      </c>
      <c r="G208" s="207">
        <v>-249</v>
      </c>
      <c r="H208" s="207">
        <v>-1049</v>
      </c>
      <c r="I208" s="207">
        <v>-16</v>
      </c>
      <c r="J208" s="207">
        <v>-217</v>
      </c>
      <c r="K208" s="207">
        <v>85</v>
      </c>
      <c r="L208" s="207">
        <v>-87</v>
      </c>
      <c r="M208" s="207">
        <v>-369</v>
      </c>
      <c r="N208" s="207">
        <v>-330</v>
      </c>
      <c r="O208" s="207">
        <v>-347</v>
      </c>
      <c r="P208" s="207">
        <v>1376.0952139999999</v>
      </c>
    </row>
    <row r="209" spans="2:16" ht="15.5">
      <c r="B209" s="174" t="s">
        <v>53</v>
      </c>
      <c r="C209" s="209">
        <v>-5769</v>
      </c>
      <c r="D209" s="209">
        <v>-433</v>
      </c>
      <c r="E209" s="209">
        <v>69</v>
      </c>
      <c r="F209" s="209">
        <v>25</v>
      </c>
      <c r="G209" s="209">
        <v>-142</v>
      </c>
      <c r="H209" s="209">
        <v>948</v>
      </c>
      <c r="I209" s="209">
        <v>-44</v>
      </c>
      <c r="J209" s="209">
        <v>322</v>
      </c>
      <c r="K209" s="209">
        <v>553</v>
      </c>
      <c r="L209" s="209">
        <v>91</v>
      </c>
      <c r="M209" s="209">
        <v>-644</v>
      </c>
      <c r="N209" s="209">
        <v>-796</v>
      </c>
      <c r="O209" s="209">
        <v>-643</v>
      </c>
      <c r="P209" s="209">
        <v>-10189.551269</v>
      </c>
    </row>
    <row r="210" spans="2:16" ht="15.5">
      <c r="B210" s="233"/>
      <c r="C210" s="233"/>
      <c r="D210" s="233"/>
      <c r="E210" s="233"/>
      <c r="F210" s="233"/>
      <c r="G210" s="233"/>
      <c r="H210" s="233"/>
      <c r="I210" s="233"/>
      <c r="J210" s="233"/>
      <c r="K210" s="233"/>
      <c r="L210" s="233"/>
      <c r="M210" s="233"/>
      <c r="N210" s="233"/>
      <c r="O210" s="233"/>
      <c r="P210" s="106"/>
    </row>
    <row r="211" spans="2:16" ht="15.5">
      <c r="B211" s="233"/>
      <c r="C211" s="233"/>
      <c r="D211" s="233"/>
      <c r="E211" s="233"/>
      <c r="F211" s="233"/>
      <c r="G211" s="233"/>
      <c r="H211" s="233"/>
      <c r="I211" s="233"/>
      <c r="J211" s="233"/>
      <c r="K211" s="233"/>
      <c r="L211" s="233"/>
      <c r="M211" s="233"/>
      <c r="N211" s="233"/>
      <c r="O211" s="233"/>
      <c r="P211" s="106"/>
    </row>
    <row r="212" spans="2:16" ht="15.5">
      <c r="B212" s="125" t="s">
        <v>400</v>
      </c>
      <c r="C212" s="233"/>
      <c r="D212" s="233"/>
      <c r="E212" s="233"/>
      <c r="F212" s="233"/>
      <c r="G212" s="233"/>
      <c r="H212" s="177"/>
      <c r="I212" s="177"/>
      <c r="J212" s="177"/>
      <c r="K212" s="177"/>
      <c r="L212" s="177"/>
      <c r="M212" s="177"/>
      <c r="N212" s="177"/>
      <c r="O212" s="177"/>
      <c r="P212" s="106"/>
    </row>
    <row r="213" spans="2:16" ht="15.5">
      <c r="B213" s="258" t="s">
        <v>393</v>
      </c>
      <c r="C213" s="233"/>
      <c r="D213" s="233"/>
      <c r="E213" s="233"/>
      <c r="F213" s="233"/>
      <c r="G213" s="233"/>
      <c r="H213" s="178"/>
      <c r="I213" s="178"/>
      <c r="J213" s="178"/>
      <c r="K213" s="178"/>
      <c r="L213" s="178"/>
      <c r="M213" s="178"/>
      <c r="N213" s="178"/>
      <c r="O213" s="178"/>
      <c r="P213" s="106"/>
    </row>
    <row r="214" spans="2:16" ht="8.5" customHeight="1">
      <c r="B214" s="179"/>
      <c r="C214" s="233"/>
      <c r="D214" s="233"/>
      <c r="E214" s="233"/>
      <c r="F214" s="233"/>
      <c r="G214" s="233"/>
      <c r="H214" s="179"/>
      <c r="I214" s="179"/>
      <c r="J214" s="179"/>
      <c r="K214" s="179"/>
      <c r="L214" s="179"/>
      <c r="M214" s="179"/>
      <c r="N214" s="179"/>
      <c r="O214" s="179"/>
      <c r="P214" s="106"/>
    </row>
    <row r="215" spans="2:16" ht="15.5">
      <c r="B215" s="304"/>
      <c r="C215" s="305">
        <v>2016</v>
      </c>
      <c r="D215" s="305">
        <v>2017</v>
      </c>
      <c r="E215" s="305" t="s">
        <v>20</v>
      </c>
      <c r="F215" s="305" t="s">
        <v>21</v>
      </c>
      <c r="G215" s="305" t="s">
        <v>22</v>
      </c>
      <c r="H215" s="305" t="s">
        <v>23</v>
      </c>
      <c r="I215" s="305" t="s">
        <v>24</v>
      </c>
      <c r="J215" s="305" t="s">
        <v>25</v>
      </c>
      <c r="K215" s="305" t="s">
        <v>26</v>
      </c>
      <c r="L215" s="305" t="s">
        <v>27</v>
      </c>
      <c r="M215" s="305" t="s">
        <v>28</v>
      </c>
      <c r="N215" s="305" t="s">
        <v>29</v>
      </c>
      <c r="O215" s="305" t="s">
        <v>30</v>
      </c>
      <c r="P215" s="305" t="s">
        <v>954</v>
      </c>
    </row>
    <row r="216" spans="2:16" ht="15">
      <c r="B216" s="281" t="s">
        <v>56</v>
      </c>
      <c r="C216" s="281"/>
      <c r="D216" s="281"/>
      <c r="E216" s="281"/>
      <c r="F216" s="281"/>
      <c r="G216" s="281"/>
      <c r="H216" s="281"/>
      <c r="I216" s="281"/>
      <c r="J216" s="281"/>
      <c r="K216" s="281"/>
      <c r="L216" s="281"/>
      <c r="M216" s="281"/>
      <c r="N216" s="281"/>
      <c r="O216" s="281"/>
      <c r="P216" s="281"/>
    </row>
    <row r="217" spans="2:16" ht="15">
      <c r="B217" s="274" t="s">
        <v>57</v>
      </c>
      <c r="C217" s="275"/>
      <c r="D217" s="275"/>
      <c r="E217" s="275"/>
      <c r="F217" s="275"/>
      <c r="G217" s="275"/>
      <c r="H217" s="275"/>
      <c r="I217" s="275"/>
      <c r="J217" s="275"/>
      <c r="K217" s="275"/>
      <c r="L217" s="275"/>
      <c r="M217" s="275"/>
      <c r="N217" s="275"/>
      <c r="O217" s="275"/>
      <c r="P217" s="275"/>
    </row>
    <row r="218" spans="2:16" ht="15.5">
      <c r="B218" s="302" t="s">
        <v>58</v>
      </c>
      <c r="C218" s="199">
        <v>23401</v>
      </c>
      <c r="D218" s="199">
        <v>39363</v>
      </c>
      <c r="E218" s="199">
        <v>3970</v>
      </c>
      <c r="F218" s="199">
        <v>43640</v>
      </c>
      <c r="G218" s="199">
        <v>42599</v>
      </c>
      <c r="H218" s="199">
        <v>49315</v>
      </c>
      <c r="I218" s="199">
        <v>11868</v>
      </c>
      <c r="J218" s="199">
        <v>19614</v>
      </c>
      <c r="K218" s="199">
        <v>19135</v>
      </c>
      <c r="L218" s="199">
        <v>24281</v>
      </c>
      <c r="M218" s="199">
        <v>28465</v>
      </c>
      <c r="N218" s="199">
        <v>32278</v>
      </c>
      <c r="O218" s="199">
        <v>49396</v>
      </c>
      <c r="P218" s="199">
        <v>55799.534785999997</v>
      </c>
    </row>
    <row r="219" spans="2:16" ht="15.5">
      <c r="B219" s="302" t="s">
        <v>59</v>
      </c>
      <c r="C219" s="199">
        <v>53205</v>
      </c>
      <c r="D219" s="199">
        <v>51476</v>
      </c>
      <c r="E219" s="199">
        <v>87951</v>
      </c>
      <c r="F219" s="199">
        <v>54602</v>
      </c>
      <c r="G219" s="199">
        <v>56129</v>
      </c>
      <c r="H219" s="199">
        <v>57373</v>
      </c>
      <c r="I219" s="199">
        <v>94438</v>
      </c>
      <c r="J219" s="199">
        <v>89135</v>
      </c>
      <c r="K219" s="199">
        <v>80692</v>
      </c>
      <c r="L219" s="199">
        <v>77486</v>
      </c>
      <c r="M219" s="199">
        <v>64245</v>
      </c>
      <c r="N219" s="199">
        <v>60220</v>
      </c>
      <c r="O219" s="199">
        <v>28742</v>
      </c>
      <c r="P219" s="199">
        <v>20632.426694999998</v>
      </c>
    </row>
    <row r="220" spans="2:16" ht="15.5">
      <c r="B220" s="302" t="s">
        <v>60</v>
      </c>
      <c r="C220" s="199">
        <v>5</v>
      </c>
      <c r="D220" s="199">
        <v>7</v>
      </c>
      <c r="E220" s="199">
        <v>7</v>
      </c>
      <c r="F220" s="199">
        <v>7</v>
      </c>
      <c r="G220" s="199">
        <v>82</v>
      </c>
      <c r="H220" s="199">
        <v>12</v>
      </c>
      <c r="I220" s="199">
        <v>15</v>
      </c>
      <c r="J220" s="199">
        <v>15</v>
      </c>
      <c r="K220" s="199">
        <v>8</v>
      </c>
      <c r="L220" s="199">
        <v>8</v>
      </c>
      <c r="M220" s="199">
        <v>202</v>
      </c>
      <c r="N220" s="199">
        <v>8</v>
      </c>
      <c r="O220" s="199">
        <v>240</v>
      </c>
      <c r="P220" s="199">
        <v>11.244033</v>
      </c>
    </row>
    <row r="221" spans="2:16" ht="15.5">
      <c r="B221" s="302" t="s">
        <v>62</v>
      </c>
      <c r="C221" s="199">
        <v>298</v>
      </c>
      <c r="D221" s="199">
        <v>291</v>
      </c>
      <c r="E221" s="199">
        <v>200</v>
      </c>
      <c r="F221" s="199">
        <v>664</v>
      </c>
      <c r="G221" s="199">
        <v>579</v>
      </c>
      <c r="H221" s="199">
        <v>549</v>
      </c>
      <c r="I221" s="199">
        <v>352</v>
      </c>
      <c r="J221" s="199">
        <v>263</v>
      </c>
      <c r="K221" s="199">
        <v>182</v>
      </c>
      <c r="L221" s="199">
        <v>533</v>
      </c>
      <c r="M221" s="199">
        <v>536</v>
      </c>
      <c r="N221" s="199">
        <v>430</v>
      </c>
      <c r="O221" s="199">
        <v>291</v>
      </c>
      <c r="P221" s="199">
        <v>803.86814300000003</v>
      </c>
    </row>
    <row r="222" spans="2:16" ht="15.5">
      <c r="B222" s="302" t="s">
        <v>319</v>
      </c>
      <c r="C222" s="199">
        <v>0</v>
      </c>
      <c r="D222" s="199">
        <v>0</v>
      </c>
      <c r="E222" s="199">
        <v>0</v>
      </c>
      <c r="F222" s="199">
        <v>0</v>
      </c>
      <c r="G222" s="199">
        <v>0</v>
      </c>
      <c r="H222" s="199">
        <v>0</v>
      </c>
      <c r="I222" s="199">
        <v>0</v>
      </c>
      <c r="J222" s="199">
        <v>0</v>
      </c>
      <c r="K222" s="199">
        <v>0</v>
      </c>
      <c r="L222" s="199">
        <v>0</v>
      </c>
      <c r="M222" s="199">
        <v>0</v>
      </c>
      <c r="N222" s="199">
        <v>0</v>
      </c>
      <c r="O222" s="199">
        <v>0</v>
      </c>
      <c r="P222" s="199">
        <v>0</v>
      </c>
    </row>
    <row r="223" spans="2:16" ht="15.5">
      <c r="B223" s="302" t="s">
        <v>63</v>
      </c>
      <c r="C223" s="199">
        <v>0</v>
      </c>
      <c r="D223" s="199">
        <v>0</v>
      </c>
      <c r="E223" s="199">
        <v>0</v>
      </c>
      <c r="F223" s="199">
        <v>0</v>
      </c>
      <c r="G223" s="199">
        <v>0</v>
      </c>
      <c r="H223" s="199">
        <v>0</v>
      </c>
      <c r="I223" s="199">
        <v>0</v>
      </c>
      <c r="J223" s="199">
        <v>0</v>
      </c>
      <c r="K223" s="199">
        <v>0</v>
      </c>
      <c r="L223" s="199">
        <v>0</v>
      </c>
      <c r="M223" s="199">
        <v>0</v>
      </c>
      <c r="N223" s="199">
        <v>0</v>
      </c>
      <c r="O223" s="199">
        <v>0</v>
      </c>
      <c r="P223" s="199">
        <v>0</v>
      </c>
    </row>
    <row r="224" spans="2:16" ht="15">
      <c r="B224" s="222" t="s">
        <v>64</v>
      </c>
      <c r="C224" s="278">
        <v>76909</v>
      </c>
      <c r="D224" s="278">
        <v>91137</v>
      </c>
      <c r="E224" s="278">
        <v>92128</v>
      </c>
      <c r="F224" s="278">
        <v>98913</v>
      </c>
      <c r="G224" s="278">
        <v>99389</v>
      </c>
      <c r="H224" s="278">
        <v>107249</v>
      </c>
      <c r="I224" s="278">
        <v>106673</v>
      </c>
      <c r="J224" s="278">
        <v>109027</v>
      </c>
      <c r="K224" s="278">
        <v>100017</v>
      </c>
      <c r="L224" s="278">
        <v>102308</v>
      </c>
      <c r="M224" s="278">
        <v>93448</v>
      </c>
      <c r="N224" s="278">
        <v>92936</v>
      </c>
      <c r="O224" s="278">
        <v>78669</v>
      </c>
      <c r="P224" s="278">
        <f>SUM(P218:P223)</f>
        <v>77247.073656999986</v>
      </c>
    </row>
    <row r="225" spans="2:16" ht="15">
      <c r="B225" s="274" t="s">
        <v>65</v>
      </c>
      <c r="C225" s="275"/>
      <c r="D225" s="275"/>
      <c r="E225" s="275"/>
      <c r="F225" s="275"/>
      <c r="G225" s="275"/>
      <c r="H225" s="275"/>
      <c r="I225" s="275"/>
      <c r="J225" s="275"/>
      <c r="K225" s="275"/>
      <c r="L225" s="275"/>
      <c r="M225" s="275"/>
      <c r="N225" s="275"/>
      <c r="O225" s="275"/>
      <c r="P225" s="275"/>
    </row>
    <row r="226" spans="2:16" ht="15.5">
      <c r="B226" s="302" t="s">
        <v>66</v>
      </c>
      <c r="C226" s="199">
        <v>0</v>
      </c>
      <c r="D226" s="199">
        <v>0</v>
      </c>
      <c r="E226" s="199">
        <v>0</v>
      </c>
      <c r="F226" s="199">
        <v>0</v>
      </c>
      <c r="G226" s="199">
        <v>0</v>
      </c>
      <c r="H226" s="199">
        <v>0</v>
      </c>
      <c r="I226" s="199">
        <v>0</v>
      </c>
      <c r="J226" s="199">
        <v>0</v>
      </c>
      <c r="K226" s="199">
        <v>0</v>
      </c>
      <c r="L226" s="199">
        <v>0</v>
      </c>
      <c r="M226" s="199">
        <v>0</v>
      </c>
      <c r="N226" s="199">
        <v>0</v>
      </c>
      <c r="O226" s="199">
        <v>0</v>
      </c>
      <c r="P226" s="199">
        <v>0</v>
      </c>
    </row>
    <row r="227" spans="2:16" ht="15.5">
      <c r="B227" s="302" t="s">
        <v>67</v>
      </c>
      <c r="C227" s="199">
        <v>0</v>
      </c>
      <c r="D227" s="199">
        <v>0</v>
      </c>
      <c r="E227" s="199">
        <v>0</v>
      </c>
      <c r="F227" s="199">
        <v>0</v>
      </c>
      <c r="G227" s="199">
        <v>0</v>
      </c>
      <c r="H227" s="199">
        <v>0</v>
      </c>
      <c r="I227" s="199">
        <v>0</v>
      </c>
      <c r="J227" s="199">
        <v>0</v>
      </c>
      <c r="K227" s="199">
        <v>0</v>
      </c>
      <c r="L227" s="199">
        <v>0</v>
      </c>
      <c r="M227" s="199">
        <v>0</v>
      </c>
      <c r="N227" s="199">
        <v>0</v>
      </c>
      <c r="O227" s="199">
        <v>0</v>
      </c>
      <c r="P227" s="199">
        <v>0</v>
      </c>
    </row>
    <row r="228" spans="2:16" ht="30">
      <c r="B228" s="302" t="s">
        <v>114</v>
      </c>
      <c r="C228" s="199">
        <v>0</v>
      </c>
      <c r="D228" s="199">
        <v>0</v>
      </c>
      <c r="E228" s="199">
        <v>0</v>
      </c>
      <c r="F228" s="199">
        <v>0</v>
      </c>
      <c r="G228" s="199">
        <v>0</v>
      </c>
      <c r="H228" s="199">
        <v>0</v>
      </c>
      <c r="I228" s="199">
        <v>0</v>
      </c>
      <c r="J228" s="199">
        <v>0</v>
      </c>
      <c r="K228" s="199">
        <v>0</v>
      </c>
      <c r="L228" s="199">
        <v>0</v>
      </c>
      <c r="M228" s="199">
        <v>0</v>
      </c>
      <c r="N228" s="199">
        <v>0</v>
      </c>
      <c r="O228" s="199">
        <v>0</v>
      </c>
      <c r="P228" s="199">
        <v>0</v>
      </c>
    </row>
    <row r="229" spans="2:16" ht="15.5">
      <c r="B229" s="302" t="s">
        <v>115</v>
      </c>
      <c r="C229" s="199">
        <v>0</v>
      </c>
      <c r="D229" s="199">
        <v>0</v>
      </c>
      <c r="E229" s="199">
        <v>0</v>
      </c>
      <c r="F229" s="199">
        <v>0</v>
      </c>
      <c r="G229" s="199">
        <v>0</v>
      </c>
      <c r="H229" s="199">
        <v>0</v>
      </c>
      <c r="I229" s="199">
        <v>0</v>
      </c>
      <c r="J229" s="199">
        <v>0</v>
      </c>
      <c r="K229" s="199">
        <v>0</v>
      </c>
      <c r="L229" s="199">
        <v>0</v>
      </c>
      <c r="M229" s="199">
        <v>0</v>
      </c>
      <c r="N229" s="199">
        <v>0</v>
      </c>
      <c r="O229" s="199">
        <v>0</v>
      </c>
      <c r="P229" s="199">
        <v>0</v>
      </c>
    </row>
    <row r="230" spans="2:16" ht="15.5">
      <c r="B230" s="302" t="s">
        <v>59</v>
      </c>
      <c r="C230" s="199">
        <v>68709</v>
      </c>
      <c r="D230" s="199">
        <v>43386</v>
      </c>
      <c r="E230" s="199">
        <v>33047</v>
      </c>
      <c r="F230" s="199">
        <v>29148</v>
      </c>
      <c r="G230" s="199">
        <v>13574</v>
      </c>
      <c r="H230" s="199">
        <v>8311</v>
      </c>
      <c r="I230" s="199">
        <v>0</v>
      </c>
      <c r="J230" s="199">
        <v>0</v>
      </c>
      <c r="K230" s="199">
        <v>0</v>
      </c>
      <c r="L230" s="199">
        <v>0</v>
      </c>
      <c r="M230" s="199">
        <v>0</v>
      </c>
      <c r="N230" s="199">
        <v>0</v>
      </c>
      <c r="O230" s="199">
        <v>0</v>
      </c>
      <c r="P230" s="199">
        <v>0</v>
      </c>
    </row>
    <row r="231" spans="2:16" ht="15.5">
      <c r="B231" s="302" t="s">
        <v>70</v>
      </c>
      <c r="C231" s="199">
        <v>0</v>
      </c>
      <c r="D231" s="199">
        <v>0</v>
      </c>
      <c r="E231" s="199">
        <v>0</v>
      </c>
      <c r="F231" s="199">
        <v>0</v>
      </c>
      <c r="G231" s="199">
        <v>0</v>
      </c>
      <c r="H231" s="199">
        <v>0</v>
      </c>
      <c r="I231" s="199">
        <v>0</v>
      </c>
      <c r="J231" s="199">
        <v>0</v>
      </c>
      <c r="K231" s="199">
        <v>0</v>
      </c>
      <c r="L231" s="199">
        <v>0</v>
      </c>
      <c r="M231" s="199">
        <v>0</v>
      </c>
      <c r="N231" s="199">
        <v>0</v>
      </c>
      <c r="O231" s="199">
        <v>0</v>
      </c>
      <c r="P231" s="199">
        <v>0</v>
      </c>
    </row>
    <row r="232" spans="2:16" ht="15.5">
      <c r="B232" s="302" t="s">
        <v>71</v>
      </c>
      <c r="C232" s="199">
        <v>243</v>
      </c>
      <c r="D232" s="199">
        <v>355</v>
      </c>
      <c r="E232" s="199">
        <v>328</v>
      </c>
      <c r="F232" s="199">
        <v>301</v>
      </c>
      <c r="G232" s="199">
        <v>303</v>
      </c>
      <c r="H232" s="199">
        <v>278</v>
      </c>
      <c r="I232" s="199">
        <v>363</v>
      </c>
      <c r="J232" s="199">
        <v>277</v>
      </c>
      <c r="K232" s="199">
        <v>254</v>
      </c>
      <c r="L232" s="199">
        <v>234</v>
      </c>
      <c r="M232" s="199">
        <v>207</v>
      </c>
      <c r="N232" s="199">
        <v>183</v>
      </c>
      <c r="O232" s="199">
        <v>160</v>
      </c>
      <c r="P232" s="199">
        <v>142.84178399999999</v>
      </c>
    </row>
    <row r="233" spans="2:16" ht="15.5">
      <c r="B233" s="302" t="s">
        <v>72</v>
      </c>
      <c r="C233" s="199">
        <v>0</v>
      </c>
      <c r="D233" s="199">
        <v>0</v>
      </c>
      <c r="E233" s="199">
        <v>0</v>
      </c>
      <c r="F233" s="199">
        <v>0</v>
      </c>
      <c r="G233" s="199">
        <v>0</v>
      </c>
      <c r="H233" s="199">
        <v>0</v>
      </c>
      <c r="I233" s="199">
        <v>0</v>
      </c>
      <c r="J233" s="199">
        <v>0</v>
      </c>
      <c r="K233" s="199">
        <v>0</v>
      </c>
      <c r="L233" s="199">
        <v>0</v>
      </c>
      <c r="M233" s="199">
        <v>0</v>
      </c>
      <c r="N233" s="199">
        <v>0</v>
      </c>
      <c r="O233" s="199">
        <v>0</v>
      </c>
      <c r="P233" s="199">
        <v>0</v>
      </c>
    </row>
    <row r="234" spans="2:16" ht="15.5">
      <c r="B234" s="302" t="s">
        <v>74</v>
      </c>
      <c r="C234" s="199">
        <v>105</v>
      </c>
      <c r="D234" s="199">
        <v>182</v>
      </c>
      <c r="E234" s="199">
        <v>173</v>
      </c>
      <c r="F234" s="199">
        <v>165</v>
      </c>
      <c r="G234" s="199">
        <v>157</v>
      </c>
      <c r="H234" s="199">
        <v>172</v>
      </c>
      <c r="I234" s="199">
        <v>163</v>
      </c>
      <c r="J234" s="199">
        <v>160</v>
      </c>
      <c r="K234" s="199">
        <v>150</v>
      </c>
      <c r="L234" s="199">
        <v>142</v>
      </c>
      <c r="M234" s="199">
        <v>132</v>
      </c>
      <c r="N234" s="199">
        <v>149</v>
      </c>
      <c r="O234" s="199">
        <v>138</v>
      </c>
      <c r="P234" s="199">
        <v>127.437786</v>
      </c>
    </row>
    <row r="235" spans="2:16" ht="15.5">
      <c r="B235" s="302" t="s">
        <v>62</v>
      </c>
      <c r="C235" s="199">
        <v>0</v>
      </c>
      <c r="D235" s="199">
        <v>0</v>
      </c>
      <c r="E235" s="199">
        <v>0</v>
      </c>
      <c r="F235" s="199">
        <v>0</v>
      </c>
      <c r="G235" s="199">
        <v>0</v>
      </c>
      <c r="H235" s="199">
        <v>0</v>
      </c>
      <c r="I235" s="199">
        <v>0</v>
      </c>
      <c r="J235" s="199">
        <v>0</v>
      </c>
      <c r="K235" s="199">
        <v>0</v>
      </c>
      <c r="L235" s="199">
        <v>0</v>
      </c>
      <c r="M235" s="199">
        <v>0</v>
      </c>
      <c r="N235" s="199">
        <v>0</v>
      </c>
      <c r="O235" s="199">
        <v>0</v>
      </c>
      <c r="P235" s="199">
        <v>0</v>
      </c>
    </row>
    <row r="236" spans="2:16" ht="15.5">
      <c r="B236" s="302" t="s">
        <v>75</v>
      </c>
      <c r="C236" s="199">
        <v>4049</v>
      </c>
      <c r="D236" s="199">
        <v>0</v>
      </c>
      <c r="E236" s="199">
        <v>164</v>
      </c>
      <c r="F236" s="199">
        <v>309</v>
      </c>
      <c r="G236" s="199">
        <v>559</v>
      </c>
      <c r="H236" s="199">
        <v>1608</v>
      </c>
      <c r="I236" s="199">
        <v>1624</v>
      </c>
      <c r="J236" s="199">
        <v>1841</v>
      </c>
      <c r="K236" s="199">
        <v>1756</v>
      </c>
      <c r="L236" s="199">
        <v>1843</v>
      </c>
      <c r="M236" s="199">
        <v>2213</v>
      </c>
      <c r="N236" s="199">
        <v>2542</v>
      </c>
      <c r="O236" s="199">
        <v>2889</v>
      </c>
      <c r="P236" s="199">
        <v>1512.610109</v>
      </c>
    </row>
    <row r="237" spans="2:16" ht="15.5">
      <c r="B237" s="302" t="s">
        <v>76</v>
      </c>
      <c r="C237" s="199">
        <v>0</v>
      </c>
      <c r="D237" s="199">
        <v>0</v>
      </c>
      <c r="E237" s="199">
        <v>0</v>
      </c>
      <c r="F237" s="199">
        <v>0</v>
      </c>
      <c r="G237" s="199">
        <v>0</v>
      </c>
      <c r="H237" s="199">
        <v>0</v>
      </c>
      <c r="I237" s="199">
        <v>-5</v>
      </c>
      <c r="J237" s="199">
        <v>50</v>
      </c>
      <c r="K237" s="199">
        <v>43</v>
      </c>
      <c r="L237" s="199">
        <v>114</v>
      </c>
      <c r="M237" s="199">
        <v>99</v>
      </c>
      <c r="N237" s="199">
        <v>87</v>
      </c>
      <c r="O237" s="199">
        <v>99</v>
      </c>
      <c r="P237" s="199">
        <v>84.695992000000004</v>
      </c>
    </row>
    <row r="238" spans="2:16" ht="15.5">
      <c r="B238" s="302" t="s">
        <v>63</v>
      </c>
      <c r="C238" s="199">
        <v>0</v>
      </c>
      <c r="D238" s="199">
        <v>0</v>
      </c>
      <c r="E238" s="199">
        <v>0</v>
      </c>
      <c r="F238" s="199">
        <v>0</v>
      </c>
      <c r="G238" s="199">
        <v>0</v>
      </c>
      <c r="H238" s="199">
        <v>0</v>
      </c>
      <c r="I238" s="199">
        <v>0</v>
      </c>
      <c r="J238" s="199">
        <v>0</v>
      </c>
      <c r="K238" s="199">
        <v>0</v>
      </c>
      <c r="L238" s="199">
        <v>0</v>
      </c>
      <c r="M238" s="199">
        <v>0</v>
      </c>
      <c r="N238" s="199">
        <v>0</v>
      </c>
      <c r="O238" s="199">
        <v>0</v>
      </c>
      <c r="P238" s="199">
        <v>0</v>
      </c>
    </row>
    <row r="239" spans="2:16" ht="15">
      <c r="B239" s="274" t="s">
        <v>78</v>
      </c>
      <c r="C239" s="279">
        <v>73106</v>
      </c>
      <c r="D239" s="279">
        <v>43923</v>
      </c>
      <c r="E239" s="279">
        <v>33712</v>
      </c>
      <c r="F239" s="279">
        <v>29923</v>
      </c>
      <c r="G239" s="279">
        <v>14593</v>
      </c>
      <c r="H239" s="279">
        <v>10369</v>
      </c>
      <c r="I239" s="279">
        <v>2145</v>
      </c>
      <c r="J239" s="279">
        <v>2328</v>
      </c>
      <c r="K239" s="279">
        <v>2203</v>
      </c>
      <c r="L239" s="279">
        <v>2333</v>
      </c>
      <c r="M239" s="279">
        <v>2651</v>
      </c>
      <c r="N239" s="279">
        <v>2961</v>
      </c>
      <c r="O239" s="279">
        <v>3286</v>
      </c>
      <c r="P239" s="279">
        <f>SUM(P226:P238)</f>
        <v>1867.5856709999998</v>
      </c>
    </row>
    <row r="240" spans="2:16" ht="15">
      <c r="B240" s="222" t="s">
        <v>79</v>
      </c>
      <c r="C240" s="278">
        <v>150015</v>
      </c>
      <c r="D240" s="278">
        <v>135060</v>
      </c>
      <c r="E240" s="278">
        <v>125840</v>
      </c>
      <c r="F240" s="278">
        <v>128836</v>
      </c>
      <c r="G240" s="278">
        <v>113982</v>
      </c>
      <c r="H240" s="278">
        <v>117618</v>
      </c>
      <c r="I240" s="278">
        <v>108818</v>
      </c>
      <c r="J240" s="278">
        <v>111355</v>
      </c>
      <c r="K240" s="278">
        <v>102220</v>
      </c>
      <c r="L240" s="278">
        <v>104641</v>
      </c>
      <c r="M240" s="278">
        <v>96099</v>
      </c>
      <c r="N240" s="278">
        <v>95897</v>
      </c>
      <c r="O240" s="278">
        <v>81955</v>
      </c>
      <c r="P240" s="278">
        <f>+P224+P239</f>
        <v>79114.65932799998</v>
      </c>
    </row>
    <row r="241" spans="2:16" ht="15">
      <c r="B241" s="224"/>
      <c r="C241" s="280"/>
      <c r="D241" s="280"/>
      <c r="E241" s="280"/>
      <c r="F241" s="280"/>
      <c r="G241" s="280"/>
      <c r="H241" s="280"/>
      <c r="I241" s="280"/>
      <c r="J241" s="280"/>
      <c r="K241" s="280"/>
      <c r="L241" s="280"/>
      <c r="M241" s="280"/>
      <c r="N241" s="280"/>
      <c r="O241" s="280"/>
      <c r="P241" s="280"/>
    </row>
    <row r="242" spans="2:16" ht="15">
      <c r="B242" s="281" t="s">
        <v>80</v>
      </c>
      <c r="C242" s="282"/>
      <c r="D242" s="282"/>
      <c r="E242" s="282"/>
      <c r="F242" s="282"/>
      <c r="G242" s="282"/>
      <c r="H242" s="282"/>
      <c r="I242" s="282"/>
      <c r="J242" s="282"/>
      <c r="K242" s="282"/>
      <c r="L242" s="282"/>
      <c r="M242" s="282"/>
      <c r="N242" s="282"/>
      <c r="O242" s="282"/>
      <c r="P242" s="282"/>
    </row>
    <row r="243" spans="2:16" ht="15">
      <c r="B243" s="274" t="s">
        <v>81</v>
      </c>
      <c r="C243" s="283"/>
      <c r="D243" s="283"/>
      <c r="E243" s="283"/>
      <c r="F243" s="283"/>
      <c r="G243" s="283"/>
      <c r="H243" s="283"/>
      <c r="I243" s="283"/>
      <c r="J243" s="283"/>
      <c r="K243" s="283"/>
      <c r="L243" s="283"/>
      <c r="M243" s="283"/>
      <c r="N243" s="283"/>
      <c r="O243" s="283"/>
      <c r="P243" s="283"/>
    </row>
    <row r="244" spans="2:16" ht="15.5">
      <c r="B244" s="302" t="s">
        <v>82</v>
      </c>
      <c r="C244" s="199">
        <v>26862</v>
      </c>
      <c r="D244" s="199">
        <v>25545</v>
      </c>
      <c r="E244" s="199">
        <v>23227</v>
      </c>
      <c r="F244" s="199">
        <v>25175</v>
      </c>
      <c r="G244" s="199">
        <v>18378</v>
      </c>
      <c r="H244" s="199">
        <v>20071</v>
      </c>
      <c r="I244" s="199">
        <v>17704</v>
      </c>
      <c r="J244" s="199">
        <v>19303</v>
      </c>
      <c r="K244" s="199">
        <v>20521</v>
      </c>
      <c r="L244" s="199">
        <v>21756</v>
      </c>
      <c r="M244" s="199">
        <v>21861</v>
      </c>
      <c r="N244" s="199">
        <v>22835</v>
      </c>
      <c r="O244" s="199">
        <v>9368</v>
      </c>
      <c r="P244" s="199">
        <v>9941.8127139999997</v>
      </c>
    </row>
    <row r="245" spans="2:16" ht="15.5">
      <c r="B245" s="302" t="s">
        <v>83</v>
      </c>
      <c r="C245" s="199">
        <v>388</v>
      </c>
      <c r="D245" s="199">
        <v>620</v>
      </c>
      <c r="E245" s="199">
        <v>1100</v>
      </c>
      <c r="F245" s="199">
        <v>1752</v>
      </c>
      <c r="G245" s="199">
        <v>782</v>
      </c>
      <c r="H245" s="199">
        <v>958</v>
      </c>
      <c r="I245" s="199">
        <v>505</v>
      </c>
      <c r="J245" s="199">
        <v>750</v>
      </c>
      <c r="K245" s="199">
        <v>1005</v>
      </c>
      <c r="L245" s="199">
        <v>2052</v>
      </c>
      <c r="M245" s="199">
        <v>2685</v>
      </c>
      <c r="N245" s="199">
        <v>2025</v>
      </c>
      <c r="O245" s="199">
        <v>1696</v>
      </c>
      <c r="P245" s="199">
        <v>3977.6526309999999</v>
      </c>
    </row>
    <row r="246" spans="2:16" ht="15.5">
      <c r="B246" s="302" t="s">
        <v>85</v>
      </c>
      <c r="C246" s="199">
        <v>26</v>
      </c>
      <c r="D246" s="199">
        <v>33</v>
      </c>
      <c r="E246" s="199">
        <v>27</v>
      </c>
      <c r="F246" s="199">
        <v>31</v>
      </c>
      <c r="G246" s="199">
        <v>35</v>
      </c>
      <c r="H246" s="199">
        <v>31</v>
      </c>
      <c r="I246" s="199">
        <v>21</v>
      </c>
      <c r="J246" s="199">
        <v>23</v>
      </c>
      <c r="K246" s="199">
        <v>24</v>
      </c>
      <c r="L246" s="199">
        <v>29</v>
      </c>
      <c r="M246" s="199">
        <v>22</v>
      </c>
      <c r="N246" s="199">
        <v>32</v>
      </c>
      <c r="O246" s="199">
        <v>31</v>
      </c>
      <c r="P246" s="199">
        <v>35.794066000000001</v>
      </c>
    </row>
    <row r="247" spans="2:16" ht="15.5">
      <c r="B247" s="302" t="s">
        <v>60</v>
      </c>
      <c r="C247" s="199">
        <v>881</v>
      </c>
      <c r="D247" s="199">
        <v>772</v>
      </c>
      <c r="E247" s="199">
        <v>599</v>
      </c>
      <c r="F247" s="199">
        <v>329</v>
      </c>
      <c r="G247" s="199">
        <v>2</v>
      </c>
      <c r="H247" s="199">
        <v>381</v>
      </c>
      <c r="I247" s="199">
        <v>622</v>
      </c>
      <c r="J247" s="199">
        <v>376</v>
      </c>
      <c r="K247" s="199">
        <v>447</v>
      </c>
      <c r="L247" s="199">
        <v>711</v>
      </c>
      <c r="M247" s="199">
        <v>3</v>
      </c>
      <c r="N247" s="199">
        <v>277</v>
      </c>
      <c r="O247" s="199">
        <v>4</v>
      </c>
      <c r="P247" s="199">
        <v>402.43116500000002</v>
      </c>
    </row>
    <row r="248" spans="2:16" ht="15.5">
      <c r="B248" s="302" t="s">
        <v>86</v>
      </c>
      <c r="C248" s="199">
        <v>194</v>
      </c>
      <c r="D248" s="199">
        <v>8</v>
      </c>
      <c r="E248" s="199">
        <v>0</v>
      </c>
      <c r="F248" s="199">
        <v>0</v>
      </c>
      <c r="G248" s="199">
        <v>391</v>
      </c>
      <c r="H248" s="199">
        <v>0</v>
      </c>
      <c r="I248" s="199">
        <v>817</v>
      </c>
      <c r="J248" s="199">
        <v>1142</v>
      </c>
      <c r="K248" s="199">
        <v>1204</v>
      </c>
      <c r="L248" s="199">
        <v>403</v>
      </c>
      <c r="M248" s="199">
        <v>723</v>
      </c>
      <c r="N248" s="199">
        <v>808</v>
      </c>
      <c r="O248" s="199">
        <v>712</v>
      </c>
      <c r="P248" s="199">
        <v>993.08586100000002</v>
      </c>
    </row>
    <row r="249" spans="2:16" ht="15.5">
      <c r="B249" s="302" t="s">
        <v>84</v>
      </c>
      <c r="C249" s="199">
        <v>814</v>
      </c>
      <c r="D249" s="199">
        <v>983</v>
      </c>
      <c r="E249" s="199">
        <v>142</v>
      </c>
      <c r="F249" s="199">
        <v>204</v>
      </c>
      <c r="G249" s="199">
        <v>269</v>
      </c>
      <c r="H249" s="199">
        <v>597</v>
      </c>
      <c r="I249" s="199">
        <v>151</v>
      </c>
      <c r="J249" s="199">
        <v>193</v>
      </c>
      <c r="K249" s="199">
        <v>241</v>
      </c>
      <c r="L249" s="199">
        <v>463</v>
      </c>
      <c r="M249" s="199">
        <v>713</v>
      </c>
      <c r="N249" s="199">
        <v>200</v>
      </c>
      <c r="O249" s="199">
        <v>245</v>
      </c>
      <c r="P249" s="199">
        <v>359.39655299999998</v>
      </c>
    </row>
    <row r="250" spans="2:16" ht="15.5">
      <c r="B250" s="302" t="s">
        <v>87</v>
      </c>
      <c r="C250" s="199">
        <v>0</v>
      </c>
      <c r="D250" s="199">
        <v>0</v>
      </c>
      <c r="E250" s="199">
        <v>0</v>
      </c>
      <c r="F250" s="199">
        <v>0</v>
      </c>
      <c r="G250" s="199">
        <v>0</v>
      </c>
      <c r="H250" s="199">
        <v>0</v>
      </c>
      <c r="I250" s="199">
        <v>0</v>
      </c>
      <c r="J250" s="199">
        <v>0</v>
      </c>
      <c r="K250" s="199">
        <v>0</v>
      </c>
      <c r="L250" s="199">
        <v>0</v>
      </c>
      <c r="M250" s="199">
        <v>0</v>
      </c>
      <c r="N250" s="199">
        <v>0</v>
      </c>
      <c r="O250" s="199">
        <v>0</v>
      </c>
      <c r="P250" s="199">
        <v>3091.8369189999999</v>
      </c>
    </row>
    <row r="251" spans="2:16" ht="15.5">
      <c r="B251" s="302" t="s">
        <v>116</v>
      </c>
      <c r="C251" s="199">
        <v>0</v>
      </c>
      <c r="D251" s="199">
        <v>0</v>
      </c>
      <c r="E251" s="199">
        <v>0</v>
      </c>
      <c r="F251" s="199">
        <v>0</v>
      </c>
      <c r="G251" s="199">
        <v>0</v>
      </c>
      <c r="H251" s="199">
        <v>0</v>
      </c>
      <c r="I251" s="199">
        <v>0</v>
      </c>
      <c r="J251" s="199">
        <v>0</v>
      </c>
      <c r="K251" s="199">
        <v>0</v>
      </c>
      <c r="L251" s="199">
        <v>0</v>
      </c>
      <c r="M251" s="199">
        <v>0</v>
      </c>
      <c r="N251" s="199">
        <v>0</v>
      </c>
      <c r="O251" s="199">
        <v>0</v>
      </c>
      <c r="P251" s="199">
        <v>0</v>
      </c>
    </row>
    <row r="252" spans="2:16" ht="15">
      <c r="B252" s="274" t="s">
        <v>89</v>
      </c>
      <c r="C252" s="279">
        <v>29165</v>
      </c>
      <c r="D252" s="279">
        <v>27961</v>
      </c>
      <c r="E252" s="279">
        <v>25095</v>
      </c>
      <c r="F252" s="279">
        <v>27491</v>
      </c>
      <c r="G252" s="279">
        <v>19857</v>
      </c>
      <c r="H252" s="279">
        <v>22038</v>
      </c>
      <c r="I252" s="279">
        <v>19820</v>
      </c>
      <c r="J252" s="279">
        <v>21787</v>
      </c>
      <c r="K252" s="279">
        <v>23442</v>
      </c>
      <c r="L252" s="279">
        <v>25414</v>
      </c>
      <c r="M252" s="279">
        <v>26007</v>
      </c>
      <c r="N252" s="279">
        <v>26177</v>
      </c>
      <c r="O252" s="279">
        <v>12056</v>
      </c>
      <c r="P252" s="279">
        <f>SUM(P244:P251)</f>
        <v>18802.009909</v>
      </c>
    </row>
    <row r="253" spans="2:16" ht="15">
      <c r="B253" s="284" t="s">
        <v>90</v>
      </c>
      <c r="C253" s="285"/>
      <c r="D253" s="285"/>
      <c r="E253" s="285"/>
      <c r="F253" s="285"/>
      <c r="G253" s="285"/>
      <c r="H253" s="285"/>
      <c r="I253" s="285"/>
      <c r="J253" s="285"/>
      <c r="K253" s="285"/>
      <c r="L253" s="285"/>
      <c r="M253" s="285"/>
      <c r="N253" s="285"/>
      <c r="O253" s="285"/>
      <c r="P253" s="285"/>
    </row>
    <row r="254" spans="2:16" ht="15.5">
      <c r="B254" s="302" t="s">
        <v>82</v>
      </c>
      <c r="C254" s="199">
        <v>95874</v>
      </c>
      <c r="D254" s="199">
        <v>82408</v>
      </c>
      <c r="E254" s="199">
        <v>76134</v>
      </c>
      <c r="F254" s="199">
        <v>76709</v>
      </c>
      <c r="G254" s="199">
        <v>69631</v>
      </c>
      <c r="H254" s="199">
        <v>70138</v>
      </c>
      <c r="I254" s="199">
        <v>63599</v>
      </c>
      <c r="J254" s="199">
        <v>63823</v>
      </c>
      <c r="K254" s="199">
        <v>52484</v>
      </c>
      <c r="L254" s="199">
        <v>52799</v>
      </c>
      <c r="M254" s="199">
        <v>44322</v>
      </c>
      <c r="N254" s="199">
        <v>44755</v>
      </c>
      <c r="O254" s="199">
        <v>45575</v>
      </c>
      <c r="P254" s="199">
        <v>46191.339499000002</v>
      </c>
    </row>
    <row r="255" spans="2:16" ht="15.5">
      <c r="B255" s="302" t="s">
        <v>83</v>
      </c>
      <c r="C255" s="199">
        <v>0</v>
      </c>
      <c r="D255" s="199">
        <v>0</v>
      </c>
      <c r="E255" s="199">
        <v>0</v>
      </c>
      <c r="F255" s="199">
        <v>0</v>
      </c>
      <c r="G255" s="199">
        <v>0</v>
      </c>
      <c r="H255" s="199">
        <v>0</v>
      </c>
      <c r="I255" s="199">
        <v>0</v>
      </c>
      <c r="J255" s="199">
        <v>24</v>
      </c>
      <c r="K255" s="199">
        <v>20</v>
      </c>
      <c r="L255" s="199">
        <v>63</v>
      </c>
      <c r="M255" s="199">
        <v>49</v>
      </c>
      <c r="N255" s="199">
        <v>39</v>
      </c>
      <c r="O255" s="199">
        <v>42</v>
      </c>
      <c r="P255" s="199">
        <v>29.737808000000001</v>
      </c>
    </row>
    <row r="256" spans="2:16" ht="15.5">
      <c r="B256" s="302" t="s">
        <v>91</v>
      </c>
      <c r="C256" s="199">
        <v>0</v>
      </c>
      <c r="D256" s="199">
        <v>0</v>
      </c>
      <c r="E256" s="199">
        <v>0</v>
      </c>
      <c r="F256" s="199">
        <v>0</v>
      </c>
      <c r="G256" s="199">
        <v>0</v>
      </c>
      <c r="H256" s="199">
        <v>0</v>
      </c>
      <c r="I256" s="199">
        <v>0</v>
      </c>
      <c r="J256" s="199">
        <v>0</v>
      </c>
      <c r="K256" s="199">
        <v>0</v>
      </c>
      <c r="L256" s="199">
        <v>0</v>
      </c>
      <c r="M256" s="199">
        <v>0</v>
      </c>
      <c r="N256" s="199">
        <v>0</v>
      </c>
      <c r="O256" s="199">
        <v>0</v>
      </c>
      <c r="P256" s="199">
        <v>0</v>
      </c>
    </row>
    <row r="257" spans="2:16" ht="15.5">
      <c r="B257" s="302" t="s">
        <v>85</v>
      </c>
      <c r="C257" s="199">
        <v>0</v>
      </c>
      <c r="D257" s="199">
        <v>0</v>
      </c>
      <c r="E257" s="199">
        <v>0</v>
      </c>
      <c r="F257" s="199">
        <v>0</v>
      </c>
      <c r="G257" s="199">
        <v>0</v>
      </c>
      <c r="H257" s="199">
        <v>0</v>
      </c>
      <c r="I257" s="199">
        <v>0</v>
      </c>
      <c r="J257" s="199">
        <v>0</v>
      </c>
      <c r="K257" s="199">
        <v>0</v>
      </c>
      <c r="L257" s="199">
        <v>0</v>
      </c>
      <c r="M257" s="199">
        <v>0</v>
      </c>
      <c r="N257" s="199">
        <v>0</v>
      </c>
      <c r="O257" s="199">
        <v>0</v>
      </c>
      <c r="P257" s="199">
        <v>0</v>
      </c>
    </row>
    <row r="258" spans="2:16" ht="15.5">
      <c r="B258" s="302" t="s">
        <v>86</v>
      </c>
      <c r="C258" s="199">
        <v>0</v>
      </c>
      <c r="D258" s="199">
        <v>0</v>
      </c>
      <c r="E258" s="199">
        <v>0</v>
      </c>
      <c r="F258" s="199">
        <v>0</v>
      </c>
      <c r="G258" s="199">
        <v>0</v>
      </c>
      <c r="H258" s="199">
        <v>0</v>
      </c>
      <c r="I258" s="199">
        <v>0</v>
      </c>
      <c r="J258" s="199">
        <v>0</v>
      </c>
      <c r="K258" s="199">
        <v>0</v>
      </c>
      <c r="L258" s="199">
        <v>0</v>
      </c>
      <c r="M258" s="199">
        <v>0</v>
      </c>
      <c r="N258" s="199">
        <v>0</v>
      </c>
      <c r="O258" s="199">
        <v>0</v>
      </c>
      <c r="P258" s="199">
        <v>0</v>
      </c>
    </row>
    <row r="259" spans="2:16" ht="15.5">
      <c r="B259" s="302" t="s">
        <v>87</v>
      </c>
      <c r="C259" s="199">
        <v>0</v>
      </c>
      <c r="D259" s="199">
        <v>0</v>
      </c>
      <c r="E259" s="199">
        <v>0</v>
      </c>
      <c r="F259" s="199">
        <v>0</v>
      </c>
      <c r="G259" s="199">
        <v>0</v>
      </c>
      <c r="H259" s="199">
        <v>0</v>
      </c>
      <c r="I259" s="199">
        <v>0</v>
      </c>
      <c r="J259" s="199">
        <v>0</v>
      </c>
      <c r="K259" s="199">
        <v>0</v>
      </c>
      <c r="L259" s="199">
        <v>0</v>
      </c>
      <c r="M259" s="199">
        <v>0</v>
      </c>
      <c r="N259" s="199">
        <v>0</v>
      </c>
      <c r="O259" s="199">
        <v>0</v>
      </c>
      <c r="P259" s="199">
        <v>0</v>
      </c>
    </row>
    <row r="260" spans="2:16" ht="15.5">
      <c r="B260" s="302" t="s">
        <v>117</v>
      </c>
      <c r="C260" s="199">
        <v>0</v>
      </c>
      <c r="D260" s="199">
        <v>149</v>
      </c>
      <c r="E260" s="199">
        <v>0</v>
      </c>
      <c r="F260" s="199">
        <v>0</v>
      </c>
      <c r="G260" s="199">
        <v>0</v>
      </c>
      <c r="H260" s="199">
        <v>0</v>
      </c>
      <c r="I260" s="199">
        <v>0</v>
      </c>
      <c r="J260" s="199">
        <v>0</v>
      </c>
      <c r="K260" s="199">
        <v>0</v>
      </c>
      <c r="L260" s="199">
        <v>0</v>
      </c>
      <c r="M260" s="199">
        <v>0</v>
      </c>
      <c r="N260" s="199">
        <v>0</v>
      </c>
      <c r="O260" s="199">
        <v>0</v>
      </c>
      <c r="P260" s="199">
        <v>0</v>
      </c>
    </row>
    <row r="261" spans="2:16" ht="15">
      <c r="B261" s="274" t="s">
        <v>92</v>
      </c>
      <c r="C261" s="279">
        <v>95874</v>
      </c>
      <c r="D261" s="279">
        <v>82557</v>
      </c>
      <c r="E261" s="279">
        <v>76134</v>
      </c>
      <c r="F261" s="279">
        <v>76709</v>
      </c>
      <c r="G261" s="279">
        <v>69631</v>
      </c>
      <c r="H261" s="279">
        <v>70138</v>
      </c>
      <c r="I261" s="279">
        <v>63599</v>
      </c>
      <c r="J261" s="279">
        <v>63847</v>
      </c>
      <c r="K261" s="279">
        <v>52504</v>
      </c>
      <c r="L261" s="279">
        <v>52862</v>
      </c>
      <c r="M261" s="279">
        <v>44371</v>
      </c>
      <c r="N261" s="279">
        <v>44794</v>
      </c>
      <c r="O261" s="279">
        <v>45617</v>
      </c>
      <c r="P261" s="279">
        <f>SUM(P254:P260)</f>
        <v>46221.077307</v>
      </c>
    </row>
    <row r="262" spans="2:16" ht="15">
      <c r="B262" s="222" t="s">
        <v>93</v>
      </c>
      <c r="C262" s="278">
        <v>125039</v>
      </c>
      <c r="D262" s="278">
        <v>110518</v>
      </c>
      <c r="E262" s="278">
        <v>101229</v>
      </c>
      <c r="F262" s="278">
        <v>104200</v>
      </c>
      <c r="G262" s="278">
        <v>89488</v>
      </c>
      <c r="H262" s="278">
        <v>92176</v>
      </c>
      <c r="I262" s="278">
        <v>83419</v>
      </c>
      <c r="J262" s="278">
        <v>85634</v>
      </c>
      <c r="K262" s="278">
        <v>75946</v>
      </c>
      <c r="L262" s="278">
        <v>78276</v>
      </c>
      <c r="M262" s="278">
        <v>70378</v>
      </c>
      <c r="N262" s="278">
        <v>70971</v>
      </c>
      <c r="O262" s="278">
        <v>57673</v>
      </c>
      <c r="P262" s="278">
        <f>+P252+P261</f>
        <v>65023.087216</v>
      </c>
    </row>
    <row r="263" spans="2:16" ht="15">
      <c r="B263" s="224"/>
      <c r="C263" s="280"/>
      <c r="D263" s="280"/>
      <c r="E263" s="280"/>
      <c r="F263" s="280"/>
      <c r="G263" s="280"/>
      <c r="H263" s="280"/>
      <c r="I263" s="280"/>
      <c r="J263" s="280"/>
      <c r="K263" s="280"/>
      <c r="L263" s="280"/>
      <c r="M263" s="280"/>
      <c r="N263" s="280"/>
      <c r="O263" s="280"/>
      <c r="P263" s="280"/>
    </row>
    <row r="264" spans="2:16" ht="15">
      <c r="B264" s="284" t="s">
        <v>94</v>
      </c>
      <c r="C264" s="285"/>
      <c r="D264" s="285"/>
      <c r="E264" s="285"/>
      <c r="F264" s="285"/>
      <c r="G264" s="285"/>
      <c r="H264" s="285"/>
      <c r="I264" s="285"/>
      <c r="J264" s="285"/>
      <c r="K264" s="285"/>
      <c r="L264" s="285"/>
      <c r="M264" s="285"/>
      <c r="N264" s="285"/>
      <c r="O264" s="285"/>
      <c r="P264" s="285"/>
    </row>
    <row r="265" spans="2:16" ht="15.5">
      <c r="B265" s="302" t="s">
        <v>95</v>
      </c>
      <c r="C265" s="199">
        <v>30199</v>
      </c>
      <c r="D265" s="199">
        <v>30199</v>
      </c>
      <c r="E265" s="199">
        <v>30199</v>
      </c>
      <c r="F265" s="199">
        <v>30199</v>
      </c>
      <c r="G265" s="199">
        <v>30199</v>
      </c>
      <c r="H265" s="199">
        <v>30199</v>
      </c>
      <c r="I265" s="199">
        <v>30199</v>
      </c>
      <c r="J265" s="199">
        <v>30199</v>
      </c>
      <c r="K265" s="199">
        <v>30199</v>
      </c>
      <c r="L265" s="199">
        <v>30199</v>
      </c>
      <c r="M265" s="199">
        <v>30199</v>
      </c>
      <c r="N265" s="199">
        <v>30199</v>
      </c>
      <c r="O265" s="199">
        <v>30199</v>
      </c>
      <c r="P265" s="199">
        <v>30199.025601000001</v>
      </c>
    </row>
    <row r="266" spans="2:16" ht="15.5">
      <c r="B266" s="302" t="s">
        <v>96</v>
      </c>
      <c r="C266" s="199">
        <v>0</v>
      </c>
      <c r="D266" s="199">
        <v>0</v>
      </c>
      <c r="E266" s="199">
        <v>0</v>
      </c>
      <c r="F266" s="199">
        <v>0</v>
      </c>
      <c r="G266" s="199">
        <v>0</v>
      </c>
      <c r="H266" s="199">
        <v>0</v>
      </c>
      <c r="I266" s="199">
        <v>0</v>
      </c>
      <c r="J266" s="199">
        <v>0</v>
      </c>
      <c r="K266" s="199">
        <v>0</v>
      </c>
      <c r="L266" s="199">
        <v>0</v>
      </c>
      <c r="M266" s="199">
        <v>0</v>
      </c>
      <c r="N266" s="199">
        <v>0</v>
      </c>
      <c r="O266" s="199">
        <v>0</v>
      </c>
      <c r="P266" s="199">
        <v>0</v>
      </c>
    </row>
    <row r="267" spans="2:16" ht="15.5">
      <c r="B267" s="302" t="s">
        <v>97</v>
      </c>
      <c r="C267" s="199">
        <v>0</v>
      </c>
      <c r="D267" s="199">
        <v>0</v>
      </c>
      <c r="E267" s="199">
        <v>0</v>
      </c>
      <c r="F267" s="199">
        <v>0</v>
      </c>
      <c r="G267" s="199">
        <v>0</v>
      </c>
      <c r="H267" s="199">
        <v>0</v>
      </c>
      <c r="I267" s="199">
        <v>0</v>
      </c>
      <c r="J267" s="199">
        <v>0</v>
      </c>
      <c r="K267" s="199">
        <v>0</v>
      </c>
      <c r="L267" s="199">
        <v>0</v>
      </c>
      <c r="M267" s="199">
        <v>0</v>
      </c>
      <c r="N267" s="199">
        <v>0</v>
      </c>
      <c r="O267" s="199">
        <v>0</v>
      </c>
      <c r="P267" s="199">
        <v>0</v>
      </c>
    </row>
    <row r="268" spans="2:16" ht="15.5">
      <c r="B268" s="302" t="s">
        <v>98</v>
      </c>
      <c r="C268" s="199">
        <v>545</v>
      </c>
      <c r="D268" s="199">
        <v>-5224</v>
      </c>
      <c r="E268" s="199">
        <v>-5657</v>
      </c>
      <c r="F268" s="199">
        <v>-5657</v>
      </c>
      <c r="G268" s="199">
        <v>-5657</v>
      </c>
      <c r="H268" s="199">
        <v>-5657</v>
      </c>
      <c r="I268" s="199">
        <v>-4756</v>
      </c>
      <c r="J268" s="199">
        <v>-4756</v>
      </c>
      <c r="K268" s="199">
        <v>-4756</v>
      </c>
      <c r="L268" s="199">
        <v>-4756</v>
      </c>
      <c r="M268" s="199">
        <v>-3834</v>
      </c>
      <c r="N268" s="199">
        <v>-3834</v>
      </c>
      <c r="O268" s="199">
        <v>-3834</v>
      </c>
      <c r="P268" s="199">
        <v>-3834.435778</v>
      </c>
    </row>
    <row r="269" spans="2:16" ht="15.5">
      <c r="B269" s="302" t="s">
        <v>99</v>
      </c>
      <c r="C269" s="199">
        <v>-5768</v>
      </c>
      <c r="D269" s="199">
        <v>-433</v>
      </c>
      <c r="E269" s="199">
        <v>69</v>
      </c>
      <c r="F269" s="199">
        <v>94</v>
      </c>
      <c r="G269" s="199">
        <v>-48</v>
      </c>
      <c r="H269" s="199">
        <v>900</v>
      </c>
      <c r="I269" s="199">
        <v>-44</v>
      </c>
      <c r="J269" s="199">
        <v>278</v>
      </c>
      <c r="K269" s="199">
        <v>831</v>
      </c>
      <c r="L269" s="199">
        <v>922</v>
      </c>
      <c r="M269" s="199">
        <v>-644</v>
      </c>
      <c r="N269" s="199">
        <v>-1439</v>
      </c>
      <c r="O269" s="199">
        <v>-2083</v>
      </c>
      <c r="P269" s="199">
        <v>-12273.017712000001</v>
      </c>
    </row>
    <row r="270" spans="2:16" ht="15.5">
      <c r="B270" s="302" t="s">
        <v>100</v>
      </c>
      <c r="C270" s="199">
        <v>0</v>
      </c>
      <c r="D270" s="199">
        <v>0</v>
      </c>
      <c r="E270" s="199">
        <v>0</v>
      </c>
      <c r="F270" s="199">
        <v>0</v>
      </c>
      <c r="G270" s="199">
        <v>0</v>
      </c>
      <c r="H270" s="199">
        <v>0</v>
      </c>
      <c r="I270" s="199">
        <v>0</v>
      </c>
      <c r="J270" s="199">
        <v>0</v>
      </c>
      <c r="K270" s="199">
        <v>0</v>
      </c>
      <c r="L270" s="199">
        <v>0</v>
      </c>
      <c r="M270" s="199">
        <v>0</v>
      </c>
      <c r="N270" s="199">
        <v>0</v>
      </c>
      <c r="O270" s="199">
        <v>0</v>
      </c>
      <c r="P270" s="199">
        <v>0</v>
      </c>
    </row>
    <row r="271" spans="2:16" ht="15">
      <c r="B271" s="274" t="s">
        <v>103</v>
      </c>
      <c r="C271" s="279">
        <v>24976</v>
      </c>
      <c r="D271" s="279">
        <v>24542</v>
      </c>
      <c r="E271" s="279">
        <v>24611</v>
      </c>
      <c r="F271" s="279">
        <v>24636</v>
      </c>
      <c r="G271" s="279">
        <v>24494</v>
      </c>
      <c r="H271" s="279">
        <v>25442</v>
      </c>
      <c r="I271" s="279">
        <v>25399</v>
      </c>
      <c r="J271" s="279">
        <v>25721</v>
      </c>
      <c r="K271" s="279">
        <v>26274</v>
      </c>
      <c r="L271" s="279">
        <v>26365</v>
      </c>
      <c r="M271" s="279">
        <v>25721</v>
      </c>
      <c r="N271" s="279">
        <v>24926</v>
      </c>
      <c r="O271" s="279">
        <v>24282</v>
      </c>
      <c r="P271" s="279">
        <f>SUM(P265:P270)</f>
        <v>14091.572111000001</v>
      </c>
    </row>
    <row r="272" spans="2:16" ht="15">
      <c r="B272" s="222" t="s">
        <v>104</v>
      </c>
      <c r="C272" s="278">
        <v>150015</v>
      </c>
      <c r="D272" s="278">
        <v>135060</v>
      </c>
      <c r="E272" s="278">
        <v>125840</v>
      </c>
      <c r="F272" s="278">
        <v>128836</v>
      </c>
      <c r="G272" s="278">
        <v>113982</v>
      </c>
      <c r="H272" s="278">
        <v>117618</v>
      </c>
      <c r="I272" s="278">
        <v>108818</v>
      </c>
      <c r="J272" s="278">
        <v>111355</v>
      </c>
      <c r="K272" s="278">
        <v>102220</v>
      </c>
      <c r="L272" s="278">
        <v>104641</v>
      </c>
      <c r="M272" s="278">
        <v>96099</v>
      </c>
      <c r="N272" s="278">
        <v>95897</v>
      </c>
      <c r="O272" s="278">
        <v>81955</v>
      </c>
      <c r="P272" s="278">
        <f>+P262+P271</f>
        <v>79114.659327000001</v>
      </c>
    </row>
    <row r="273" spans="2:16" ht="15.5">
      <c r="B273" s="233"/>
      <c r="C273" s="233"/>
      <c r="D273" s="233"/>
      <c r="E273" s="233"/>
      <c r="F273" s="233"/>
      <c r="G273" s="233"/>
      <c r="H273" s="233"/>
      <c r="I273" s="233"/>
      <c r="J273" s="233"/>
      <c r="K273" s="233"/>
      <c r="L273" s="233"/>
      <c r="M273" s="233"/>
      <c r="N273" s="233"/>
      <c r="O273" s="233"/>
      <c r="P273" s="106"/>
    </row>
    <row r="274" spans="2:16" ht="15.5">
      <c r="B274" s="233"/>
      <c r="C274" s="233"/>
      <c r="D274" s="233"/>
      <c r="E274" s="233"/>
      <c r="F274" s="233"/>
      <c r="G274" s="233"/>
      <c r="H274" s="233"/>
      <c r="I274" s="233"/>
      <c r="J274" s="233"/>
      <c r="K274" s="233"/>
      <c r="L274" s="233"/>
      <c r="M274" s="233"/>
      <c r="N274" s="233"/>
      <c r="O274" s="233"/>
      <c r="P274" s="106"/>
    </row>
    <row r="275" spans="2:16" ht="15.5">
      <c r="B275" s="125" t="s">
        <v>401</v>
      </c>
      <c r="C275" s="33"/>
      <c r="D275" s="33"/>
      <c r="E275" s="34"/>
      <c r="F275" s="33"/>
      <c r="G275" s="33"/>
      <c r="H275" s="33"/>
      <c r="I275" s="34"/>
      <c r="J275" s="33"/>
      <c r="K275" s="33"/>
      <c r="L275" s="33"/>
      <c r="M275" s="34"/>
      <c r="N275" s="33"/>
      <c r="O275" s="33"/>
      <c r="P275" s="106"/>
    </row>
    <row r="276" spans="2:16" ht="15.5">
      <c r="B276" s="258" t="s">
        <v>393</v>
      </c>
      <c r="C276" s="233"/>
      <c r="D276" s="233"/>
      <c r="E276" s="233"/>
      <c r="F276" s="233"/>
      <c r="G276" s="233"/>
      <c r="H276" s="233"/>
      <c r="I276" s="233"/>
      <c r="J276" s="233"/>
      <c r="K276" s="233"/>
      <c r="L276" s="233"/>
      <c r="M276" s="233"/>
      <c r="N276" s="233"/>
      <c r="O276" s="233"/>
      <c r="P276" s="106"/>
    </row>
    <row r="277" spans="2:16" ht="6.65" customHeight="1">
      <c r="B277" s="35"/>
      <c r="C277" s="35"/>
      <c r="D277" s="35"/>
      <c r="E277" s="35"/>
      <c r="F277" s="35"/>
      <c r="G277" s="35"/>
      <c r="H277" s="35"/>
      <c r="I277" s="35"/>
      <c r="J277" s="35"/>
      <c r="K277" s="35"/>
      <c r="L277" s="35"/>
      <c r="M277" s="35"/>
      <c r="N277" s="35"/>
      <c r="O277" s="35"/>
      <c r="P277" s="106"/>
    </row>
    <row r="278" spans="2:16" ht="15">
      <c r="B278" s="241"/>
      <c r="C278" s="242">
        <v>2016</v>
      </c>
      <c r="D278" s="242">
        <v>2017</v>
      </c>
      <c r="E278" s="242" t="s">
        <v>20</v>
      </c>
      <c r="F278" s="242" t="s">
        <v>21</v>
      </c>
      <c r="G278" s="242" t="s">
        <v>22</v>
      </c>
      <c r="H278" s="242" t="s">
        <v>23</v>
      </c>
      <c r="I278" s="242" t="s">
        <v>24</v>
      </c>
      <c r="J278" s="242" t="s">
        <v>25</v>
      </c>
      <c r="K278" s="242" t="s">
        <v>26</v>
      </c>
      <c r="L278" s="242" t="s">
        <v>27</v>
      </c>
      <c r="M278" s="242" t="s">
        <v>28</v>
      </c>
      <c r="N278" s="242" t="s">
        <v>29</v>
      </c>
      <c r="O278" s="242" t="s">
        <v>30</v>
      </c>
      <c r="P278" s="635" t="s">
        <v>954</v>
      </c>
    </row>
    <row r="279" spans="2:16" ht="7" customHeight="1">
      <c r="B279" s="243"/>
      <c r="C279" s="35"/>
      <c r="D279" s="35"/>
      <c r="E279" s="35"/>
      <c r="F279" s="35"/>
      <c r="G279" s="35"/>
      <c r="H279" s="35"/>
      <c r="I279" s="35"/>
      <c r="J279" s="35"/>
      <c r="K279" s="35"/>
      <c r="L279" s="35"/>
      <c r="M279" s="35"/>
      <c r="N279" s="35"/>
      <c r="O279" s="35"/>
      <c r="P279" s="106"/>
    </row>
    <row r="280" spans="2:16" ht="15.5">
      <c r="B280" s="172" t="s">
        <v>31</v>
      </c>
      <c r="C280" s="207">
        <v>281</v>
      </c>
      <c r="D280" s="207">
        <v>2025</v>
      </c>
      <c r="E280" s="207">
        <v>1717</v>
      </c>
      <c r="F280" s="207">
        <v>6658</v>
      </c>
      <c r="G280" s="207">
        <v>2706</v>
      </c>
      <c r="H280" s="207">
        <v>987</v>
      </c>
      <c r="I280" s="207">
        <v>2324</v>
      </c>
      <c r="J280" s="207">
        <v>553</v>
      </c>
      <c r="K280" s="207">
        <v>1113</v>
      </c>
      <c r="L280" s="207">
        <v>13380</v>
      </c>
      <c r="M280" s="207">
        <v>11145</v>
      </c>
      <c r="N280" s="207">
        <v>12270</v>
      </c>
      <c r="O280" s="207">
        <v>10653</v>
      </c>
      <c r="P280" s="207">
        <v>6157.2590990000008</v>
      </c>
    </row>
    <row r="281" spans="2:16" ht="15.5">
      <c r="B281" s="172" t="s">
        <v>32</v>
      </c>
      <c r="C281" s="207">
        <v>249</v>
      </c>
      <c r="D281" s="207">
        <v>1792</v>
      </c>
      <c r="E281" s="207">
        <v>1519</v>
      </c>
      <c r="F281" s="207">
        <v>5893</v>
      </c>
      <c r="G281" s="207">
        <v>2395</v>
      </c>
      <c r="H281" s="207">
        <v>873</v>
      </c>
      <c r="I281" s="207">
        <v>2057</v>
      </c>
      <c r="J281" s="207">
        <v>489</v>
      </c>
      <c r="K281" s="207">
        <v>985</v>
      </c>
      <c r="L281" s="207">
        <v>11873</v>
      </c>
      <c r="M281" s="207">
        <v>9690</v>
      </c>
      <c r="N281" s="207">
        <v>10676</v>
      </c>
      <c r="O281" s="207">
        <v>9266</v>
      </c>
      <c r="P281" s="207">
        <v>5354.1383469999992</v>
      </c>
    </row>
    <row r="282" spans="2:16" ht="15.5">
      <c r="B282" s="232" t="s">
        <v>33</v>
      </c>
      <c r="C282" s="244">
        <v>32</v>
      </c>
      <c r="D282" s="244">
        <v>233</v>
      </c>
      <c r="E282" s="244">
        <v>198</v>
      </c>
      <c r="F282" s="244">
        <v>765</v>
      </c>
      <c r="G282" s="244">
        <v>311</v>
      </c>
      <c r="H282" s="244">
        <v>114</v>
      </c>
      <c r="I282" s="244">
        <v>267</v>
      </c>
      <c r="J282" s="244">
        <v>64</v>
      </c>
      <c r="K282" s="244">
        <v>128</v>
      </c>
      <c r="L282" s="244">
        <v>1507</v>
      </c>
      <c r="M282" s="244">
        <v>1455</v>
      </c>
      <c r="N282" s="244">
        <v>1594</v>
      </c>
      <c r="O282" s="244">
        <v>1387</v>
      </c>
      <c r="P282" s="244">
        <v>803.12075200000163</v>
      </c>
    </row>
    <row r="283" spans="2:16" ht="7.5" customHeight="1">
      <c r="B283" s="172"/>
      <c r="C283" s="207"/>
      <c r="D283" s="207"/>
      <c r="E283" s="207"/>
      <c r="F283" s="207"/>
      <c r="G283" s="207"/>
      <c r="H283" s="207"/>
      <c r="I283" s="207"/>
      <c r="J283" s="207"/>
      <c r="K283" s="207"/>
      <c r="L283" s="207"/>
      <c r="M283" s="207"/>
      <c r="N283" s="207"/>
      <c r="O283" s="207"/>
      <c r="P283" s="207"/>
    </row>
    <row r="284" spans="2:16" ht="15.5">
      <c r="B284" s="172" t="s">
        <v>394</v>
      </c>
      <c r="C284" s="207">
        <v>14032</v>
      </c>
      <c r="D284" s="207">
        <v>15860</v>
      </c>
      <c r="E284" s="207">
        <v>2584</v>
      </c>
      <c r="F284" s="207">
        <v>4469</v>
      </c>
      <c r="G284" s="207">
        <v>2569</v>
      </c>
      <c r="H284" s="207">
        <v>4866</v>
      </c>
      <c r="I284" s="207">
        <v>2907</v>
      </c>
      <c r="J284" s="207">
        <v>5764</v>
      </c>
      <c r="K284" s="207">
        <v>5506</v>
      </c>
      <c r="L284" s="207">
        <v>7111</v>
      </c>
      <c r="M284" s="207">
        <v>3365</v>
      </c>
      <c r="N284" s="207">
        <v>8256</v>
      </c>
      <c r="O284" s="207">
        <v>1453</v>
      </c>
      <c r="P284" s="207">
        <v>6265.3019939999995</v>
      </c>
    </row>
    <row r="285" spans="2:16" ht="15.5">
      <c r="B285" s="172" t="s">
        <v>395</v>
      </c>
      <c r="C285" s="207">
        <v>6914</v>
      </c>
      <c r="D285" s="207">
        <v>1873</v>
      </c>
      <c r="E285" s="207">
        <v>909</v>
      </c>
      <c r="F285" s="207">
        <v>593</v>
      </c>
      <c r="G285" s="207">
        <v>482</v>
      </c>
      <c r="H285" s="207">
        <v>267</v>
      </c>
      <c r="I285" s="207">
        <v>54</v>
      </c>
      <c r="J285" s="207">
        <v>0</v>
      </c>
      <c r="K285" s="207">
        <v>0</v>
      </c>
      <c r="L285" s="207">
        <v>0</v>
      </c>
      <c r="M285" s="207">
        <v>0</v>
      </c>
      <c r="N285" s="207">
        <v>0</v>
      </c>
      <c r="O285" s="207">
        <v>0</v>
      </c>
      <c r="P285" s="207">
        <v>0</v>
      </c>
    </row>
    <row r="286" spans="2:16" ht="15.5">
      <c r="B286" s="172" t="s">
        <v>40</v>
      </c>
      <c r="C286" s="207">
        <v>0</v>
      </c>
      <c r="D286" s="207">
        <v>0</v>
      </c>
      <c r="E286" s="207">
        <v>0</v>
      </c>
      <c r="F286" s="207">
        <v>0</v>
      </c>
      <c r="G286" s="207">
        <v>0</v>
      </c>
      <c r="H286" s="207">
        <v>0</v>
      </c>
      <c r="I286" s="207">
        <v>0</v>
      </c>
      <c r="J286" s="207">
        <v>0</v>
      </c>
      <c r="K286" s="207">
        <v>0</v>
      </c>
      <c r="L286" s="207">
        <v>0</v>
      </c>
      <c r="M286" s="207">
        <v>0</v>
      </c>
      <c r="N286" s="207">
        <v>0</v>
      </c>
      <c r="O286" s="207">
        <v>0</v>
      </c>
      <c r="P286" s="207">
        <v>0</v>
      </c>
    </row>
    <row r="287" spans="2:16" ht="15.5">
      <c r="B287" s="172" t="s">
        <v>41</v>
      </c>
      <c r="C287" s="207">
        <v>13237</v>
      </c>
      <c r="D287" s="207">
        <v>14962</v>
      </c>
      <c r="E287" s="207">
        <v>2439</v>
      </c>
      <c r="F287" s="207">
        <v>4214</v>
      </c>
      <c r="G287" s="207">
        <v>2424</v>
      </c>
      <c r="H287" s="207">
        <v>4591</v>
      </c>
      <c r="I287" s="207">
        <v>2422</v>
      </c>
      <c r="J287" s="207">
        <v>4804</v>
      </c>
      <c r="K287" s="207">
        <v>4588</v>
      </c>
      <c r="L287" s="207">
        <v>5894</v>
      </c>
      <c r="M287" s="207">
        <v>2806</v>
      </c>
      <c r="N287" s="207">
        <v>6878</v>
      </c>
      <c r="O287" s="207">
        <v>2422</v>
      </c>
      <c r="P287" s="207">
        <v>5801.2055499999988</v>
      </c>
    </row>
    <row r="288" spans="2:16" ht="15.5">
      <c r="B288" s="232" t="s">
        <v>42</v>
      </c>
      <c r="C288" s="244">
        <v>7709</v>
      </c>
      <c r="D288" s="244">
        <v>2771</v>
      </c>
      <c r="E288" s="244">
        <v>1054</v>
      </c>
      <c r="F288" s="244">
        <v>848</v>
      </c>
      <c r="G288" s="244">
        <v>627</v>
      </c>
      <c r="H288" s="244">
        <v>542</v>
      </c>
      <c r="I288" s="244">
        <v>539</v>
      </c>
      <c r="J288" s="244">
        <v>960</v>
      </c>
      <c r="K288" s="244">
        <v>918</v>
      </c>
      <c r="L288" s="244">
        <v>1217</v>
      </c>
      <c r="M288" s="244">
        <v>559</v>
      </c>
      <c r="N288" s="244">
        <v>1378</v>
      </c>
      <c r="O288" s="244">
        <v>-969</v>
      </c>
      <c r="P288" s="244">
        <v>464.0964440000007</v>
      </c>
    </row>
    <row r="289" spans="2:16" ht="15.5">
      <c r="B289" s="174" t="s">
        <v>43</v>
      </c>
      <c r="C289" s="208">
        <v>7741</v>
      </c>
      <c r="D289" s="208">
        <v>3004</v>
      </c>
      <c r="E289" s="208">
        <v>1252</v>
      </c>
      <c r="F289" s="208">
        <v>1613</v>
      </c>
      <c r="G289" s="208">
        <v>938</v>
      </c>
      <c r="H289" s="208">
        <v>656</v>
      </c>
      <c r="I289" s="208">
        <v>806</v>
      </c>
      <c r="J289" s="208">
        <v>1024</v>
      </c>
      <c r="K289" s="208">
        <v>1046</v>
      </c>
      <c r="L289" s="208">
        <v>2724</v>
      </c>
      <c r="M289" s="208">
        <v>2014</v>
      </c>
      <c r="N289" s="208">
        <v>2972</v>
      </c>
      <c r="O289" s="208">
        <v>418</v>
      </c>
      <c r="P289" s="208">
        <v>1267.2171960000023</v>
      </c>
    </row>
    <row r="290" spans="2:16" ht="15.5">
      <c r="B290" s="171"/>
      <c r="C290" s="9"/>
      <c r="D290" s="9"/>
      <c r="E290" s="9"/>
      <c r="F290" s="9"/>
      <c r="G290" s="9"/>
      <c r="H290" s="9"/>
      <c r="I290" s="9"/>
      <c r="J290" s="9"/>
      <c r="K290" s="9"/>
      <c r="L290" s="9"/>
      <c r="M290" s="9"/>
      <c r="N290" s="9"/>
      <c r="O290" s="9"/>
      <c r="P290" s="9"/>
    </row>
    <row r="291" spans="2:16" ht="15.5">
      <c r="B291" s="172" t="s">
        <v>44</v>
      </c>
      <c r="C291" s="207">
        <v>47</v>
      </c>
      <c r="D291" s="207">
        <v>92</v>
      </c>
      <c r="E291" s="207">
        <v>66</v>
      </c>
      <c r="F291" s="207">
        <v>35</v>
      </c>
      <c r="G291" s="207">
        <v>35</v>
      </c>
      <c r="H291" s="207">
        <v>36</v>
      </c>
      <c r="I291" s="207">
        <v>83</v>
      </c>
      <c r="J291" s="207">
        <v>58</v>
      </c>
      <c r="K291" s="207">
        <v>199</v>
      </c>
      <c r="L291" s="207">
        <v>162</v>
      </c>
      <c r="M291" s="207">
        <v>60</v>
      </c>
      <c r="N291" s="207">
        <v>62</v>
      </c>
      <c r="O291" s="207">
        <v>74</v>
      </c>
      <c r="P291" s="207">
        <v>67.054520999999994</v>
      </c>
    </row>
    <row r="292" spans="2:16" ht="15.5">
      <c r="B292" s="172" t="s">
        <v>45</v>
      </c>
      <c r="C292" s="207">
        <v>0</v>
      </c>
      <c r="D292" s="207">
        <v>0</v>
      </c>
      <c r="E292" s="207">
        <v>0</v>
      </c>
      <c r="F292" s="207">
        <v>0</v>
      </c>
      <c r="G292" s="207">
        <v>0</v>
      </c>
      <c r="H292" s="207">
        <v>0</v>
      </c>
      <c r="I292" s="207">
        <v>0</v>
      </c>
      <c r="J292" s="207">
        <v>0</v>
      </c>
      <c r="K292" s="207">
        <v>0</v>
      </c>
      <c r="L292" s="207">
        <v>0</v>
      </c>
      <c r="M292" s="207">
        <v>0</v>
      </c>
      <c r="N292" s="207">
        <v>0</v>
      </c>
      <c r="O292" s="207">
        <v>0</v>
      </c>
      <c r="P292" s="207"/>
    </row>
    <row r="293" spans="2:16" ht="15.5">
      <c r="B293" s="172" t="s">
        <v>46</v>
      </c>
      <c r="C293" s="207">
        <v>24</v>
      </c>
      <c r="D293" s="207">
        <v>37</v>
      </c>
      <c r="E293" s="207">
        <v>13</v>
      </c>
      <c r="F293" s="207">
        <v>-9</v>
      </c>
      <c r="G293" s="207">
        <v>1</v>
      </c>
      <c r="H293" s="207">
        <v>-2</v>
      </c>
      <c r="I293" s="207">
        <v>78</v>
      </c>
      <c r="J293" s="207">
        <v>-69</v>
      </c>
      <c r="K293" s="207">
        <v>1</v>
      </c>
      <c r="L293" s="207">
        <v>-583</v>
      </c>
      <c r="M293" s="207">
        <v>5</v>
      </c>
      <c r="N293" s="207">
        <v>-9</v>
      </c>
      <c r="O293" s="207">
        <v>133</v>
      </c>
      <c r="P293" s="207">
        <v>-142.07255599999996</v>
      </c>
    </row>
    <row r="294" spans="2:16" ht="15.5">
      <c r="B294" s="174" t="s">
        <v>47</v>
      </c>
      <c r="C294" s="209">
        <v>7718</v>
      </c>
      <c r="D294" s="209">
        <v>2949</v>
      </c>
      <c r="E294" s="209">
        <v>1199</v>
      </c>
      <c r="F294" s="209">
        <v>1569</v>
      </c>
      <c r="G294" s="209">
        <v>904</v>
      </c>
      <c r="H294" s="209">
        <v>618</v>
      </c>
      <c r="I294" s="209">
        <v>801</v>
      </c>
      <c r="J294" s="209">
        <v>897</v>
      </c>
      <c r="K294" s="209">
        <v>848</v>
      </c>
      <c r="L294" s="209">
        <v>1979</v>
      </c>
      <c r="M294" s="209">
        <v>1959</v>
      </c>
      <c r="N294" s="209">
        <v>2901</v>
      </c>
      <c r="O294" s="209">
        <v>477</v>
      </c>
      <c r="P294" s="209">
        <v>1058.0901190000022</v>
      </c>
    </row>
    <row r="295" spans="2:16" ht="15.5">
      <c r="B295" s="172"/>
      <c r="C295" s="207"/>
      <c r="D295" s="207"/>
      <c r="E295" s="207"/>
      <c r="F295" s="207"/>
      <c r="G295" s="207"/>
      <c r="H295" s="207"/>
      <c r="I295" s="207"/>
      <c r="J295" s="207"/>
      <c r="K295" s="207"/>
      <c r="L295" s="207"/>
      <c r="M295" s="207"/>
      <c r="N295" s="207"/>
      <c r="O295" s="207"/>
      <c r="P295" s="207"/>
    </row>
    <row r="296" spans="2:16" ht="15.5">
      <c r="B296" s="172" t="s">
        <v>48</v>
      </c>
      <c r="C296" s="207">
        <v>-6803</v>
      </c>
      <c r="D296" s="207">
        <v>-3251</v>
      </c>
      <c r="E296" s="207">
        <v>-392</v>
      </c>
      <c r="F296" s="207">
        <v>-173</v>
      </c>
      <c r="G296" s="207">
        <v>-117</v>
      </c>
      <c r="H296" s="207">
        <v>95</v>
      </c>
      <c r="I296" s="207">
        <v>189</v>
      </c>
      <c r="J296" s="207">
        <v>143</v>
      </c>
      <c r="K296" s="207">
        <v>264</v>
      </c>
      <c r="L296" s="207">
        <v>162</v>
      </c>
      <c r="M296" s="207">
        <v>112</v>
      </c>
      <c r="N296" s="207">
        <v>183</v>
      </c>
      <c r="O296" s="207">
        <v>17</v>
      </c>
      <c r="P296" s="207">
        <v>226.27019899999999</v>
      </c>
    </row>
    <row r="297" spans="2:16" ht="15.5">
      <c r="B297" s="174" t="s">
        <v>49</v>
      </c>
      <c r="C297" s="209">
        <v>915</v>
      </c>
      <c r="D297" s="209">
        <v>-302</v>
      </c>
      <c r="E297" s="209">
        <v>807</v>
      </c>
      <c r="F297" s="209">
        <v>1396</v>
      </c>
      <c r="G297" s="209">
        <v>787</v>
      </c>
      <c r="H297" s="209">
        <v>713</v>
      </c>
      <c r="I297" s="209">
        <v>990</v>
      </c>
      <c r="J297" s="209">
        <v>1040</v>
      </c>
      <c r="K297" s="209">
        <v>1112</v>
      </c>
      <c r="L297" s="209">
        <v>2141</v>
      </c>
      <c r="M297" s="209">
        <v>2071</v>
      </c>
      <c r="N297" s="209">
        <v>3084</v>
      </c>
      <c r="O297" s="209">
        <v>494</v>
      </c>
      <c r="P297" s="209">
        <v>1284.3603180000023</v>
      </c>
    </row>
    <row r="298" spans="2:16" ht="15.5">
      <c r="B298" s="171"/>
      <c r="C298" s="9"/>
      <c r="D298" s="9"/>
      <c r="E298" s="9"/>
      <c r="F298" s="9"/>
      <c r="G298" s="9"/>
      <c r="H298" s="9"/>
      <c r="I298" s="9"/>
      <c r="J298" s="9"/>
      <c r="K298" s="9"/>
      <c r="L298" s="9"/>
      <c r="M298" s="9"/>
      <c r="N298" s="9"/>
      <c r="O298" s="9"/>
      <c r="P298" s="9"/>
    </row>
    <row r="299" spans="2:16" ht="15.5">
      <c r="B299" s="172" t="s">
        <v>50</v>
      </c>
      <c r="C299" s="207">
        <v>1424</v>
      </c>
      <c r="D299" s="207">
        <v>224</v>
      </c>
      <c r="E299" s="207">
        <v>116</v>
      </c>
      <c r="F299" s="207">
        <v>353</v>
      </c>
      <c r="G299" s="207">
        <v>162</v>
      </c>
      <c r="H299" s="207">
        <v>-2437</v>
      </c>
      <c r="I299" s="207">
        <v>268</v>
      </c>
      <c r="J299" s="207">
        <v>126</v>
      </c>
      <c r="K299" s="207">
        <v>245</v>
      </c>
      <c r="L299" s="207">
        <v>-1597</v>
      </c>
      <c r="M299" s="207">
        <v>459</v>
      </c>
      <c r="N299" s="207">
        <v>1166</v>
      </c>
      <c r="O299" s="207">
        <v>-152</v>
      </c>
      <c r="P299" s="207">
        <v>1869.7620349999997</v>
      </c>
    </row>
    <row r="300" spans="2:16" ht="15.5">
      <c r="B300" s="174" t="s">
        <v>53</v>
      </c>
      <c r="C300" s="209">
        <v>-509</v>
      </c>
      <c r="D300" s="209">
        <v>-526</v>
      </c>
      <c r="E300" s="209">
        <v>691</v>
      </c>
      <c r="F300" s="209">
        <v>1043</v>
      </c>
      <c r="G300" s="209">
        <v>625</v>
      </c>
      <c r="H300" s="209">
        <v>3150</v>
      </c>
      <c r="I300" s="209">
        <v>722</v>
      </c>
      <c r="J300" s="209">
        <v>914</v>
      </c>
      <c r="K300" s="209">
        <v>867</v>
      </c>
      <c r="L300" s="209">
        <v>3738</v>
      </c>
      <c r="M300" s="209">
        <v>1612</v>
      </c>
      <c r="N300" s="209">
        <v>1918</v>
      </c>
      <c r="O300" s="209">
        <v>646</v>
      </c>
      <c r="P300" s="209">
        <v>-585.40171699999746</v>
      </c>
    </row>
    <row r="301" spans="2:16" ht="15.5">
      <c r="B301" s="233"/>
      <c r="C301" s="233"/>
      <c r="D301" s="233"/>
      <c r="E301" s="233"/>
      <c r="F301" s="233"/>
      <c r="G301" s="233"/>
      <c r="H301" s="233"/>
      <c r="I301" s="233"/>
      <c r="J301" s="233"/>
      <c r="K301" s="233"/>
      <c r="L301" s="233"/>
      <c r="M301" s="233"/>
      <c r="N301" s="233"/>
      <c r="O301" s="233"/>
      <c r="P301" s="106"/>
    </row>
    <row r="302" spans="2:16" ht="15.5">
      <c r="B302" s="125" t="s">
        <v>402</v>
      </c>
      <c r="C302" s="233"/>
      <c r="D302" s="233"/>
      <c r="E302" s="233"/>
      <c r="F302" s="233"/>
      <c r="G302" s="233"/>
      <c r="H302" s="177"/>
      <c r="I302" s="177"/>
      <c r="J302" s="177"/>
      <c r="K302" s="177"/>
      <c r="L302" s="177"/>
      <c r="M302" s="177"/>
      <c r="N302" s="177"/>
      <c r="O302" s="177"/>
      <c r="P302" s="106"/>
    </row>
    <row r="303" spans="2:16" ht="15.5">
      <c r="B303" s="258" t="s">
        <v>393</v>
      </c>
      <c r="C303" s="233"/>
      <c r="D303" s="233"/>
      <c r="E303" s="233"/>
      <c r="F303" s="233"/>
      <c r="G303" s="233"/>
      <c r="H303" s="178"/>
      <c r="I303" s="178"/>
      <c r="J303" s="178"/>
      <c r="K303" s="178"/>
      <c r="L303" s="178"/>
      <c r="M303" s="178"/>
      <c r="N303" s="178"/>
      <c r="O303" s="178"/>
      <c r="P303" s="106"/>
    </row>
    <row r="304" spans="2:16" ht="15.5">
      <c r="B304" s="179"/>
      <c r="C304" s="233"/>
      <c r="D304" s="233"/>
      <c r="E304" s="233"/>
      <c r="F304" s="233"/>
      <c r="G304" s="233"/>
      <c r="H304" s="179"/>
      <c r="I304" s="179"/>
      <c r="J304" s="179"/>
      <c r="K304" s="179"/>
      <c r="L304" s="179"/>
      <c r="M304" s="179"/>
      <c r="N304" s="179"/>
      <c r="O304" s="179"/>
      <c r="P304" s="106"/>
    </row>
    <row r="305" spans="2:16" ht="16" thickBot="1">
      <c r="B305" s="304"/>
      <c r="C305" s="305">
        <v>2016</v>
      </c>
      <c r="D305" s="305">
        <v>2017</v>
      </c>
      <c r="E305" s="305" t="s">
        <v>20</v>
      </c>
      <c r="F305" s="305" t="s">
        <v>21</v>
      </c>
      <c r="G305" s="305" t="s">
        <v>22</v>
      </c>
      <c r="H305" s="305" t="s">
        <v>23</v>
      </c>
      <c r="I305" s="305" t="s">
        <v>24</v>
      </c>
      <c r="J305" s="305" t="s">
        <v>25</v>
      </c>
      <c r="K305" s="305" t="s">
        <v>26</v>
      </c>
      <c r="L305" s="305" t="s">
        <v>27</v>
      </c>
      <c r="M305" s="305" t="s">
        <v>28</v>
      </c>
      <c r="N305" s="305" t="s">
        <v>29</v>
      </c>
      <c r="O305" s="305" t="s">
        <v>30</v>
      </c>
      <c r="P305" s="305" t="s">
        <v>954</v>
      </c>
    </row>
    <row r="306" spans="2:16" ht="15">
      <c r="B306" s="272" t="s">
        <v>56</v>
      </c>
      <c r="C306" s="273"/>
      <c r="D306" s="273"/>
      <c r="E306" s="273"/>
      <c r="F306" s="273"/>
      <c r="G306" s="273"/>
      <c r="H306" s="273"/>
      <c r="I306" s="273"/>
      <c r="J306" s="273"/>
      <c r="K306" s="273"/>
      <c r="L306" s="281"/>
      <c r="M306" s="281"/>
      <c r="N306" s="281"/>
      <c r="O306" s="281"/>
      <c r="P306" s="281"/>
    </row>
    <row r="307" spans="2:16" ht="15">
      <c r="B307" s="274" t="s">
        <v>57</v>
      </c>
      <c r="C307" s="275"/>
      <c r="D307" s="275"/>
      <c r="E307" s="275"/>
      <c r="F307" s="275"/>
      <c r="G307" s="275"/>
      <c r="H307" s="275"/>
      <c r="I307" s="275"/>
      <c r="J307" s="275"/>
      <c r="K307" s="275"/>
      <c r="L307" s="275"/>
      <c r="M307" s="275"/>
      <c r="N307" s="275"/>
      <c r="O307" s="275"/>
      <c r="P307" s="275"/>
    </row>
    <row r="308" spans="2:16" ht="15.5">
      <c r="B308" s="302" t="s">
        <v>58</v>
      </c>
      <c r="C308" s="199">
        <v>8589</v>
      </c>
      <c r="D308" s="199">
        <v>9002</v>
      </c>
      <c r="E308" s="199">
        <v>11478</v>
      </c>
      <c r="F308" s="199">
        <v>20549</v>
      </c>
      <c r="G308" s="199">
        <v>17385</v>
      </c>
      <c r="H308" s="199">
        <v>14719</v>
      </c>
      <c r="I308" s="199">
        <v>24671</v>
      </c>
      <c r="J308" s="199">
        <v>26403</v>
      </c>
      <c r="K308" s="199">
        <v>5</v>
      </c>
      <c r="L308" s="199">
        <v>4</v>
      </c>
      <c r="M308" s="199">
        <v>10</v>
      </c>
      <c r="N308" s="199">
        <v>8</v>
      </c>
      <c r="O308" s="199">
        <v>9</v>
      </c>
      <c r="P308" s="199">
        <v>241.61016900000001</v>
      </c>
    </row>
    <row r="309" spans="2:16" ht="15.5">
      <c r="B309" s="302" t="s">
        <v>59</v>
      </c>
      <c r="C309" s="199">
        <v>80825</v>
      </c>
      <c r="D309" s="199">
        <v>54717</v>
      </c>
      <c r="E309" s="199">
        <v>30369</v>
      </c>
      <c r="F309" s="199">
        <v>24774</v>
      </c>
      <c r="G309" s="199">
        <v>16799</v>
      </c>
      <c r="H309" s="199">
        <v>11076</v>
      </c>
      <c r="I309" s="199">
        <v>5068</v>
      </c>
      <c r="J309" s="199">
        <v>4100</v>
      </c>
      <c r="K309" s="199">
        <v>34636</v>
      </c>
      <c r="L309" s="199">
        <v>21856</v>
      </c>
      <c r="M309" s="199">
        <v>48130</v>
      </c>
      <c r="N309" s="199">
        <v>51856</v>
      </c>
      <c r="O309" s="199">
        <v>16679</v>
      </c>
      <c r="P309" s="199">
        <v>19389.040292999998</v>
      </c>
    </row>
    <row r="310" spans="2:16" ht="15.5">
      <c r="B310" s="302" t="s">
        <v>60</v>
      </c>
      <c r="C310" s="199">
        <v>7</v>
      </c>
      <c r="D310" s="199">
        <v>11</v>
      </c>
      <c r="E310" s="199">
        <v>11</v>
      </c>
      <c r="F310" s="199">
        <v>11</v>
      </c>
      <c r="G310" s="199">
        <v>178</v>
      </c>
      <c r="H310" s="199">
        <v>8</v>
      </c>
      <c r="I310" s="199">
        <v>12</v>
      </c>
      <c r="J310" s="199">
        <v>12</v>
      </c>
      <c r="K310" s="199">
        <v>257</v>
      </c>
      <c r="L310" s="199">
        <v>394</v>
      </c>
      <c r="M310" s="199">
        <v>8</v>
      </c>
      <c r="N310" s="199">
        <v>724</v>
      </c>
      <c r="O310" s="199">
        <v>1367</v>
      </c>
      <c r="P310" s="199">
        <v>8.1025510000000001</v>
      </c>
    </row>
    <row r="311" spans="2:16" ht="15.5">
      <c r="B311" s="302" t="s">
        <v>62</v>
      </c>
      <c r="C311" s="199">
        <v>654</v>
      </c>
      <c r="D311" s="199">
        <v>565</v>
      </c>
      <c r="E311" s="199">
        <v>881</v>
      </c>
      <c r="F311" s="199">
        <v>1375</v>
      </c>
      <c r="G311" s="199">
        <v>724</v>
      </c>
      <c r="H311" s="199">
        <v>972</v>
      </c>
      <c r="I311" s="199">
        <v>463</v>
      </c>
      <c r="J311" s="199">
        <v>344</v>
      </c>
      <c r="K311" s="199">
        <v>219</v>
      </c>
      <c r="L311" s="199">
        <v>602</v>
      </c>
      <c r="M311" s="199">
        <v>1593</v>
      </c>
      <c r="N311" s="199">
        <v>870</v>
      </c>
      <c r="O311" s="199">
        <v>400</v>
      </c>
      <c r="P311" s="199">
        <v>240.82564099999999</v>
      </c>
    </row>
    <row r="312" spans="2:16" ht="15.5">
      <c r="B312" s="302" t="s">
        <v>319</v>
      </c>
      <c r="C312" s="199">
        <v>0</v>
      </c>
      <c r="D312" s="199">
        <v>0</v>
      </c>
      <c r="E312" s="199">
        <v>0</v>
      </c>
      <c r="F312" s="199">
        <v>0</v>
      </c>
      <c r="G312" s="199">
        <v>0</v>
      </c>
      <c r="H312" s="199">
        <v>0</v>
      </c>
      <c r="I312" s="199">
        <v>0</v>
      </c>
      <c r="J312" s="199">
        <v>0</v>
      </c>
      <c r="K312" s="199">
        <v>0</v>
      </c>
      <c r="L312" s="199">
        <v>0</v>
      </c>
      <c r="M312" s="199">
        <v>0</v>
      </c>
      <c r="N312" s="199">
        <v>0</v>
      </c>
      <c r="O312" s="199">
        <v>0</v>
      </c>
      <c r="P312" s="199">
        <v>0</v>
      </c>
    </row>
    <row r="313" spans="2:16" ht="15.5">
      <c r="B313" s="302" t="s">
        <v>63</v>
      </c>
      <c r="C313" s="199">
        <v>0</v>
      </c>
      <c r="D313" s="199">
        <v>0</v>
      </c>
      <c r="E313" s="199">
        <v>0</v>
      </c>
      <c r="F313" s="199">
        <v>0</v>
      </c>
      <c r="G313" s="199">
        <v>0</v>
      </c>
      <c r="H313" s="199">
        <v>7265</v>
      </c>
      <c r="I313" s="199">
        <v>0</v>
      </c>
      <c r="J313" s="199">
        <v>0</v>
      </c>
      <c r="K313" s="199">
        <v>0</v>
      </c>
      <c r="L313" s="199">
        <v>23777</v>
      </c>
      <c r="M313" s="199">
        <v>0</v>
      </c>
      <c r="N313" s="199">
        <v>0</v>
      </c>
      <c r="O313" s="199">
        <v>17225</v>
      </c>
      <c r="P313" s="199">
        <v>17490.714198000001</v>
      </c>
    </row>
    <row r="314" spans="2:16" ht="15">
      <c r="B314" s="222" t="s">
        <v>64</v>
      </c>
      <c r="C314" s="278">
        <v>90075</v>
      </c>
      <c r="D314" s="278">
        <v>64295</v>
      </c>
      <c r="E314" s="278">
        <v>42739</v>
      </c>
      <c r="F314" s="278">
        <v>46709</v>
      </c>
      <c r="G314" s="278">
        <v>35086</v>
      </c>
      <c r="H314" s="278">
        <v>34040</v>
      </c>
      <c r="I314" s="278">
        <v>30214</v>
      </c>
      <c r="J314" s="278">
        <v>30859</v>
      </c>
      <c r="K314" s="278">
        <v>35117</v>
      </c>
      <c r="L314" s="278">
        <v>46633</v>
      </c>
      <c r="M314" s="278">
        <v>49741</v>
      </c>
      <c r="N314" s="278">
        <v>53458</v>
      </c>
      <c r="O314" s="278">
        <v>35680</v>
      </c>
      <c r="P314" s="278">
        <f>SUM(P308:P313)</f>
        <v>37370.292851999999</v>
      </c>
    </row>
    <row r="315" spans="2:16" ht="15">
      <c r="B315" s="274" t="s">
        <v>65</v>
      </c>
      <c r="C315" s="275"/>
      <c r="D315" s="275"/>
      <c r="E315" s="275"/>
      <c r="F315" s="275"/>
      <c r="G315" s="275"/>
      <c r="H315" s="275"/>
      <c r="I315" s="275"/>
      <c r="J315" s="275"/>
      <c r="K315" s="275"/>
      <c r="L315" s="275"/>
      <c r="M315" s="275"/>
      <c r="N315" s="275"/>
      <c r="O315" s="275"/>
      <c r="P315" s="275"/>
    </row>
    <row r="316" spans="2:16" ht="15.5">
      <c r="B316" s="302" t="s">
        <v>66</v>
      </c>
      <c r="C316" s="199">
        <v>0</v>
      </c>
      <c r="D316" s="199">
        <v>0</v>
      </c>
      <c r="E316" s="199">
        <v>0</v>
      </c>
      <c r="F316" s="199">
        <v>0</v>
      </c>
      <c r="G316" s="199">
        <v>0</v>
      </c>
      <c r="H316" s="199">
        <v>0</v>
      </c>
      <c r="I316" s="199">
        <v>0</v>
      </c>
      <c r="J316" s="199">
        <v>0</v>
      </c>
      <c r="K316" s="199">
        <v>0</v>
      </c>
      <c r="L316" s="199">
        <v>0</v>
      </c>
      <c r="M316" s="199">
        <v>0</v>
      </c>
      <c r="N316" s="199">
        <v>0</v>
      </c>
      <c r="O316" s="199">
        <v>0</v>
      </c>
      <c r="P316" s="199">
        <v>0</v>
      </c>
    </row>
    <row r="317" spans="2:16" ht="15.5">
      <c r="B317" s="302" t="s">
        <v>67</v>
      </c>
      <c r="C317" s="199">
        <v>0</v>
      </c>
      <c r="D317" s="199">
        <v>0</v>
      </c>
      <c r="E317" s="199">
        <v>0</v>
      </c>
      <c r="F317" s="199">
        <v>0</v>
      </c>
      <c r="G317" s="199">
        <v>0</v>
      </c>
      <c r="H317" s="199">
        <v>0</v>
      </c>
      <c r="I317" s="199">
        <v>0</v>
      </c>
      <c r="J317" s="199">
        <v>0</v>
      </c>
      <c r="K317" s="199">
        <v>0</v>
      </c>
      <c r="L317" s="199">
        <v>0</v>
      </c>
      <c r="M317" s="199">
        <v>0</v>
      </c>
      <c r="N317" s="199">
        <v>0</v>
      </c>
      <c r="O317" s="199">
        <v>0</v>
      </c>
      <c r="P317" s="199">
        <v>0</v>
      </c>
    </row>
    <row r="318" spans="2:16" ht="30">
      <c r="B318" s="302" t="s">
        <v>114</v>
      </c>
      <c r="C318" s="199">
        <v>0</v>
      </c>
      <c r="D318" s="199">
        <v>0</v>
      </c>
      <c r="E318" s="199">
        <v>0</v>
      </c>
      <c r="F318" s="199">
        <v>0</v>
      </c>
      <c r="G318" s="199">
        <v>0</v>
      </c>
      <c r="H318" s="199">
        <v>0</v>
      </c>
      <c r="I318" s="199">
        <v>0</v>
      </c>
      <c r="J318" s="199">
        <v>0</v>
      </c>
      <c r="K318" s="199">
        <v>0</v>
      </c>
      <c r="L318" s="199">
        <v>0</v>
      </c>
      <c r="M318" s="199">
        <v>0</v>
      </c>
      <c r="N318" s="199">
        <v>0</v>
      </c>
      <c r="O318" s="199">
        <v>0</v>
      </c>
      <c r="P318" s="199">
        <v>0</v>
      </c>
    </row>
    <row r="319" spans="2:16" ht="15.5">
      <c r="B319" s="302" t="s">
        <v>115</v>
      </c>
      <c r="C319" s="199">
        <v>0</v>
      </c>
      <c r="D319" s="199">
        <v>0</v>
      </c>
      <c r="E319" s="199">
        <v>0</v>
      </c>
      <c r="F319" s="199">
        <v>0</v>
      </c>
      <c r="G319" s="199">
        <v>0</v>
      </c>
      <c r="H319" s="199">
        <v>0</v>
      </c>
      <c r="I319" s="199">
        <v>0</v>
      </c>
      <c r="J319" s="199">
        <v>0</v>
      </c>
      <c r="K319" s="199">
        <v>0</v>
      </c>
      <c r="L319" s="199">
        <v>0</v>
      </c>
      <c r="M319" s="199">
        <v>0</v>
      </c>
      <c r="N319" s="199">
        <v>0</v>
      </c>
      <c r="O319" s="199">
        <v>0</v>
      </c>
      <c r="P319" s="199">
        <v>0</v>
      </c>
    </row>
    <row r="320" spans="2:16" ht="15.5">
      <c r="B320" s="302" t="s">
        <v>59</v>
      </c>
      <c r="C320" s="199">
        <v>26457</v>
      </c>
      <c r="D320" s="199">
        <v>0</v>
      </c>
      <c r="E320" s="199">
        <v>0</v>
      </c>
      <c r="F320" s="199">
        <v>0</v>
      </c>
      <c r="G320" s="199">
        <v>0</v>
      </c>
      <c r="H320" s="199">
        <v>0</v>
      </c>
      <c r="I320" s="199">
        <v>0</v>
      </c>
      <c r="J320" s="199">
        <v>0</v>
      </c>
      <c r="K320" s="199">
        <v>0</v>
      </c>
      <c r="L320" s="199">
        <v>0</v>
      </c>
      <c r="M320" s="199">
        <v>0</v>
      </c>
      <c r="N320" s="199">
        <v>0</v>
      </c>
      <c r="O320" s="199">
        <v>0</v>
      </c>
      <c r="P320" s="199">
        <v>0</v>
      </c>
    </row>
    <row r="321" spans="2:16" ht="15.5">
      <c r="B321" s="302" t="s">
        <v>70</v>
      </c>
      <c r="C321" s="199">
        <v>0</v>
      </c>
      <c r="D321" s="199">
        <v>0</v>
      </c>
      <c r="E321" s="199">
        <v>0</v>
      </c>
      <c r="F321" s="199">
        <v>0</v>
      </c>
      <c r="G321" s="199">
        <v>0</v>
      </c>
      <c r="H321" s="199">
        <v>0</v>
      </c>
      <c r="I321" s="199">
        <v>0</v>
      </c>
      <c r="J321" s="199">
        <v>0</v>
      </c>
      <c r="K321" s="199">
        <v>0</v>
      </c>
      <c r="L321" s="199">
        <v>0</v>
      </c>
      <c r="M321" s="199">
        <v>0</v>
      </c>
      <c r="N321" s="199">
        <v>0</v>
      </c>
      <c r="O321" s="199">
        <v>0</v>
      </c>
      <c r="P321" s="199">
        <v>0</v>
      </c>
    </row>
    <row r="322" spans="2:16" ht="15.5">
      <c r="B322" s="302" t="s">
        <v>71</v>
      </c>
      <c r="C322" s="199">
        <v>157</v>
      </c>
      <c r="D322" s="199">
        <v>214</v>
      </c>
      <c r="E322" s="199">
        <v>196</v>
      </c>
      <c r="F322" s="199">
        <v>181</v>
      </c>
      <c r="G322" s="199">
        <v>164</v>
      </c>
      <c r="H322" s="199">
        <v>162</v>
      </c>
      <c r="I322" s="199">
        <v>250</v>
      </c>
      <c r="J322" s="199">
        <v>152</v>
      </c>
      <c r="K322" s="199">
        <v>136</v>
      </c>
      <c r="L322" s="199">
        <v>114</v>
      </c>
      <c r="M322" s="199">
        <v>92</v>
      </c>
      <c r="N322" s="199">
        <v>70</v>
      </c>
      <c r="O322" s="199">
        <v>56</v>
      </c>
      <c r="P322" s="199">
        <v>47.91375</v>
      </c>
    </row>
    <row r="323" spans="2:16" ht="15.5">
      <c r="B323" s="302" t="s">
        <v>72</v>
      </c>
      <c r="C323" s="199">
        <v>0</v>
      </c>
      <c r="D323" s="199">
        <v>0</v>
      </c>
      <c r="E323" s="199">
        <v>0</v>
      </c>
      <c r="F323" s="199">
        <v>0</v>
      </c>
      <c r="G323" s="199">
        <v>0</v>
      </c>
      <c r="H323" s="199">
        <v>0</v>
      </c>
      <c r="I323" s="199">
        <v>0</v>
      </c>
      <c r="J323" s="199">
        <v>0</v>
      </c>
      <c r="K323" s="199">
        <v>0</v>
      </c>
      <c r="L323" s="199">
        <v>0</v>
      </c>
      <c r="M323" s="199">
        <v>0</v>
      </c>
      <c r="N323" s="199">
        <v>0</v>
      </c>
      <c r="O323" s="199">
        <v>0</v>
      </c>
      <c r="P323" s="199">
        <v>0</v>
      </c>
    </row>
    <row r="324" spans="2:16" ht="15.5">
      <c r="B324" s="302" t="s">
        <v>74</v>
      </c>
      <c r="C324" s="199">
        <v>124</v>
      </c>
      <c r="D324" s="199">
        <v>205</v>
      </c>
      <c r="E324" s="199">
        <v>187</v>
      </c>
      <c r="F324" s="199">
        <v>170</v>
      </c>
      <c r="G324" s="199">
        <v>152</v>
      </c>
      <c r="H324" s="199">
        <v>164</v>
      </c>
      <c r="I324" s="199">
        <v>150</v>
      </c>
      <c r="J324" s="199">
        <v>130</v>
      </c>
      <c r="K324" s="199">
        <v>109</v>
      </c>
      <c r="L324" s="199">
        <v>91</v>
      </c>
      <c r="M324" s="199">
        <v>70</v>
      </c>
      <c r="N324" s="199">
        <v>105</v>
      </c>
      <c r="O324" s="199">
        <v>70</v>
      </c>
      <c r="P324" s="199">
        <v>39.648566000000002</v>
      </c>
    </row>
    <row r="325" spans="2:16" ht="15.5">
      <c r="B325" s="302" t="s">
        <v>62</v>
      </c>
      <c r="C325" s="199">
        <v>0</v>
      </c>
      <c r="D325" s="199">
        <v>0</v>
      </c>
      <c r="E325" s="199">
        <v>0</v>
      </c>
      <c r="F325" s="199">
        <v>0</v>
      </c>
      <c r="G325" s="199">
        <v>0</v>
      </c>
      <c r="H325" s="199">
        <v>0</v>
      </c>
      <c r="I325" s="199">
        <v>0</v>
      </c>
      <c r="J325" s="199">
        <v>0</v>
      </c>
      <c r="K325" s="199">
        <v>0</v>
      </c>
      <c r="L325" s="199">
        <v>0</v>
      </c>
      <c r="M325" s="199">
        <v>0</v>
      </c>
      <c r="N325" s="199">
        <v>0</v>
      </c>
      <c r="O325" s="199">
        <v>0</v>
      </c>
      <c r="P325" s="199">
        <v>0</v>
      </c>
    </row>
    <row r="326" spans="2:16" ht="15.5">
      <c r="B326" s="302" t="s">
        <v>75</v>
      </c>
      <c r="C326" s="199">
        <v>1652</v>
      </c>
      <c r="D326" s="199">
        <v>1428</v>
      </c>
      <c r="E326" s="199">
        <v>1311</v>
      </c>
      <c r="F326" s="199">
        <v>959</v>
      </c>
      <c r="G326" s="199">
        <v>797</v>
      </c>
      <c r="H326" s="199">
        <v>3234</v>
      </c>
      <c r="I326" s="199">
        <v>2967</v>
      </c>
      <c r="J326" s="199">
        <v>2840</v>
      </c>
      <c r="K326" s="199">
        <v>2595</v>
      </c>
      <c r="L326" s="199">
        <v>4192</v>
      </c>
      <c r="M326" s="199">
        <v>3733</v>
      </c>
      <c r="N326" s="199">
        <v>2961</v>
      </c>
      <c r="O326" s="199">
        <v>5244</v>
      </c>
      <c r="P326" s="199">
        <v>849.11385700000005</v>
      </c>
    </row>
    <row r="327" spans="2:16" ht="15.5">
      <c r="B327" s="302" t="s">
        <v>76</v>
      </c>
      <c r="C327" s="199">
        <v>0</v>
      </c>
      <c r="D327" s="199">
        <v>0</v>
      </c>
      <c r="E327" s="199">
        <v>0</v>
      </c>
      <c r="F327" s="199">
        <v>0</v>
      </c>
      <c r="G327" s="199">
        <v>0</v>
      </c>
      <c r="H327" s="199">
        <v>0</v>
      </c>
      <c r="I327" s="199">
        <v>-8</v>
      </c>
      <c r="J327" s="199">
        <v>92</v>
      </c>
      <c r="K327" s="199">
        <v>71</v>
      </c>
      <c r="L327" s="199">
        <v>44</v>
      </c>
      <c r="M327" s="199">
        <v>27</v>
      </c>
      <c r="N327" s="199">
        <v>50</v>
      </c>
      <c r="O327" s="199">
        <v>54</v>
      </c>
      <c r="P327" s="199">
        <v>30.590509999999998</v>
      </c>
    </row>
    <row r="328" spans="2:16" ht="15.5">
      <c r="B328" s="302" t="s">
        <v>63</v>
      </c>
      <c r="C328" s="199">
        <v>0</v>
      </c>
      <c r="D328" s="199">
        <v>0</v>
      </c>
      <c r="E328" s="199">
        <v>0</v>
      </c>
      <c r="F328" s="199">
        <v>0</v>
      </c>
      <c r="G328" s="199">
        <v>0</v>
      </c>
      <c r="H328" s="199">
        <v>0</v>
      </c>
      <c r="I328" s="199">
        <v>0</v>
      </c>
      <c r="J328" s="199">
        <v>0</v>
      </c>
      <c r="K328" s="199">
        <v>0</v>
      </c>
      <c r="L328" s="199">
        <v>0</v>
      </c>
      <c r="M328" s="199">
        <v>0</v>
      </c>
      <c r="N328" s="199">
        <v>0</v>
      </c>
      <c r="O328" s="199">
        <v>0</v>
      </c>
      <c r="P328" s="199">
        <v>0</v>
      </c>
    </row>
    <row r="329" spans="2:16" ht="15">
      <c r="B329" s="274" t="s">
        <v>78</v>
      </c>
      <c r="C329" s="279">
        <v>28390</v>
      </c>
      <c r="D329" s="279">
        <v>1847</v>
      </c>
      <c r="E329" s="279">
        <v>1694</v>
      </c>
      <c r="F329" s="279">
        <v>1310</v>
      </c>
      <c r="G329" s="279">
        <v>1113</v>
      </c>
      <c r="H329" s="279">
        <v>3560</v>
      </c>
      <c r="I329" s="279">
        <v>3359</v>
      </c>
      <c r="J329" s="279">
        <v>3214</v>
      </c>
      <c r="K329" s="279">
        <v>2911</v>
      </c>
      <c r="L329" s="279">
        <v>4441</v>
      </c>
      <c r="M329" s="279">
        <v>3922</v>
      </c>
      <c r="N329" s="279">
        <v>3186</v>
      </c>
      <c r="O329" s="279">
        <v>5424</v>
      </c>
      <c r="P329" s="279">
        <f>SUM(P316:P328)</f>
        <v>967.26668300000006</v>
      </c>
    </row>
    <row r="330" spans="2:16" ht="15">
      <c r="B330" s="222" t="s">
        <v>79</v>
      </c>
      <c r="C330" s="278">
        <v>118465</v>
      </c>
      <c r="D330" s="278">
        <v>66142</v>
      </c>
      <c r="E330" s="278">
        <v>44433</v>
      </c>
      <c r="F330" s="278">
        <v>48019</v>
      </c>
      <c r="G330" s="278">
        <v>36199</v>
      </c>
      <c r="H330" s="278">
        <v>37600</v>
      </c>
      <c r="I330" s="278">
        <v>33573</v>
      </c>
      <c r="J330" s="278">
        <v>34073</v>
      </c>
      <c r="K330" s="278">
        <v>38028</v>
      </c>
      <c r="L330" s="278">
        <v>51074</v>
      </c>
      <c r="M330" s="278">
        <v>53663</v>
      </c>
      <c r="N330" s="278">
        <v>56644</v>
      </c>
      <c r="O330" s="278">
        <v>41104</v>
      </c>
      <c r="P330" s="278">
        <f>+P314+P329</f>
        <v>38337.559535</v>
      </c>
    </row>
    <row r="331" spans="2:16" ht="15">
      <c r="B331" s="224"/>
      <c r="C331" s="280"/>
      <c r="D331" s="280"/>
      <c r="E331" s="280"/>
      <c r="F331" s="280"/>
      <c r="G331" s="280"/>
      <c r="H331" s="280"/>
      <c r="I331" s="280"/>
      <c r="J331" s="280"/>
      <c r="K331" s="280"/>
      <c r="L331" s="280"/>
      <c r="M331" s="280"/>
      <c r="N331" s="280"/>
      <c r="O331" s="280"/>
      <c r="P331" s="106"/>
    </row>
    <row r="332" spans="2:16" ht="15">
      <c r="B332" s="281" t="s">
        <v>80</v>
      </c>
      <c r="C332" s="282"/>
      <c r="D332" s="282"/>
      <c r="E332" s="282"/>
      <c r="F332" s="282"/>
      <c r="G332" s="282"/>
      <c r="H332" s="282"/>
      <c r="I332" s="282"/>
      <c r="J332" s="282"/>
      <c r="K332" s="282"/>
      <c r="L332" s="282"/>
      <c r="M332" s="282"/>
      <c r="N332" s="282"/>
      <c r="O332" s="282"/>
      <c r="P332" s="282"/>
    </row>
    <row r="333" spans="2:16" ht="15">
      <c r="B333" s="274" t="s">
        <v>81</v>
      </c>
      <c r="C333" s="283"/>
      <c r="D333" s="283"/>
      <c r="E333" s="283"/>
      <c r="F333" s="283"/>
      <c r="G333" s="283"/>
      <c r="H333" s="283"/>
      <c r="I333" s="283"/>
      <c r="J333" s="283"/>
      <c r="K333" s="283"/>
      <c r="L333" s="283"/>
      <c r="M333" s="283"/>
      <c r="N333" s="283"/>
      <c r="O333" s="283"/>
      <c r="P333" s="283"/>
    </row>
    <row r="334" spans="2:16" ht="15.5">
      <c r="B334" s="302" t="s">
        <v>82</v>
      </c>
      <c r="C334" s="199">
        <v>24761</v>
      </c>
      <c r="D334" s="199">
        <v>30717</v>
      </c>
      <c r="E334" s="199">
        <v>2174</v>
      </c>
      <c r="F334" s="199">
        <v>2189</v>
      </c>
      <c r="G334" s="199">
        <v>0</v>
      </c>
      <c r="H334" s="199">
        <v>0</v>
      </c>
      <c r="I334" s="199">
        <v>0</v>
      </c>
      <c r="J334" s="199">
        <v>0</v>
      </c>
      <c r="K334" s="199">
        <v>0</v>
      </c>
      <c r="L334" s="199">
        <v>0</v>
      </c>
      <c r="M334" s="199">
        <v>0</v>
      </c>
      <c r="N334" s="199">
        <v>0</v>
      </c>
      <c r="O334" s="199">
        <v>0</v>
      </c>
      <c r="P334" s="199">
        <v>0</v>
      </c>
    </row>
    <row r="335" spans="2:16" ht="15.5">
      <c r="B335" s="302" t="s">
        <v>83</v>
      </c>
      <c r="C335" s="199">
        <v>20649</v>
      </c>
      <c r="D335" s="199">
        <v>3500</v>
      </c>
      <c r="E335" s="199">
        <v>9837</v>
      </c>
      <c r="F335" s="199">
        <v>12627</v>
      </c>
      <c r="G335" s="199">
        <v>2801</v>
      </c>
      <c r="H335" s="199">
        <v>4349</v>
      </c>
      <c r="I335" s="199">
        <v>1016</v>
      </c>
      <c r="J335" s="199">
        <v>818</v>
      </c>
      <c r="K335" s="199">
        <v>1471</v>
      </c>
      <c r="L335" s="199">
        <v>10813</v>
      </c>
      <c r="M335" s="199">
        <v>9379</v>
      </c>
      <c r="N335" s="199">
        <v>12715</v>
      </c>
      <c r="O335" s="199">
        <v>5609</v>
      </c>
      <c r="P335" s="199">
        <v>7364.4876590000003</v>
      </c>
    </row>
    <row r="336" spans="2:16" ht="15.5">
      <c r="B336" s="302" t="s">
        <v>85</v>
      </c>
      <c r="C336" s="199">
        <v>38</v>
      </c>
      <c r="D336" s="199">
        <v>0</v>
      </c>
      <c r="E336" s="199">
        <v>34</v>
      </c>
      <c r="F336" s="199">
        <v>41</v>
      </c>
      <c r="G336" s="199">
        <v>48</v>
      </c>
      <c r="H336" s="199">
        <v>38</v>
      </c>
      <c r="I336" s="199">
        <v>29</v>
      </c>
      <c r="J336" s="199">
        <v>31</v>
      </c>
      <c r="K336" s="199">
        <v>33</v>
      </c>
      <c r="L336" s="199">
        <v>40</v>
      </c>
      <c r="M336" s="199">
        <v>30</v>
      </c>
      <c r="N336" s="199">
        <v>38</v>
      </c>
      <c r="O336" s="199">
        <v>47</v>
      </c>
      <c r="P336" s="199">
        <v>50.792693999999997</v>
      </c>
    </row>
    <row r="337" spans="2:16" ht="15.5">
      <c r="B337" s="302" t="s">
        <v>60</v>
      </c>
      <c r="C337" s="199">
        <v>1592</v>
      </c>
      <c r="D337" s="199">
        <v>606</v>
      </c>
      <c r="E337" s="199">
        <v>909</v>
      </c>
      <c r="F337" s="199">
        <v>583</v>
      </c>
      <c r="G337" s="199">
        <v>12</v>
      </c>
      <c r="H337" s="199">
        <v>920</v>
      </c>
      <c r="I337" s="199">
        <v>1522</v>
      </c>
      <c r="J337" s="199">
        <v>1566</v>
      </c>
      <c r="K337" s="199">
        <v>11</v>
      </c>
      <c r="L337" s="199">
        <v>7</v>
      </c>
      <c r="M337" s="199">
        <v>3664</v>
      </c>
      <c r="N337" s="199">
        <v>399</v>
      </c>
      <c r="O337" s="199">
        <v>2537</v>
      </c>
      <c r="P337" s="199">
        <v>515.93492400000002</v>
      </c>
    </row>
    <row r="338" spans="2:16" ht="15.5">
      <c r="B338" s="302" t="s">
        <v>86</v>
      </c>
      <c r="C338" s="199">
        <v>1312</v>
      </c>
      <c r="D338" s="199">
        <v>0</v>
      </c>
      <c r="E338" s="199">
        <v>0</v>
      </c>
      <c r="F338" s="199">
        <v>0</v>
      </c>
      <c r="G338" s="199">
        <v>1825</v>
      </c>
      <c r="H338" s="199">
        <v>0</v>
      </c>
      <c r="I338" s="199">
        <v>1159</v>
      </c>
      <c r="J338" s="199">
        <v>2323</v>
      </c>
      <c r="K338" s="199">
        <v>2171</v>
      </c>
      <c r="L338" s="199">
        <v>2795</v>
      </c>
      <c r="M338" s="199">
        <v>1631</v>
      </c>
      <c r="N338" s="199">
        <v>2096</v>
      </c>
      <c r="O338" s="199">
        <v>2951</v>
      </c>
      <c r="P338" s="199">
        <v>985.47605699999997</v>
      </c>
    </row>
    <row r="339" spans="2:16" ht="15.5">
      <c r="B339" s="302" t="s">
        <v>84</v>
      </c>
      <c r="C339" s="199">
        <v>235</v>
      </c>
      <c r="D339" s="199">
        <v>251</v>
      </c>
      <c r="E339" s="199">
        <v>162</v>
      </c>
      <c r="F339" s="199">
        <v>185</v>
      </c>
      <c r="G339" s="199">
        <v>211</v>
      </c>
      <c r="H339" s="199">
        <v>238</v>
      </c>
      <c r="I339" s="199">
        <v>169</v>
      </c>
      <c r="J339" s="199">
        <v>195</v>
      </c>
      <c r="K339" s="199">
        <v>2736</v>
      </c>
      <c r="L339" s="199">
        <v>6363</v>
      </c>
      <c r="M339" s="199">
        <v>11804</v>
      </c>
      <c r="N339" s="199">
        <v>12324</v>
      </c>
      <c r="O339" s="199">
        <v>242</v>
      </c>
      <c r="P339" s="199">
        <v>288.00876299999999</v>
      </c>
    </row>
    <row r="340" spans="2:16" ht="15.5">
      <c r="B340" s="302" t="s">
        <v>87</v>
      </c>
      <c r="C340" s="199">
        <v>0</v>
      </c>
      <c r="D340" s="199">
        <v>0</v>
      </c>
      <c r="E340" s="199">
        <v>0</v>
      </c>
      <c r="F340" s="199">
        <v>0</v>
      </c>
      <c r="G340" s="199">
        <v>0</v>
      </c>
      <c r="H340" s="199">
        <v>0</v>
      </c>
      <c r="I340" s="199">
        <v>4080</v>
      </c>
      <c r="J340" s="199">
        <v>2679</v>
      </c>
      <c r="K340" s="199">
        <v>4284</v>
      </c>
      <c r="L340" s="199">
        <v>0</v>
      </c>
      <c r="M340" s="199">
        <v>0</v>
      </c>
      <c r="N340" s="199">
        <v>0</v>
      </c>
      <c r="O340" s="199">
        <v>0</v>
      </c>
      <c r="P340" s="199">
        <v>0</v>
      </c>
    </row>
    <row r="341" spans="2:16" ht="15.5">
      <c r="B341" s="302" t="s">
        <v>116</v>
      </c>
      <c r="C341" s="199">
        <v>0</v>
      </c>
      <c r="D341" s="199">
        <v>0</v>
      </c>
      <c r="E341" s="199">
        <v>0</v>
      </c>
      <c r="F341" s="199">
        <v>0</v>
      </c>
      <c r="G341" s="199">
        <v>0</v>
      </c>
      <c r="H341" s="199">
        <v>0</v>
      </c>
      <c r="I341" s="199">
        <v>0</v>
      </c>
      <c r="J341" s="199">
        <v>0</v>
      </c>
      <c r="K341" s="199">
        <v>0</v>
      </c>
      <c r="L341" s="199">
        <v>0</v>
      </c>
      <c r="M341" s="199">
        <v>0</v>
      </c>
      <c r="N341" s="199">
        <v>0</v>
      </c>
      <c r="O341" s="199">
        <v>0</v>
      </c>
      <c r="P341" s="199">
        <v>0</v>
      </c>
    </row>
    <row r="342" spans="2:16" ht="15">
      <c r="B342" s="274" t="s">
        <v>89</v>
      </c>
      <c r="C342" s="279">
        <v>48587</v>
      </c>
      <c r="D342" s="279">
        <v>35074</v>
      </c>
      <c r="E342" s="279">
        <v>13116</v>
      </c>
      <c r="F342" s="279">
        <v>15625</v>
      </c>
      <c r="G342" s="279">
        <v>4897</v>
      </c>
      <c r="H342" s="279">
        <v>5545</v>
      </c>
      <c r="I342" s="279">
        <v>7975</v>
      </c>
      <c r="J342" s="279">
        <v>7612</v>
      </c>
      <c r="K342" s="279">
        <v>10706</v>
      </c>
      <c r="L342" s="279">
        <v>20018</v>
      </c>
      <c r="M342" s="279">
        <v>26508</v>
      </c>
      <c r="N342" s="279">
        <v>27572</v>
      </c>
      <c r="O342" s="279">
        <v>11386</v>
      </c>
      <c r="P342" s="279">
        <f>SUM(P334:P341)</f>
        <v>9204.7000970000008</v>
      </c>
    </row>
    <row r="343" spans="2:16" ht="15">
      <c r="B343" s="284" t="s">
        <v>90</v>
      </c>
      <c r="C343" s="285"/>
      <c r="D343" s="285"/>
      <c r="E343" s="285"/>
      <c r="F343" s="285"/>
      <c r="G343" s="285"/>
      <c r="H343" s="285"/>
      <c r="I343" s="285"/>
      <c r="J343" s="285"/>
      <c r="K343" s="285"/>
      <c r="L343" s="285"/>
      <c r="M343" s="285"/>
      <c r="N343" s="285"/>
      <c r="O343" s="285"/>
      <c r="P343" s="285"/>
    </row>
    <row r="344" spans="2:16" ht="15.5">
      <c r="B344" s="302" t="s">
        <v>82</v>
      </c>
      <c r="C344" s="199">
        <v>26297</v>
      </c>
      <c r="D344" s="199">
        <v>2124</v>
      </c>
      <c r="E344" s="199">
        <v>1683</v>
      </c>
      <c r="F344" s="199">
        <v>1717</v>
      </c>
      <c r="G344" s="199">
        <v>0</v>
      </c>
      <c r="H344" s="199">
        <v>0</v>
      </c>
      <c r="I344" s="199">
        <v>66</v>
      </c>
      <c r="J344" s="199">
        <v>0</v>
      </c>
      <c r="K344" s="199">
        <v>0</v>
      </c>
      <c r="L344" s="199">
        <v>0</v>
      </c>
      <c r="M344" s="199">
        <v>0</v>
      </c>
      <c r="N344" s="199">
        <v>0</v>
      </c>
      <c r="O344" s="199">
        <v>0</v>
      </c>
      <c r="P344" s="199">
        <v>0</v>
      </c>
    </row>
    <row r="345" spans="2:16" ht="15.5">
      <c r="B345" s="302" t="s">
        <v>83</v>
      </c>
      <c r="C345" s="199">
        <v>14112</v>
      </c>
      <c r="D345" s="199">
        <v>0</v>
      </c>
      <c r="E345" s="199">
        <v>0</v>
      </c>
      <c r="F345" s="199">
        <v>0</v>
      </c>
      <c r="G345" s="199">
        <v>0</v>
      </c>
      <c r="H345" s="199">
        <v>0</v>
      </c>
      <c r="I345" s="199">
        <v>0</v>
      </c>
      <c r="J345" s="199">
        <v>15</v>
      </c>
      <c r="K345" s="199">
        <v>9</v>
      </c>
      <c r="L345" s="199">
        <v>5</v>
      </c>
      <c r="M345" s="199">
        <v>1</v>
      </c>
      <c r="N345" s="199">
        <v>0</v>
      </c>
      <c r="O345" s="199">
        <v>0</v>
      </c>
      <c r="P345" s="199">
        <v>0</v>
      </c>
    </row>
    <row r="346" spans="2:16" ht="15.5">
      <c r="B346" s="302" t="s">
        <v>91</v>
      </c>
      <c r="C346" s="199">
        <v>0</v>
      </c>
      <c r="D346" s="199">
        <v>0</v>
      </c>
      <c r="E346" s="199">
        <v>0</v>
      </c>
      <c r="F346" s="199">
        <v>0</v>
      </c>
      <c r="G346" s="199">
        <v>0</v>
      </c>
      <c r="H346" s="199">
        <v>0</v>
      </c>
      <c r="I346" s="199">
        <v>0</v>
      </c>
      <c r="J346" s="199">
        <v>0</v>
      </c>
      <c r="K346" s="199">
        <v>0</v>
      </c>
      <c r="L346" s="199">
        <v>0</v>
      </c>
      <c r="M346" s="199">
        <v>0</v>
      </c>
      <c r="N346" s="199">
        <v>0</v>
      </c>
      <c r="O346" s="199">
        <v>0</v>
      </c>
      <c r="P346" s="199">
        <v>0</v>
      </c>
    </row>
    <row r="347" spans="2:16" ht="15.5">
      <c r="B347" s="302" t="s">
        <v>85</v>
      </c>
      <c r="C347" s="199">
        <v>0</v>
      </c>
      <c r="D347" s="199">
        <v>0</v>
      </c>
      <c r="E347" s="199">
        <v>0</v>
      </c>
      <c r="F347" s="199">
        <v>0</v>
      </c>
      <c r="G347" s="199">
        <v>0</v>
      </c>
      <c r="H347" s="199">
        <v>0</v>
      </c>
      <c r="I347" s="199">
        <v>0</v>
      </c>
      <c r="J347" s="199">
        <v>0</v>
      </c>
      <c r="K347" s="199">
        <v>0</v>
      </c>
      <c r="L347" s="199">
        <v>0</v>
      </c>
      <c r="M347" s="199">
        <v>0</v>
      </c>
      <c r="N347" s="199">
        <v>0</v>
      </c>
      <c r="O347" s="199">
        <v>0</v>
      </c>
      <c r="P347" s="199">
        <v>0</v>
      </c>
    </row>
    <row r="348" spans="2:16" ht="15.5">
      <c r="B348" s="302" t="s">
        <v>86</v>
      </c>
      <c r="C348" s="199">
        <v>0</v>
      </c>
      <c r="D348" s="199">
        <v>0</v>
      </c>
      <c r="E348" s="199">
        <v>0</v>
      </c>
      <c r="F348" s="199">
        <v>0</v>
      </c>
      <c r="G348" s="199">
        <v>0</v>
      </c>
      <c r="H348" s="199">
        <v>0</v>
      </c>
      <c r="I348" s="199">
        <v>0</v>
      </c>
      <c r="J348" s="199">
        <v>0</v>
      </c>
      <c r="K348" s="199">
        <v>0</v>
      </c>
      <c r="L348" s="199">
        <v>0</v>
      </c>
      <c r="M348" s="199">
        <v>0</v>
      </c>
      <c r="N348" s="199">
        <v>0</v>
      </c>
      <c r="O348" s="199">
        <v>0</v>
      </c>
      <c r="P348" s="199">
        <v>0</v>
      </c>
    </row>
    <row r="349" spans="2:16" ht="15.5">
      <c r="B349" s="302" t="s">
        <v>87</v>
      </c>
      <c r="C349" s="199">
        <v>0</v>
      </c>
      <c r="D349" s="199">
        <v>0</v>
      </c>
      <c r="E349" s="199">
        <v>0</v>
      </c>
      <c r="F349" s="199">
        <v>0</v>
      </c>
      <c r="G349" s="199">
        <v>0</v>
      </c>
      <c r="H349" s="199">
        <v>0</v>
      </c>
      <c r="I349" s="199">
        <v>0</v>
      </c>
      <c r="J349" s="199">
        <v>0</v>
      </c>
      <c r="K349" s="199">
        <v>0</v>
      </c>
      <c r="L349" s="199">
        <v>0</v>
      </c>
      <c r="M349" s="199">
        <v>0</v>
      </c>
      <c r="N349" s="199">
        <v>0</v>
      </c>
      <c r="O349" s="199">
        <v>0</v>
      </c>
      <c r="P349" s="199">
        <v>0</v>
      </c>
    </row>
    <row r="350" spans="2:16" ht="15.5">
      <c r="B350" s="302" t="s">
        <v>117</v>
      </c>
      <c r="C350" s="199">
        <v>0</v>
      </c>
      <c r="D350" s="199">
        <v>0</v>
      </c>
      <c r="E350" s="199">
        <v>0</v>
      </c>
      <c r="F350" s="199">
        <v>0</v>
      </c>
      <c r="G350" s="199">
        <v>0</v>
      </c>
      <c r="H350" s="199">
        <v>0</v>
      </c>
      <c r="I350" s="199">
        <v>0</v>
      </c>
      <c r="J350" s="199">
        <v>0</v>
      </c>
      <c r="K350" s="199">
        <v>0</v>
      </c>
      <c r="L350" s="199">
        <v>0</v>
      </c>
      <c r="M350" s="199">
        <v>0</v>
      </c>
      <c r="N350" s="199">
        <v>0</v>
      </c>
      <c r="O350" s="199">
        <v>0</v>
      </c>
      <c r="P350" s="199">
        <v>0</v>
      </c>
    </row>
    <row r="351" spans="2:16" ht="15">
      <c r="B351" s="274" t="s">
        <v>92</v>
      </c>
      <c r="C351" s="279">
        <v>40409</v>
      </c>
      <c r="D351" s="279">
        <v>2124</v>
      </c>
      <c r="E351" s="279">
        <v>1683</v>
      </c>
      <c r="F351" s="279">
        <v>1717</v>
      </c>
      <c r="G351" s="279">
        <v>0</v>
      </c>
      <c r="H351" s="279">
        <v>0</v>
      </c>
      <c r="I351" s="279">
        <v>66</v>
      </c>
      <c r="J351" s="279">
        <v>15</v>
      </c>
      <c r="K351" s="279">
        <v>9</v>
      </c>
      <c r="L351" s="279">
        <v>5</v>
      </c>
      <c r="M351" s="279">
        <v>1</v>
      </c>
      <c r="N351" s="279">
        <v>0</v>
      </c>
      <c r="O351" s="279">
        <v>0</v>
      </c>
      <c r="P351" s="279">
        <v>0</v>
      </c>
    </row>
    <row r="352" spans="2:16" ht="15">
      <c r="B352" s="222" t="s">
        <v>93</v>
      </c>
      <c r="C352" s="278">
        <v>88996</v>
      </c>
      <c r="D352" s="278">
        <v>37198</v>
      </c>
      <c r="E352" s="278">
        <v>14799</v>
      </c>
      <c r="F352" s="278">
        <v>17342</v>
      </c>
      <c r="G352" s="278">
        <v>4897</v>
      </c>
      <c r="H352" s="278">
        <v>5545</v>
      </c>
      <c r="I352" s="278">
        <v>8041</v>
      </c>
      <c r="J352" s="278">
        <v>7627</v>
      </c>
      <c r="K352" s="278">
        <v>10715</v>
      </c>
      <c r="L352" s="278">
        <v>20023</v>
      </c>
      <c r="M352" s="278">
        <v>26509</v>
      </c>
      <c r="N352" s="278">
        <v>27572</v>
      </c>
      <c r="O352" s="278">
        <v>11386</v>
      </c>
      <c r="P352" s="278">
        <f>+P342+P351</f>
        <v>9204.7000970000008</v>
      </c>
    </row>
    <row r="353" spans="2:16" ht="15">
      <c r="B353" s="224"/>
      <c r="C353" s="280"/>
      <c r="D353" s="280"/>
      <c r="E353" s="280"/>
      <c r="F353" s="280"/>
      <c r="G353" s="280"/>
      <c r="H353" s="280"/>
      <c r="I353" s="280"/>
      <c r="J353" s="280"/>
      <c r="K353" s="280"/>
      <c r="L353" s="280"/>
      <c r="M353" s="280"/>
      <c r="N353" s="280"/>
      <c r="O353" s="280"/>
      <c r="P353" s="280"/>
    </row>
    <row r="354" spans="2:16" ht="15">
      <c r="B354" s="284" t="s">
        <v>94</v>
      </c>
      <c r="C354" s="285"/>
      <c r="D354" s="285"/>
      <c r="E354" s="285"/>
      <c r="F354" s="285"/>
      <c r="G354" s="285"/>
      <c r="H354" s="285"/>
      <c r="I354" s="285"/>
      <c r="J354" s="285"/>
      <c r="K354" s="285"/>
      <c r="L354" s="285"/>
      <c r="M354" s="285"/>
      <c r="N354" s="285"/>
      <c r="O354" s="285"/>
      <c r="P354" s="285"/>
    </row>
    <row r="355" spans="2:16" ht="15.5">
      <c r="B355" s="302" t="s">
        <v>95</v>
      </c>
      <c r="C355" s="199">
        <v>26546</v>
      </c>
      <c r="D355" s="199">
        <v>26546</v>
      </c>
      <c r="E355" s="199">
        <v>26546</v>
      </c>
      <c r="F355" s="199">
        <v>26546</v>
      </c>
      <c r="G355" s="199">
        <v>26546</v>
      </c>
      <c r="H355" s="199">
        <v>26546</v>
      </c>
      <c r="I355" s="199">
        <v>19301</v>
      </c>
      <c r="J355" s="199">
        <v>19301</v>
      </c>
      <c r="K355" s="199">
        <v>19301</v>
      </c>
      <c r="L355" s="199">
        <v>19301</v>
      </c>
      <c r="M355" s="199">
        <v>19301</v>
      </c>
      <c r="N355" s="199">
        <v>19301</v>
      </c>
      <c r="O355" s="199">
        <v>19301</v>
      </c>
      <c r="P355" s="199">
        <v>19301.260407000002</v>
      </c>
    </row>
    <row r="356" spans="2:16" ht="15.5">
      <c r="B356" s="302" t="s">
        <v>96</v>
      </c>
      <c r="C356" s="199">
        <v>0</v>
      </c>
      <c r="D356" s="199">
        <v>0</v>
      </c>
      <c r="E356" s="199">
        <v>0</v>
      </c>
      <c r="F356" s="199">
        <v>0</v>
      </c>
      <c r="G356" s="199">
        <v>0</v>
      </c>
      <c r="H356" s="199">
        <v>0</v>
      </c>
      <c r="I356" s="199">
        <v>0</v>
      </c>
      <c r="J356" s="199">
        <v>0</v>
      </c>
      <c r="K356" s="199">
        <v>0</v>
      </c>
      <c r="L356" s="199">
        <v>0</v>
      </c>
      <c r="M356" s="199">
        <v>0</v>
      </c>
      <c r="N356" s="199">
        <v>0</v>
      </c>
      <c r="O356" s="199">
        <v>0</v>
      </c>
      <c r="P356" s="199">
        <v>0</v>
      </c>
    </row>
    <row r="357" spans="2:16" ht="15.5">
      <c r="B357" s="302" t="s">
        <v>97</v>
      </c>
      <c r="C357" s="199">
        <v>0</v>
      </c>
      <c r="D357" s="199">
        <v>0</v>
      </c>
      <c r="E357" s="199">
        <v>0</v>
      </c>
      <c r="F357" s="199">
        <v>0</v>
      </c>
      <c r="G357" s="199">
        <v>0</v>
      </c>
      <c r="H357" s="199">
        <v>0</v>
      </c>
      <c r="I357" s="199">
        <v>0</v>
      </c>
      <c r="J357" s="199">
        <v>0</v>
      </c>
      <c r="K357" s="199">
        <v>0</v>
      </c>
      <c r="L357" s="199">
        <v>0</v>
      </c>
      <c r="M357" s="199">
        <v>0</v>
      </c>
      <c r="N357" s="199">
        <v>0</v>
      </c>
      <c r="O357" s="199">
        <v>0</v>
      </c>
      <c r="P357" s="199">
        <v>0</v>
      </c>
    </row>
    <row r="358" spans="2:16" ht="15.5">
      <c r="B358" s="302" t="s">
        <v>98</v>
      </c>
      <c r="C358" s="199">
        <v>3432</v>
      </c>
      <c r="D358" s="199">
        <v>2923</v>
      </c>
      <c r="E358" s="199">
        <v>2397</v>
      </c>
      <c r="F358" s="199">
        <v>2397</v>
      </c>
      <c r="G358" s="199">
        <v>2397</v>
      </c>
      <c r="H358" s="199">
        <v>0</v>
      </c>
      <c r="I358" s="199">
        <v>5509</v>
      </c>
      <c r="J358" s="199">
        <v>5509</v>
      </c>
      <c r="K358" s="199">
        <v>5509</v>
      </c>
      <c r="L358" s="199">
        <v>5509</v>
      </c>
      <c r="M358" s="199">
        <v>6241</v>
      </c>
      <c r="N358" s="199">
        <v>6241</v>
      </c>
      <c r="O358" s="199">
        <v>6241</v>
      </c>
      <c r="P358" s="199">
        <v>6241.2794510000003</v>
      </c>
    </row>
    <row r="359" spans="2:16" ht="15.5">
      <c r="B359" s="302" t="s">
        <v>99</v>
      </c>
      <c r="C359" s="199">
        <v>-509</v>
      </c>
      <c r="D359" s="199">
        <v>-526</v>
      </c>
      <c r="E359" s="199">
        <v>691</v>
      </c>
      <c r="F359" s="199">
        <v>1734</v>
      </c>
      <c r="G359" s="199">
        <v>2359</v>
      </c>
      <c r="H359" s="199">
        <v>5509</v>
      </c>
      <c r="I359" s="199">
        <v>722</v>
      </c>
      <c r="J359" s="199">
        <v>1636</v>
      </c>
      <c r="K359" s="199">
        <v>2503</v>
      </c>
      <c r="L359" s="199">
        <v>6241</v>
      </c>
      <c r="M359" s="199">
        <v>1612</v>
      </c>
      <c r="N359" s="199">
        <v>3530</v>
      </c>
      <c r="O359" s="199">
        <v>4176</v>
      </c>
      <c r="P359" s="199">
        <v>3590.3195780000001</v>
      </c>
    </row>
    <row r="360" spans="2:16" ht="15.5">
      <c r="B360" s="302" t="s">
        <v>100</v>
      </c>
      <c r="C360" s="199">
        <v>0</v>
      </c>
      <c r="D360" s="199">
        <v>0</v>
      </c>
      <c r="E360" s="199">
        <v>0</v>
      </c>
      <c r="F360" s="199">
        <v>0</v>
      </c>
      <c r="G360" s="199">
        <v>0</v>
      </c>
      <c r="H360" s="199">
        <v>0</v>
      </c>
      <c r="I360" s="199">
        <v>0</v>
      </c>
      <c r="J360" s="199">
        <v>0</v>
      </c>
      <c r="K360" s="199">
        <v>0</v>
      </c>
      <c r="L360" s="199">
        <v>0</v>
      </c>
      <c r="M360" s="199">
        <v>0</v>
      </c>
      <c r="N360" s="199">
        <v>0</v>
      </c>
      <c r="O360" s="199">
        <v>0</v>
      </c>
      <c r="P360" s="199">
        <v>0</v>
      </c>
    </row>
    <row r="361" spans="2:16" ht="15">
      <c r="B361" s="274" t="s">
        <v>103</v>
      </c>
      <c r="C361" s="279">
        <v>29469</v>
      </c>
      <c r="D361" s="279">
        <v>28943</v>
      </c>
      <c r="E361" s="279">
        <v>29634</v>
      </c>
      <c r="F361" s="279">
        <v>30677</v>
      </c>
      <c r="G361" s="279">
        <v>31302</v>
      </c>
      <c r="H361" s="279">
        <v>32055</v>
      </c>
      <c r="I361" s="279">
        <v>25532</v>
      </c>
      <c r="J361" s="279">
        <v>26446</v>
      </c>
      <c r="K361" s="279">
        <v>27313</v>
      </c>
      <c r="L361" s="279">
        <v>31051</v>
      </c>
      <c r="M361" s="279">
        <v>27154</v>
      </c>
      <c r="N361" s="279">
        <v>29072</v>
      </c>
      <c r="O361" s="279">
        <v>29718</v>
      </c>
      <c r="P361" s="279">
        <f>SUM(P355:P360)</f>
        <v>29132.859436000002</v>
      </c>
    </row>
    <row r="362" spans="2:16" ht="15">
      <c r="B362" s="222" t="s">
        <v>104</v>
      </c>
      <c r="C362" s="278">
        <v>118465</v>
      </c>
      <c r="D362" s="278">
        <v>66141</v>
      </c>
      <c r="E362" s="278">
        <v>44433</v>
      </c>
      <c r="F362" s="278">
        <v>48019</v>
      </c>
      <c r="G362" s="278">
        <v>36199</v>
      </c>
      <c r="H362" s="278">
        <v>37600</v>
      </c>
      <c r="I362" s="278">
        <v>33573</v>
      </c>
      <c r="J362" s="278">
        <v>34073</v>
      </c>
      <c r="K362" s="278">
        <v>38028</v>
      </c>
      <c r="L362" s="278">
        <v>51074</v>
      </c>
      <c r="M362" s="278">
        <v>53663</v>
      </c>
      <c r="N362" s="278">
        <v>56644</v>
      </c>
      <c r="O362" s="278">
        <v>41104</v>
      </c>
      <c r="P362" s="278">
        <f>+P361+P352</f>
        <v>38337.559533000007</v>
      </c>
    </row>
    <row r="363" spans="2:16" ht="15.5">
      <c r="B363" s="233"/>
      <c r="C363" s="233"/>
      <c r="D363" s="233"/>
      <c r="E363" s="233"/>
      <c r="F363" s="233"/>
      <c r="G363" s="233"/>
      <c r="H363" s="233"/>
      <c r="I363" s="233"/>
      <c r="J363" s="233"/>
      <c r="K363" s="233"/>
      <c r="L363" s="233"/>
      <c r="M363" s="233"/>
      <c r="N363" s="233"/>
      <c r="O363" s="233"/>
      <c r="P363" s="106"/>
    </row>
    <row r="364" spans="2:16" ht="15.5">
      <c r="B364" s="233"/>
      <c r="C364" s="233"/>
      <c r="D364" s="233"/>
      <c r="E364" s="233"/>
      <c r="F364" s="233"/>
      <c r="G364" s="233"/>
      <c r="H364" s="233"/>
      <c r="I364" s="233"/>
      <c r="J364" s="233"/>
      <c r="K364" s="233"/>
      <c r="L364" s="233"/>
      <c r="M364" s="233"/>
      <c r="N364" s="233"/>
      <c r="O364" s="233"/>
      <c r="P364" s="106"/>
    </row>
    <row r="365" spans="2:16" ht="15.5">
      <c r="B365" s="125" t="s">
        <v>403</v>
      </c>
      <c r="C365" s="33"/>
      <c r="D365" s="33"/>
      <c r="E365" s="34"/>
      <c r="F365" s="33"/>
      <c r="G365" s="33"/>
      <c r="H365" s="33"/>
      <c r="I365" s="34"/>
      <c r="J365" s="33"/>
      <c r="K365" s="33"/>
      <c r="L365" s="33"/>
      <c r="M365" s="34"/>
      <c r="N365" s="33"/>
      <c r="O365" s="33"/>
      <c r="P365" s="106"/>
    </row>
    <row r="366" spans="2:16" ht="15.5">
      <c r="B366" s="258" t="s">
        <v>393</v>
      </c>
      <c r="C366" s="233"/>
      <c r="D366" s="233"/>
      <c r="E366" s="233"/>
      <c r="F366" s="233"/>
      <c r="G366" s="233"/>
      <c r="H366" s="233"/>
      <c r="I366" s="233"/>
      <c r="J366" s="233"/>
      <c r="K366" s="233"/>
      <c r="L366" s="233"/>
      <c r="M366" s="233"/>
      <c r="N366" s="233"/>
      <c r="O366" s="233"/>
      <c r="P366" s="106"/>
    </row>
    <row r="367" spans="2:16" ht="7.5" customHeight="1">
      <c r="B367" s="35"/>
      <c r="C367" s="35"/>
      <c r="D367" s="35"/>
      <c r="E367" s="35"/>
      <c r="F367" s="35"/>
      <c r="G367" s="35"/>
      <c r="H367" s="35"/>
      <c r="I367" s="35"/>
      <c r="J367" s="35"/>
      <c r="K367" s="35"/>
      <c r="L367" s="35"/>
      <c r="M367" s="35"/>
      <c r="N367" s="35"/>
      <c r="O367" s="35"/>
      <c r="P367" s="106"/>
    </row>
    <row r="368" spans="2:16" ht="15">
      <c r="B368" s="241"/>
      <c r="C368" s="242">
        <v>2016</v>
      </c>
      <c r="D368" s="242">
        <v>2017</v>
      </c>
      <c r="E368" s="242" t="s">
        <v>20</v>
      </c>
      <c r="F368" s="242" t="s">
        <v>21</v>
      </c>
      <c r="G368" s="242" t="s">
        <v>22</v>
      </c>
      <c r="H368" s="242" t="s">
        <v>23</v>
      </c>
      <c r="I368" s="242" t="s">
        <v>24</v>
      </c>
      <c r="J368" s="242" t="s">
        <v>25</v>
      </c>
      <c r="K368" s="242" t="s">
        <v>26</v>
      </c>
      <c r="L368" s="242" t="s">
        <v>27</v>
      </c>
      <c r="M368" s="242" t="s">
        <v>28</v>
      </c>
      <c r="N368" s="242" t="s">
        <v>29</v>
      </c>
      <c r="O368" s="242" t="s">
        <v>30</v>
      </c>
      <c r="P368" s="635" t="s">
        <v>954</v>
      </c>
    </row>
    <row r="369" spans="2:16" ht="2.5" customHeight="1">
      <c r="B369" s="243"/>
      <c r="C369" s="35"/>
      <c r="D369" s="35"/>
      <c r="E369" s="35"/>
      <c r="F369" s="35"/>
      <c r="G369" s="35"/>
      <c r="H369" s="35"/>
      <c r="I369" s="35"/>
      <c r="J369" s="35"/>
      <c r="K369" s="35"/>
      <c r="L369" s="35"/>
      <c r="M369" s="35"/>
      <c r="N369" s="35"/>
      <c r="O369" s="35"/>
      <c r="P369" s="106"/>
    </row>
    <row r="370" spans="2:16" ht="15.5">
      <c r="B370" s="172" t="s">
        <v>31</v>
      </c>
      <c r="C370" s="207">
        <v>65</v>
      </c>
      <c r="D370" s="207">
        <v>120</v>
      </c>
      <c r="E370" s="207">
        <v>105</v>
      </c>
      <c r="F370" s="207">
        <v>12</v>
      </c>
      <c r="G370" s="207">
        <v>138</v>
      </c>
      <c r="H370" s="207">
        <v>168</v>
      </c>
      <c r="I370" s="207">
        <v>1393</v>
      </c>
      <c r="J370" s="207">
        <v>717</v>
      </c>
      <c r="K370" s="207">
        <v>756</v>
      </c>
      <c r="L370" s="207">
        <v>1676</v>
      </c>
      <c r="M370" s="207">
        <v>37</v>
      </c>
      <c r="N370" s="207">
        <v>224</v>
      </c>
      <c r="O370" s="207">
        <v>141</v>
      </c>
      <c r="P370" s="207">
        <v>1015.343393</v>
      </c>
    </row>
    <row r="371" spans="2:16" ht="15.5">
      <c r="B371" s="172" t="s">
        <v>32</v>
      </c>
      <c r="C371" s="207">
        <v>58</v>
      </c>
      <c r="D371" s="207">
        <v>106</v>
      </c>
      <c r="E371" s="207">
        <v>93</v>
      </c>
      <c r="F371" s="207">
        <v>10</v>
      </c>
      <c r="G371" s="207">
        <v>123</v>
      </c>
      <c r="H371" s="207">
        <v>149</v>
      </c>
      <c r="I371" s="207">
        <v>1233</v>
      </c>
      <c r="J371" s="207">
        <v>635</v>
      </c>
      <c r="K371" s="207">
        <v>669</v>
      </c>
      <c r="L371" s="207">
        <v>1483</v>
      </c>
      <c r="M371" s="207">
        <v>32</v>
      </c>
      <c r="N371" s="207">
        <v>195</v>
      </c>
      <c r="O371" s="207">
        <v>122</v>
      </c>
      <c r="P371" s="207">
        <v>882.90729899999997</v>
      </c>
    </row>
    <row r="372" spans="2:16" ht="15.5">
      <c r="B372" s="232" t="s">
        <v>33</v>
      </c>
      <c r="C372" s="244">
        <v>7</v>
      </c>
      <c r="D372" s="244">
        <v>14</v>
      </c>
      <c r="E372" s="244">
        <v>12</v>
      </c>
      <c r="F372" s="244">
        <v>2</v>
      </c>
      <c r="G372" s="244">
        <v>15</v>
      </c>
      <c r="H372" s="244">
        <v>19</v>
      </c>
      <c r="I372" s="244">
        <v>160</v>
      </c>
      <c r="J372" s="244">
        <v>82</v>
      </c>
      <c r="K372" s="244">
        <v>87</v>
      </c>
      <c r="L372" s="244">
        <v>193</v>
      </c>
      <c r="M372" s="244">
        <v>5</v>
      </c>
      <c r="N372" s="244">
        <v>29</v>
      </c>
      <c r="O372" s="244">
        <v>19</v>
      </c>
      <c r="P372" s="244">
        <v>132.43609400000003</v>
      </c>
    </row>
    <row r="373" spans="2:16" ht="7.5" customHeight="1">
      <c r="B373" s="172"/>
      <c r="C373" s="207"/>
      <c r="D373" s="207"/>
      <c r="E373" s="207"/>
      <c r="F373" s="207"/>
      <c r="G373" s="207"/>
      <c r="H373" s="207"/>
      <c r="I373" s="207"/>
      <c r="J373" s="207"/>
      <c r="K373" s="207"/>
      <c r="L373" s="207"/>
      <c r="M373" s="207"/>
      <c r="N373" s="207"/>
      <c r="O373" s="207"/>
      <c r="P373" s="207"/>
    </row>
    <row r="374" spans="2:16" ht="15.5">
      <c r="B374" s="172" t="s">
        <v>394</v>
      </c>
      <c r="C374" s="207">
        <v>9556</v>
      </c>
      <c r="D374" s="207">
        <v>8502</v>
      </c>
      <c r="E374" s="207">
        <v>3058</v>
      </c>
      <c r="F374" s="207">
        <v>2083</v>
      </c>
      <c r="G374" s="207">
        <v>1675</v>
      </c>
      <c r="H374" s="207">
        <v>2351</v>
      </c>
      <c r="I374" s="207">
        <v>3526</v>
      </c>
      <c r="J374" s="207">
        <v>2027</v>
      </c>
      <c r="K374" s="207">
        <v>1726</v>
      </c>
      <c r="L374" s="207">
        <v>2225</v>
      </c>
      <c r="M374" s="207">
        <v>3704</v>
      </c>
      <c r="N374" s="207">
        <v>2436</v>
      </c>
      <c r="O374" s="207">
        <v>1830</v>
      </c>
      <c r="P374" s="207">
        <v>2723.318949</v>
      </c>
    </row>
    <row r="375" spans="2:16" ht="15.5">
      <c r="B375" s="172" t="s">
        <v>395</v>
      </c>
      <c r="C375" s="207">
        <v>15216</v>
      </c>
      <c r="D375" s="207">
        <v>11612</v>
      </c>
      <c r="E375" s="207">
        <v>2726</v>
      </c>
      <c r="F375" s="207">
        <v>2041</v>
      </c>
      <c r="G375" s="207">
        <v>1993</v>
      </c>
      <c r="H375" s="207">
        <v>1908</v>
      </c>
      <c r="I375" s="207">
        <v>2707</v>
      </c>
      <c r="J375" s="207">
        <v>2657</v>
      </c>
      <c r="K375" s="207">
        <v>2596</v>
      </c>
      <c r="L375" s="207">
        <v>2453</v>
      </c>
      <c r="M375" s="207">
        <v>2271</v>
      </c>
      <c r="N375" s="207">
        <v>1641</v>
      </c>
      <c r="O375" s="207">
        <v>938</v>
      </c>
      <c r="P375" s="207">
        <v>-564.52588099999991</v>
      </c>
    </row>
    <row r="376" spans="2:16" ht="15.5">
      <c r="B376" s="172" t="s">
        <v>40</v>
      </c>
      <c r="C376" s="207">
        <v>0</v>
      </c>
      <c r="D376" s="207">
        <v>0</v>
      </c>
      <c r="E376" s="207">
        <v>0</v>
      </c>
      <c r="F376" s="207">
        <v>0</v>
      </c>
      <c r="G376" s="207">
        <v>0</v>
      </c>
      <c r="H376" s="207">
        <v>0</v>
      </c>
      <c r="I376" s="207">
        <v>0</v>
      </c>
      <c r="J376" s="207">
        <v>0</v>
      </c>
      <c r="K376" s="207">
        <v>0</v>
      </c>
      <c r="L376" s="207">
        <v>0</v>
      </c>
      <c r="M376" s="207">
        <v>0</v>
      </c>
      <c r="N376" s="207">
        <v>0</v>
      </c>
      <c r="O376" s="207">
        <v>0</v>
      </c>
      <c r="P376" s="207">
        <v>0</v>
      </c>
    </row>
    <row r="377" spans="2:16" ht="15.5">
      <c r="B377" s="172" t="s">
        <v>41</v>
      </c>
      <c r="C377" s="207">
        <v>9020</v>
      </c>
      <c r="D377" s="207">
        <v>8023</v>
      </c>
      <c r="E377" s="207">
        <v>2885</v>
      </c>
      <c r="F377" s="207">
        <v>1973</v>
      </c>
      <c r="G377" s="207">
        <v>1591</v>
      </c>
      <c r="H377" s="207">
        <v>2249</v>
      </c>
      <c r="I377" s="207">
        <v>3341</v>
      </c>
      <c r="J377" s="207">
        <v>1932</v>
      </c>
      <c r="K377" s="207">
        <v>1650</v>
      </c>
      <c r="L377" s="207">
        <v>2122</v>
      </c>
      <c r="M377" s="207">
        <v>3479</v>
      </c>
      <c r="N377" s="207">
        <v>2277</v>
      </c>
      <c r="O377" s="207">
        <v>1717</v>
      </c>
      <c r="P377" s="207">
        <v>2521.591617</v>
      </c>
    </row>
    <row r="378" spans="2:16" ht="15.5">
      <c r="B378" s="232" t="s">
        <v>42</v>
      </c>
      <c r="C378" s="244">
        <v>15752</v>
      </c>
      <c r="D378" s="244">
        <v>12091</v>
      </c>
      <c r="E378" s="244">
        <v>2899</v>
      </c>
      <c r="F378" s="244">
        <v>2151</v>
      </c>
      <c r="G378" s="244">
        <v>2077</v>
      </c>
      <c r="H378" s="244">
        <v>2010</v>
      </c>
      <c r="I378" s="244">
        <v>2892</v>
      </c>
      <c r="J378" s="244">
        <v>2752</v>
      </c>
      <c r="K378" s="244">
        <v>2672</v>
      </c>
      <c r="L378" s="244">
        <v>2556</v>
      </c>
      <c r="M378" s="244">
        <v>2496</v>
      </c>
      <c r="N378" s="244">
        <v>1800</v>
      </c>
      <c r="O378" s="244">
        <v>1051</v>
      </c>
      <c r="P378" s="244">
        <v>-362.79854900000009</v>
      </c>
    </row>
    <row r="379" spans="2:16" ht="15.5">
      <c r="B379" s="174" t="s">
        <v>43</v>
      </c>
      <c r="C379" s="208">
        <v>15759</v>
      </c>
      <c r="D379" s="208">
        <v>12105</v>
      </c>
      <c r="E379" s="208">
        <v>2911</v>
      </c>
      <c r="F379" s="208">
        <v>2153</v>
      </c>
      <c r="G379" s="208">
        <v>2092</v>
      </c>
      <c r="H379" s="208">
        <v>2029</v>
      </c>
      <c r="I379" s="208">
        <v>3052</v>
      </c>
      <c r="J379" s="208">
        <v>2834</v>
      </c>
      <c r="K379" s="208">
        <v>2759</v>
      </c>
      <c r="L379" s="208">
        <v>2749</v>
      </c>
      <c r="M379" s="208">
        <v>2501</v>
      </c>
      <c r="N379" s="208">
        <v>1829</v>
      </c>
      <c r="O379" s="208">
        <v>1070</v>
      </c>
      <c r="P379" s="208">
        <v>-230.36245500000007</v>
      </c>
    </row>
    <row r="380" spans="2:16" ht="15.5">
      <c r="B380" s="171"/>
      <c r="C380" s="9"/>
      <c r="D380" s="9"/>
      <c r="E380" s="9"/>
      <c r="F380" s="9"/>
      <c r="G380" s="9"/>
      <c r="H380" s="9"/>
      <c r="I380" s="9"/>
      <c r="J380" s="9"/>
      <c r="K380" s="9"/>
      <c r="L380" s="9"/>
      <c r="M380" s="9"/>
      <c r="N380" s="9"/>
      <c r="O380" s="9"/>
      <c r="P380" s="9"/>
    </row>
    <row r="381" spans="2:16" ht="15.5">
      <c r="B381" s="172" t="s">
        <v>44</v>
      </c>
      <c r="C381" s="207">
        <v>50</v>
      </c>
      <c r="D381" s="207">
        <v>61</v>
      </c>
      <c r="E381" s="207">
        <v>20</v>
      </c>
      <c r="F381" s="207">
        <v>18</v>
      </c>
      <c r="G381" s="207">
        <v>17</v>
      </c>
      <c r="H381" s="207">
        <v>19</v>
      </c>
      <c r="I381" s="207">
        <v>20</v>
      </c>
      <c r="J381" s="207">
        <v>31</v>
      </c>
      <c r="K381" s="207">
        <v>34</v>
      </c>
      <c r="L381" s="207">
        <v>35</v>
      </c>
      <c r="M381" s="207">
        <v>35</v>
      </c>
      <c r="N381" s="207">
        <v>38</v>
      </c>
      <c r="O381" s="207">
        <v>41</v>
      </c>
      <c r="P381" s="207">
        <v>38.307843999999996</v>
      </c>
    </row>
    <row r="382" spans="2:16" ht="15.5">
      <c r="B382" s="172" t="s">
        <v>45</v>
      </c>
      <c r="C382" s="207">
        <v>0</v>
      </c>
      <c r="D382" s="207">
        <v>0</v>
      </c>
      <c r="E382" s="207">
        <v>0</v>
      </c>
      <c r="F382" s="207">
        <v>0</v>
      </c>
      <c r="G382" s="207">
        <v>0</v>
      </c>
      <c r="H382" s="207">
        <v>0</v>
      </c>
      <c r="I382" s="207">
        <v>0</v>
      </c>
      <c r="J382" s="207">
        <v>0</v>
      </c>
      <c r="K382" s="207">
        <v>0</v>
      </c>
      <c r="L382" s="207">
        <v>0</v>
      </c>
      <c r="M382" s="207">
        <v>0</v>
      </c>
      <c r="N382" s="207">
        <v>0</v>
      </c>
      <c r="O382" s="207">
        <v>0</v>
      </c>
      <c r="P382" s="207"/>
    </row>
    <row r="383" spans="2:16" ht="15.5">
      <c r="B383" s="172" t="s">
        <v>46</v>
      </c>
      <c r="C383" s="207">
        <v>-85</v>
      </c>
      <c r="D383" s="207">
        <v>45</v>
      </c>
      <c r="E383" s="207">
        <v>0</v>
      </c>
      <c r="F383" s="207">
        <v>12</v>
      </c>
      <c r="G383" s="207">
        <v>1</v>
      </c>
      <c r="H383" s="207">
        <v>1</v>
      </c>
      <c r="I383" s="207">
        <v>0</v>
      </c>
      <c r="J383" s="207">
        <v>4</v>
      </c>
      <c r="K383" s="207">
        <v>69</v>
      </c>
      <c r="L383" s="207">
        <v>14</v>
      </c>
      <c r="M383" s="207">
        <v>2</v>
      </c>
      <c r="N383" s="207">
        <v>-26</v>
      </c>
      <c r="O383" s="207">
        <v>29</v>
      </c>
      <c r="P383" s="207">
        <v>-20.576566</v>
      </c>
    </row>
    <row r="384" spans="2:16" ht="15.5">
      <c r="B384" s="174" t="s">
        <v>47</v>
      </c>
      <c r="C384" s="209">
        <v>15624</v>
      </c>
      <c r="D384" s="209">
        <v>12089</v>
      </c>
      <c r="E384" s="209">
        <v>2891</v>
      </c>
      <c r="F384" s="209">
        <v>2147</v>
      </c>
      <c r="G384" s="209">
        <v>2076</v>
      </c>
      <c r="H384" s="209">
        <v>2011</v>
      </c>
      <c r="I384" s="209">
        <v>3032</v>
      </c>
      <c r="J384" s="209">
        <v>2807</v>
      </c>
      <c r="K384" s="209">
        <v>2794</v>
      </c>
      <c r="L384" s="209">
        <v>2728</v>
      </c>
      <c r="M384" s="209">
        <v>2468</v>
      </c>
      <c r="N384" s="209">
        <v>1765</v>
      </c>
      <c r="O384" s="209">
        <v>1058</v>
      </c>
      <c r="P384" s="209">
        <v>-289.24686500000007</v>
      </c>
    </row>
    <row r="385" spans="2:16" ht="15.5">
      <c r="B385" s="172"/>
      <c r="C385" s="207"/>
      <c r="D385" s="207"/>
      <c r="E385" s="207"/>
      <c r="F385" s="207"/>
      <c r="G385" s="207"/>
      <c r="H385" s="207"/>
      <c r="I385" s="207"/>
      <c r="J385" s="207"/>
      <c r="K385" s="207"/>
      <c r="L385" s="207"/>
      <c r="M385" s="207"/>
      <c r="N385" s="207"/>
      <c r="O385" s="207"/>
      <c r="P385" s="207"/>
    </row>
    <row r="386" spans="2:16" ht="15.5">
      <c r="B386" s="172" t="s">
        <v>48</v>
      </c>
      <c r="C386" s="207">
        <v>-5609</v>
      </c>
      <c r="D386" s="207">
        <v>-3906</v>
      </c>
      <c r="E386" s="207">
        <v>-720</v>
      </c>
      <c r="F386" s="207">
        <v>-829</v>
      </c>
      <c r="G386" s="207">
        <v>-753</v>
      </c>
      <c r="H386" s="207">
        <v>-663</v>
      </c>
      <c r="I386" s="207">
        <v>-835</v>
      </c>
      <c r="J386" s="207">
        <v>-750</v>
      </c>
      <c r="K386" s="207">
        <v>-727</v>
      </c>
      <c r="L386" s="207">
        <v>-506</v>
      </c>
      <c r="M386" s="207">
        <v>-619</v>
      </c>
      <c r="N386" s="207">
        <v>-606</v>
      </c>
      <c r="O386" s="207">
        <v>-549</v>
      </c>
      <c r="P386" s="207">
        <v>-619.42520399999989</v>
      </c>
    </row>
    <row r="387" spans="2:16" ht="15.5">
      <c r="B387" s="174" t="s">
        <v>49</v>
      </c>
      <c r="C387" s="209">
        <v>10015</v>
      </c>
      <c r="D387" s="209">
        <v>8183</v>
      </c>
      <c r="E387" s="209">
        <v>2171</v>
      </c>
      <c r="F387" s="209">
        <v>1318</v>
      </c>
      <c r="G387" s="209">
        <v>1323</v>
      </c>
      <c r="H387" s="209">
        <v>1348</v>
      </c>
      <c r="I387" s="209">
        <v>2197</v>
      </c>
      <c r="J387" s="209">
        <v>2057</v>
      </c>
      <c r="K387" s="209">
        <v>2067</v>
      </c>
      <c r="L387" s="209">
        <v>2222</v>
      </c>
      <c r="M387" s="209">
        <v>1849</v>
      </c>
      <c r="N387" s="209">
        <v>1159</v>
      </c>
      <c r="O387" s="209">
        <v>509</v>
      </c>
      <c r="P387" s="209">
        <v>-908.67206899999996</v>
      </c>
    </row>
    <row r="388" spans="2:16" ht="15.5">
      <c r="B388" s="171"/>
      <c r="C388" s="9"/>
      <c r="D388" s="9"/>
      <c r="E388" s="9"/>
      <c r="F388" s="9"/>
      <c r="G388" s="9"/>
      <c r="H388" s="9"/>
      <c r="I388" s="9"/>
      <c r="J388" s="9"/>
      <c r="K388" s="9"/>
      <c r="L388" s="9"/>
      <c r="M388" s="9"/>
      <c r="N388" s="9"/>
      <c r="O388" s="9"/>
      <c r="P388" s="9"/>
    </row>
    <row r="389" spans="2:16" ht="15.5">
      <c r="B389" s="172" t="s">
        <v>50</v>
      </c>
      <c r="C389" s="207">
        <v>2385</v>
      </c>
      <c r="D389" s="207">
        <v>2087</v>
      </c>
      <c r="E389" s="207">
        <v>587</v>
      </c>
      <c r="F389" s="207">
        <v>256</v>
      </c>
      <c r="G389" s="207">
        <v>357</v>
      </c>
      <c r="H389" s="207">
        <v>364</v>
      </c>
      <c r="I389" s="207">
        <v>593</v>
      </c>
      <c r="J389" s="207">
        <v>595</v>
      </c>
      <c r="K389" s="207">
        <v>558</v>
      </c>
      <c r="L389" s="207">
        <v>679</v>
      </c>
      <c r="M389" s="207">
        <v>500</v>
      </c>
      <c r="N389" s="207">
        <v>312</v>
      </c>
      <c r="O389" s="207">
        <v>194</v>
      </c>
      <c r="P389" s="207">
        <v>-245.34145799999999</v>
      </c>
    </row>
    <row r="390" spans="2:16" ht="15.5">
      <c r="B390" s="174" t="s">
        <v>53</v>
      </c>
      <c r="C390" s="209">
        <v>7630</v>
      </c>
      <c r="D390" s="209">
        <v>6096</v>
      </c>
      <c r="E390" s="209">
        <v>1584</v>
      </c>
      <c r="F390" s="209">
        <v>1062</v>
      </c>
      <c r="G390" s="209">
        <v>966</v>
      </c>
      <c r="H390" s="209">
        <v>984</v>
      </c>
      <c r="I390" s="209">
        <v>1604</v>
      </c>
      <c r="J390" s="209">
        <v>1462</v>
      </c>
      <c r="K390" s="209">
        <v>1509</v>
      </c>
      <c r="L390" s="209">
        <v>1543</v>
      </c>
      <c r="M390" s="209">
        <v>1349</v>
      </c>
      <c r="N390" s="209">
        <v>847</v>
      </c>
      <c r="O390" s="209">
        <v>315</v>
      </c>
      <c r="P390" s="209">
        <v>-663.33061099999998</v>
      </c>
    </row>
    <row r="391" spans="2:16" ht="15.5">
      <c r="B391" s="233"/>
      <c r="C391" s="233"/>
      <c r="D391" s="233"/>
      <c r="E391" s="233"/>
      <c r="F391" s="233"/>
      <c r="G391" s="233"/>
      <c r="H391" s="233"/>
      <c r="I391" s="233"/>
      <c r="J391" s="233"/>
      <c r="K391" s="233"/>
      <c r="L391" s="233"/>
      <c r="M391" s="233"/>
      <c r="N391" s="233"/>
      <c r="O391" s="233"/>
      <c r="P391" s="106"/>
    </row>
    <row r="392" spans="2:16" ht="15.5">
      <c r="B392" s="233"/>
      <c r="C392" s="233"/>
      <c r="D392" s="233"/>
      <c r="E392" s="233"/>
      <c r="F392" s="233"/>
      <c r="G392" s="233"/>
      <c r="H392" s="233"/>
      <c r="I392" s="233"/>
      <c r="J392" s="233"/>
      <c r="K392" s="233"/>
      <c r="L392" s="233"/>
      <c r="M392" s="233"/>
      <c r="N392" s="233"/>
      <c r="O392" s="233"/>
      <c r="P392" s="106"/>
    </row>
    <row r="393" spans="2:16" ht="15.5">
      <c r="B393" s="125" t="s">
        <v>404</v>
      </c>
      <c r="C393" s="233"/>
      <c r="D393" s="233"/>
      <c r="E393" s="233"/>
      <c r="F393" s="233"/>
      <c r="G393" s="233"/>
      <c r="H393" s="177"/>
      <c r="I393" s="177"/>
      <c r="J393" s="177"/>
      <c r="K393" s="177"/>
      <c r="L393" s="177"/>
      <c r="M393" s="177"/>
      <c r="N393" s="177"/>
      <c r="O393" s="177"/>
      <c r="P393" s="106"/>
    </row>
    <row r="394" spans="2:16" ht="15.5">
      <c r="B394" s="258" t="s">
        <v>393</v>
      </c>
      <c r="C394" s="233"/>
      <c r="D394" s="233"/>
      <c r="E394" s="233"/>
      <c r="F394" s="233"/>
      <c r="G394" s="233"/>
      <c r="H394" s="178"/>
      <c r="I394" s="178"/>
      <c r="J394" s="178"/>
      <c r="K394" s="178"/>
      <c r="L394" s="178"/>
      <c r="M394" s="178"/>
      <c r="N394" s="178"/>
      <c r="O394" s="178"/>
      <c r="P394" s="106"/>
    </row>
    <row r="395" spans="2:16" ht="15.5">
      <c r="B395" s="179"/>
      <c r="C395" s="233"/>
      <c r="D395" s="233"/>
      <c r="E395" s="233"/>
      <c r="F395" s="233"/>
      <c r="G395" s="233"/>
      <c r="H395" s="179"/>
      <c r="I395" s="179"/>
      <c r="J395" s="179"/>
      <c r="K395" s="179"/>
      <c r="L395" s="179"/>
      <c r="M395" s="179"/>
      <c r="N395" s="179"/>
      <c r="O395" s="179"/>
      <c r="P395" s="106"/>
    </row>
    <row r="396" spans="2:16" ht="15.5">
      <c r="B396" s="304"/>
      <c r="C396" s="305">
        <v>2016</v>
      </c>
      <c r="D396" s="305">
        <v>2017</v>
      </c>
      <c r="E396" s="305" t="s">
        <v>20</v>
      </c>
      <c r="F396" s="305" t="s">
        <v>21</v>
      </c>
      <c r="G396" s="305" t="s">
        <v>22</v>
      </c>
      <c r="H396" s="305" t="s">
        <v>23</v>
      </c>
      <c r="I396" s="305" t="s">
        <v>24</v>
      </c>
      <c r="J396" s="305" t="s">
        <v>25</v>
      </c>
      <c r="K396" s="305" t="s">
        <v>26</v>
      </c>
      <c r="L396" s="305" t="s">
        <v>27</v>
      </c>
      <c r="M396" s="305" t="s">
        <v>28</v>
      </c>
      <c r="N396" s="305" t="s">
        <v>29</v>
      </c>
      <c r="O396" s="305" t="s">
        <v>30</v>
      </c>
      <c r="P396" s="305" t="s">
        <v>954</v>
      </c>
    </row>
    <row r="397" spans="2:16" ht="15">
      <c r="B397" s="281" t="s">
        <v>56</v>
      </c>
      <c r="C397" s="281"/>
      <c r="D397" s="281"/>
      <c r="E397" s="281"/>
      <c r="F397" s="281"/>
      <c r="G397" s="281"/>
      <c r="H397" s="281"/>
      <c r="I397" s="281"/>
      <c r="J397" s="281"/>
      <c r="K397" s="281"/>
      <c r="L397" s="281"/>
      <c r="M397" s="281"/>
      <c r="N397" s="281"/>
      <c r="O397" s="281"/>
      <c r="P397" s="281"/>
    </row>
    <row r="398" spans="2:16" ht="15">
      <c r="B398" s="274" t="s">
        <v>57</v>
      </c>
      <c r="C398" s="275"/>
      <c r="D398" s="275"/>
      <c r="E398" s="275"/>
      <c r="F398" s="275"/>
      <c r="G398" s="275"/>
      <c r="H398" s="275"/>
      <c r="I398" s="275"/>
      <c r="J398" s="275"/>
      <c r="K398" s="275"/>
      <c r="L398" s="275"/>
      <c r="M398" s="275"/>
      <c r="N398" s="275"/>
      <c r="O398" s="275"/>
      <c r="P398" s="275"/>
    </row>
    <row r="399" spans="2:16" ht="15.5">
      <c r="B399" s="302" t="s">
        <v>58</v>
      </c>
      <c r="C399" s="199">
        <v>15394</v>
      </c>
      <c r="D399" s="199">
        <v>17639</v>
      </c>
      <c r="E399" s="199">
        <v>18705</v>
      </c>
      <c r="F399" s="199">
        <v>11239</v>
      </c>
      <c r="G399" s="199">
        <v>7968</v>
      </c>
      <c r="H399" s="199">
        <v>10916</v>
      </c>
      <c r="I399" s="199">
        <v>11448</v>
      </c>
      <c r="J399" s="199">
        <v>11565</v>
      </c>
      <c r="K399" s="199">
        <v>6960</v>
      </c>
      <c r="L399" s="199">
        <v>11688</v>
      </c>
      <c r="M399" s="199">
        <v>13229</v>
      </c>
      <c r="N399" s="199">
        <v>9632</v>
      </c>
      <c r="O399" s="199">
        <v>9546</v>
      </c>
      <c r="P399" s="199">
        <v>6624.6703779999998</v>
      </c>
    </row>
    <row r="400" spans="2:16" ht="15.5">
      <c r="B400" s="302" t="s">
        <v>59</v>
      </c>
      <c r="C400" s="199">
        <v>42568</v>
      </c>
      <c r="D400" s="199">
        <v>31078</v>
      </c>
      <c r="E400" s="199">
        <v>31940</v>
      </c>
      <c r="F400" s="199">
        <v>31103</v>
      </c>
      <c r="G400" s="199">
        <v>33366</v>
      </c>
      <c r="H400" s="199">
        <v>37959</v>
      </c>
      <c r="I400" s="199">
        <v>36697</v>
      </c>
      <c r="J400" s="199">
        <v>39189</v>
      </c>
      <c r="K400" s="199">
        <v>39422</v>
      </c>
      <c r="L400" s="199">
        <v>41920</v>
      </c>
      <c r="M400" s="199">
        <v>37880</v>
      </c>
      <c r="N400" s="199">
        <v>41718</v>
      </c>
      <c r="O400" s="199">
        <v>37840</v>
      </c>
      <c r="P400" s="199">
        <v>43580.052444000001</v>
      </c>
    </row>
    <row r="401" spans="2:16" ht="15.5">
      <c r="B401" s="302" t="s">
        <v>60</v>
      </c>
      <c r="C401" s="199">
        <v>4</v>
      </c>
      <c r="D401" s="199">
        <v>51</v>
      </c>
      <c r="E401" s="199">
        <v>145</v>
      </c>
      <c r="F401" s="199">
        <v>752</v>
      </c>
      <c r="G401" s="199">
        <v>1735</v>
      </c>
      <c r="H401" s="199">
        <v>2763</v>
      </c>
      <c r="I401" s="199">
        <v>4113</v>
      </c>
      <c r="J401" s="199">
        <v>2286</v>
      </c>
      <c r="K401" s="199">
        <v>3716</v>
      </c>
      <c r="L401" s="199">
        <v>5316</v>
      </c>
      <c r="M401" s="199">
        <v>7382</v>
      </c>
      <c r="N401" s="199">
        <v>8408</v>
      </c>
      <c r="O401" s="199">
        <v>3734</v>
      </c>
      <c r="P401" s="199">
        <v>4976.1125540000003</v>
      </c>
    </row>
    <row r="402" spans="2:16" ht="15.5">
      <c r="B402" s="302" t="s">
        <v>62</v>
      </c>
      <c r="C402" s="199">
        <v>199</v>
      </c>
      <c r="D402" s="199">
        <v>267</v>
      </c>
      <c r="E402" s="199">
        <v>163</v>
      </c>
      <c r="F402" s="199">
        <v>654</v>
      </c>
      <c r="G402" s="199">
        <v>552</v>
      </c>
      <c r="H402" s="199">
        <v>434</v>
      </c>
      <c r="I402" s="199">
        <v>339</v>
      </c>
      <c r="J402" s="199">
        <v>271</v>
      </c>
      <c r="K402" s="199">
        <v>171</v>
      </c>
      <c r="L402" s="199">
        <v>439</v>
      </c>
      <c r="M402" s="199">
        <v>502</v>
      </c>
      <c r="N402" s="199">
        <v>409</v>
      </c>
      <c r="O402" s="199">
        <v>254</v>
      </c>
      <c r="P402" s="199">
        <v>627.04787099999999</v>
      </c>
    </row>
    <row r="403" spans="2:16" ht="15.5">
      <c r="B403" s="302" t="s">
        <v>319</v>
      </c>
      <c r="C403" s="199">
        <v>0</v>
      </c>
      <c r="D403" s="199">
        <v>0</v>
      </c>
      <c r="E403" s="199">
        <v>0</v>
      </c>
      <c r="F403" s="199">
        <v>0</v>
      </c>
      <c r="G403" s="199">
        <v>0</v>
      </c>
      <c r="H403" s="199">
        <v>0</v>
      </c>
      <c r="I403" s="199">
        <v>0</v>
      </c>
      <c r="J403" s="199">
        <v>0</v>
      </c>
      <c r="K403" s="199">
        <v>0</v>
      </c>
      <c r="L403" s="199">
        <v>0</v>
      </c>
      <c r="M403" s="199">
        <v>0</v>
      </c>
      <c r="N403" s="199">
        <v>0</v>
      </c>
      <c r="O403" s="199">
        <v>0</v>
      </c>
      <c r="P403" s="199">
        <v>0</v>
      </c>
    </row>
    <row r="404" spans="2:16" ht="15.5">
      <c r="B404" s="302" t="s">
        <v>63</v>
      </c>
      <c r="C404" s="199">
        <v>0</v>
      </c>
      <c r="D404" s="199">
        <v>0</v>
      </c>
      <c r="E404" s="199">
        <v>0</v>
      </c>
      <c r="F404" s="199">
        <v>0</v>
      </c>
      <c r="G404" s="199">
        <v>0</v>
      </c>
      <c r="H404" s="199">
        <v>0</v>
      </c>
      <c r="I404" s="199">
        <v>0</v>
      </c>
      <c r="J404" s="199">
        <v>0</v>
      </c>
      <c r="K404" s="199">
        <v>0</v>
      </c>
      <c r="L404" s="199">
        <v>0</v>
      </c>
      <c r="M404" s="199">
        <v>0</v>
      </c>
      <c r="N404" s="199">
        <v>0</v>
      </c>
      <c r="O404" s="199">
        <v>0</v>
      </c>
      <c r="P404" s="199">
        <v>0</v>
      </c>
    </row>
    <row r="405" spans="2:16" ht="15">
      <c r="B405" s="222" t="s">
        <v>64</v>
      </c>
      <c r="C405" s="278">
        <v>58165</v>
      </c>
      <c r="D405" s="278">
        <v>49035</v>
      </c>
      <c r="E405" s="278">
        <v>50953</v>
      </c>
      <c r="F405" s="278">
        <v>43748</v>
      </c>
      <c r="G405" s="278">
        <v>43621</v>
      </c>
      <c r="H405" s="278">
        <v>52072</v>
      </c>
      <c r="I405" s="278">
        <v>52597</v>
      </c>
      <c r="J405" s="278">
        <v>53311</v>
      </c>
      <c r="K405" s="278">
        <v>50269</v>
      </c>
      <c r="L405" s="278">
        <v>59363</v>
      </c>
      <c r="M405" s="278">
        <v>58993</v>
      </c>
      <c r="N405" s="278">
        <v>60167</v>
      </c>
      <c r="O405" s="278">
        <v>51374</v>
      </c>
      <c r="P405" s="278">
        <f>SUM(P399:P404)</f>
        <v>55807.883247000005</v>
      </c>
    </row>
    <row r="406" spans="2:16" ht="15">
      <c r="B406" s="274" t="s">
        <v>65</v>
      </c>
      <c r="C406" s="275"/>
      <c r="D406" s="275"/>
      <c r="E406" s="275"/>
      <c r="F406" s="275"/>
      <c r="G406" s="275"/>
      <c r="H406" s="275"/>
      <c r="I406" s="275"/>
      <c r="J406" s="275"/>
      <c r="K406" s="275"/>
      <c r="L406" s="275"/>
      <c r="M406" s="275"/>
      <c r="N406" s="275"/>
      <c r="O406" s="275"/>
      <c r="P406" s="275"/>
    </row>
    <row r="407" spans="2:16" ht="15.5">
      <c r="B407" s="302" t="s">
        <v>66</v>
      </c>
      <c r="C407" s="199">
        <v>0</v>
      </c>
      <c r="D407" s="199">
        <v>0</v>
      </c>
      <c r="E407" s="199">
        <v>0</v>
      </c>
      <c r="F407" s="199">
        <v>0</v>
      </c>
      <c r="G407" s="199">
        <v>0</v>
      </c>
      <c r="H407" s="199">
        <v>0</v>
      </c>
      <c r="I407" s="199">
        <v>0</v>
      </c>
      <c r="J407" s="199">
        <v>0</v>
      </c>
      <c r="K407" s="199">
        <v>0</v>
      </c>
      <c r="L407" s="199">
        <v>0</v>
      </c>
      <c r="M407" s="199">
        <v>0</v>
      </c>
      <c r="N407" s="199">
        <v>0</v>
      </c>
      <c r="O407" s="199">
        <v>0</v>
      </c>
      <c r="P407" s="199">
        <v>0</v>
      </c>
    </row>
    <row r="408" spans="2:16" ht="15.5">
      <c r="B408" s="302" t="s">
        <v>67</v>
      </c>
      <c r="C408" s="199">
        <v>0</v>
      </c>
      <c r="D408" s="199">
        <v>0</v>
      </c>
      <c r="E408" s="199">
        <v>0</v>
      </c>
      <c r="F408" s="199">
        <v>0</v>
      </c>
      <c r="G408" s="199">
        <v>0</v>
      </c>
      <c r="H408" s="199">
        <v>0</v>
      </c>
      <c r="I408" s="199">
        <v>0</v>
      </c>
      <c r="J408" s="199">
        <v>0</v>
      </c>
      <c r="K408" s="199">
        <v>0</v>
      </c>
      <c r="L408" s="199">
        <v>0</v>
      </c>
      <c r="M408" s="199">
        <v>0</v>
      </c>
      <c r="N408" s="199">
        <v>0</v>
      </c>
      <c r="O408" s="199">
        <v>0</v>
      </c>
      <c r="P408" s="199">
        <v>0</v>
      </c>
    </row>
    <row r="409" spans="2:16" ht="30">
      <c r="B409" s="302" t="s">
        <v>114</v>
      </c>
      <c r="C409" s="199">
        <v>0</v>
      </c>
      <c r="D409" s="199">
        <v>0</v>
      </c>
      <c r="E409" s="199">
        <v>0</v>
      </c>
      <c r="F409" s="199">
        <v>0</v>
      </c>
      <c r="G409" s="199">
        <v>0</v>
      </c>
      <c r="H409" s="199">
        <v>0</v>
      </c>
      <c r="I409" s="199">
        <v>0</v>
      </c>
      <c r="J409" s="199">
        <v>0</v>
      </c>
      <c r="K409" s="199">
        <v>0</v>
      </c>
      <c r="L409" s="199">
        <v>0</v>
      </c>
      <c r="M409" s="199">
        <v>0</v>
      </c>
      <c r="N409" s="199">
        <v>0</v>
      </c>
      <c r="O409" s="199">
        <v>0</v>
      </c>
      <c r="P409" s="199">
        <v>0</v>
      </c>
    </row>
    <row r="410" spans="2:16" ht="15.5">
      <c r="B410" s="302" t="s">
        <v>115</v>
      </c>
      <c r="C410" s="199">
        <v>0</v>
      </c>
      <c r="D410" s="199">
        <v>0</v>
      </c>
      <c r="E410" s="199">
        <v>0</v>
      </c>
      <c r="F410" s="199">
        <v>0</v>
      </c>
      <c r="G410" s="199">
        <v>0</v>
      </c>
      <c r="H410" s="199">
        <v>0</v>
      </c>
      <c r="I410" s="199">
        <v>0</v>
      </c>
      <c r="J410" s="199">
        <v>0</v>
      </c>
      <c r="K410" s="199">
        <v>0</v>
      </c>
      <c r="L410" s="199">
        <v>0</v>
      </c>
      <c r="M410" s="199">
        <v>0</v>
      </c>
      <c r="N410" s="199">
        <v>0</v>
      </c>
      <c r="O410" s="199">
        <v>0</v>
      </c>
      <c r="P410" s="199">
        <v>0</v>
      </c>
    </row>
    <row r="411" spans="2:16" ht="15.5">
      <c r="B411" s="302" t="s">
        <v>59</v>
      </c>
      <c r="C411" s="199">
        <v>60824</v>
      </c>
      <c r="D411" s="199">
        <v>53099</v>
      </c>
      <c r="E411" s="199">
        <v>49057</v>
      </c>
      <c r="F411" s="199">
        <v>46294</v>
      </c>
      <c r="G411" s="199">
        <v>41324</v>
      </c>
      <c r="H411" s="199">
        <v>35803</v>
      </c>
      <c r="I411" s="199">
        <v>34533</v>
      </c>
      <c r="J411" s="199">
        <v>31945</v>
      </c>
      <c r="K411" s="199">
        <v>27240</v>
      </c>
      <c r="L411" s="199">
        <v>22783</v>
      </c>
      <c r="M411" s="199">
        <v>19872</v>
      </c>
      <c r="N411" s="199">
        <v>19483</v>
      </c>
      <c r="O411" s="199">
        <v>15985</v>
      </c>
      <c r="P411" s="199">
        <v>10261.749362</v>
      </c>
    </row>
    <row r="412" spans="2:16" ht="15.5">
      <c r="B412" s="302" t="s">
        <v>70</v>
      </c>
      <c r="C412" s="199">
        <v>0</v>
      </c>
      <c r="D412" s="199">
        <v>0</v>
      </c>
      <c r="E412" s="199">
        <v>0</v>
      </c>
      <c r="F412" s="199">
        <v>0</v>
      </c>
      <c r="G412" s="199">
        <v>0</v>
      </c>
      <c r="H412" s="199">
        <v>0</v>
      </c>
      <c r="I412" s="199">
        <v>0</v>
      </c>
      <c r="J412" s="199">
        <v>0</v>
      </c>
      <c r="K412" s="199">
        <v>0</v>
      </c>
      <c r="L412" s="199">
        <v>0</v>
      </c>
      <c r="M412" s="199">
        <v>0</v>
      </c>
      <c r="N412" s="199">
        <v>0</v>
      </c>
      <c r="O412" s="199">
        <v>0</v>
      </c>
      <c r="P412" s="199">
        <v>0</v>
      </c>
    </row>
    <row r="413" spans="2:16" ht="15.5">
      <c r="B413" s="302" t="s">
        <v>71</v>
      </c>
      <c r="C413" s="199">
        <v>61</v>
      </c>
      <c r="D413" s="199">
        <v>102</v>
      </c>
      <c r="E413" s="199">
        <v>91</v>
      </c>
      <c r="F413" s="199">
        <v>82</v>
      </c>
      <c r="G413" s="199">
        <v>74</v>
      </c>
      <c r="H413" s="199">
        <v>79</v>
      </c>
      <c r="I413" s="199">
        <v>192</v>
      </c>
      <c r="J413" s="199">
        <v>98</v>
      </c>
      <c r="K413" s="199">
        <v>106</v>
      </c>
      <c r="L413" s="199">
        <v>108</v>
      </c>
      <c r="M413" s="199">
        <v>109</v>
      </c>
      <c r="N413" s="199">
        <v>101</v>
      </c>
      <c r="O413" s="199">
        <v>94</v>
      </c>
      <c r="P413" s="199">
        <v>91.234666000000004</v>
      </c>
    </row>
    <row r="414" spans="2:16" ht="15.5">
      <c r="B414" s="302" t="s">
        <v>72</v>
      </c>
      <c r="C414" s="199">
        <v>0</v>
      </c>
      <c r="D414" s="199">
        <v>0</v>
      </c>
      <c r="E414" s="199">
        <v>0</v>
      </c>
      <c r="F414" s="199">
        <v>0</v>
      </c>
      <c r="G414" s="199">
        <v>0</v>
      </c>
      <c r="H414" s="199">
        <v>0</v>
      </c>
      <c r="I414" s="199">
        <v>0</v>
      </c>
      <c r="J414" s="199">
        <v>0</v>
      </c>
      <c r="K414" s="199">
        <v>0</v>
      </c>
      <c r="L414" s="199">
        <v>0</v>
      </c>
      <c r="M414" s="199">
        <v>0</v>
      </c>
      <c r="N414" s="199">
        <v>0</v>
      </c>
      <c r="O414" s="199">
        <v>0</v>
      </c>
      <c r="P414" s="199">
        <v>0</v>
      </c>
    </row>
    <row r="415" spans="2:16" ht="15.5">
      <c r="B415" s="302" t="s">
        <v>74</v>
      </c>
      <c r="C415" s="199">
        <v>108</v>
      </c>
      <c r="D415" s="199">
        <v>197</v>
      </c>
      <c r="E415" s="199">
        <v>188</v>
      </c>
      <c r="F415" s="199">
        <v>179</v>
      </c>
      <c r="G415" s="199">
        <v>177</v>
      </c>
      <c r="H415" s="199">
        <v>168</v>
      </c>
      <c r="I415" s="199">
        <v>182</v>
      </c>
      <c r="J415" s="199">
        <v>172</v>
      </c>
      <c r="K415" s="199">
        <v>162</v>
      </c>
      <c r="L415" s="199">
        <v>153</v>
      </c>
      <c r="M415" s="199">
        <v>155</v>
      </c>
      <c r="N415" s="199">
        <v>141</v>
      </c>
      <c r="O415" s="199">
        <v>129</v>
      </c>
      <c r="P415" s="199">
        <v>115.19507400000001</v>
      </c>
    </row>
    <row r="416" spans="2:16" ht="15.5">
      <c r="B416" s="302" t="s">
        <v>62</v>
      </c>
      <c r="C416" s="199">
        <v>0</v>
      </c>
      <c r="D416" s="199">
        <v>0</v>
      </c>
      <c r="E416" s="199">
        <v>0</v>
      </c>
      <c r="F416" s="199">
        <v>0</v>
      </c>
      <c r="G416" s="199">
        <v>0</v>
      </c>
      <c r="H416" s="199">
        <v>0</v>
      </c>
      <c r="I416" s="199">
        <v>0</v>
      </c>
      <c r="J416" s="199">
        <v>0</v>
      </c>
      <c r="K416" s="199">
        <v>0</v>
      </c>
      <c r="L416" s="199">
        <v>0</v>
      </c>
      <c r="M416" s="199">
        <v>0</v>
      </c>
      <c r="N416" s="199">
        <v>0</v>
      </c>
      <c r="O416" s="199">
        <v>0</v>
      </c>
      <c r="P416" s="199">
        <v>0</v>
      </c>
    </row>
    <row r="417" spans="2:16" ht="15.5">
      <c r="B417" s="302" t="s">
        <v>75</v>
      </c>
      <c r="C417" s="199">
        <v>0</v>
      </c>
      <c r="D417" s="199">
        <v>0</v>
      </c>
      <c r="E417" s="199">
        <v>0</v>
      </c>
      <c r="F417" s="199">
        <v>0</v>
      </c>
      <c r="G417" s="199">
        <v>0</v>
      </c>
      <c r="H417" s="199">
        <v>0</v>
      </c>
      <c r="I417" s="199">
        <v>0</v>
      </c>
      <c r="J417" s="199">
        <v>0</v>
      </c>
      <c r="K417" s="199">
        <v>0</v>
      </c>
      <c r="L417" s="199">
        <v>0</v>
      </c>
      <c r="M417" s="199">
        <v>0</v>
      </c>
      <c r="N417" s="199">
        <v>0</v>
      </c>
      <c r="O417" s="199">
        <v>0</v>
      </c>
      <c r="P417" s="199">
        <v>0</v>
      </c>
    </row>
    <row r="418" spans="2:16" ht="15.5">
      <c r="B418" s="302" t="s">
        <v>76</v>
      </c>
      <c r="C418" s="199">
        <v>0</v>
      </c>
      <c r="D418" s="199">
        <v>0</v>
      </c>
      <c r="E418" s="199">
        <v>0</v>
      </c>
      <c r="F418" s="199">
        <v>0</v>
      </c>
      <c r="G418" s="199">
        <v>0</v>
      </c>
      <c r="H418" s="199">
        <v>0</v>
      </c>
      <c r="I418" s="199">
        <v>-6</v>
      </c>
      <c r="J418" s="199">
        <v>187</v>
      </c>
      <c r="K418" s="199">
        <v>170</v>
      </c>
      <c r="L418" s="199">
        <v>154</v>
      </c>
      <c r="M418" s="199">
        <v>137</v>
      </c>
      <c r="N418" s="199">
        <v>121</v>
      </c>
      <c r="O418" s="199">
        <v>122</v>
      </c>
      <c r="P418" s="199">
        <v>104.53037</v>
      </c>
    </row>
    <row r="419" spans="2:16" ht="15.5">
      <c r="B419" s="302" t="s">
        <v>63</v>
      </c>
      <c r="C419" s="199">
        <v>0</v>
      </c>
      <c r="D419" s="199">
        <v>0</v>
      </c>
      <c r="E419" s="199">
        <v>0</v>
      </c>
      <c r="F419" s="199">
        <v>0</v>
      </c>
      <c r="G419" s="199">
        <v>0</v>
      </c>
      <c r="H419" s="199">
        <v>0</v>
      </c>
      <c r="I419" s="199">
        <v>0</v>
      </c>
      <c r="J419" s="199">
        <v>0</v>
      </c>
      <c r="K419" s="199">
        <v>0</v>
      </c>
      <c r="L419" s="199">
        <v>0</v>
      </c>
      <c r="M419" s="199">
        <v>0</v>
      </c>
      <c r="N419" s="199">
        <v>0</v>
      </c>
      <c r="O419" s="199">
        <v>0</v>
      </c>
      <c r="P419" s="199">
        <v>0</v>
      </c>
    </row>
    <row r="420" spans="2:16" ht="15">
      <c r="B420" s="274" t="s">
        <v>78</v>
      </c>
      <c r="C420" s="279">
        <v>60993</v>
      </c>
      <c r="D420" s="279">
        <v>53398</v>
      </c>
      <c r="E420" s="279">
        <v>49336</v>
      </c>
      <c r="F420" s="279">
        <v>46555</v>
      </c>
      <c r="G420" s="279">
        <v>41575</v>
      </c>
      <c r="H420" s="279">
        <v>36050</v>
      </c>
      <c r="I420" s="279">
        <v>34901</v>
      </c>
      <c r="J420" s="279">
        <v>32402</v>
      </c>
      <c r="K420" s="279">
        <v>27678</v>
      </c>
      <c r="L420" s="279">
        <v>23198</v>
      </c>
      <c r="M420" s="279">
        <v>20273</v>
      </c>
      <c r="N420" s="279">
        <v>19846</v>
      </c>
      <c r="O420" s="279">
        <v>16330</v>
      </c>
      <c r="P420" s="279">
        <f>SUM(P407:P419)</f>
        <v>10572.709472</v>
      </c>
    </row>
    <row r="421" spans="2:16" ht="15">
      <c r="B421" s="222" t="s">
        <v>79</v>
      </c>
      <c r="C421" s="278">
        <v>119158</v>
      </c>
      <c r="D421" s="278">
        <v>102433</v>
      </c>
      <c r="E421" s="278">
        <v>100289</v>
      </c>
      <c r="F421" s="278">
        <v>90303</v>
      </c>
      <c r="G421" s="278">
        <v>85196</v>
      </c>
      <c r="H421" s="278">
        <v>88122</v>
      </c>
      <c r="I421" s="278">
        <v>87498</v>
      </c>
      <c r="J421" s="278">
        <v>85713</v>
      </c>
      <c r="K421" s="278">
        <v>77947</v>
      </c>
      <c r="L421" s="278">
        <v>82561</v>
      </c>
      <c r="M421" s="278">
        <v>79266</v>
      </c>
      <c r="N421" s="278">
        <v>80013</v>
      </c>
      <c r="O421" s="278">
        <v>67704</v>
      </c>
      <c r="P421" s="278">
        <f>+P405+P420</f>
        <v>66380.592719000007</v>
      </c>
    </row>
    <row r="422" spans="2:16" ht="15">
      <c r="B422" s="224"/>
      <c r="C422" s="280"/>
      <c r="D422" s="280"/>
      <c r="E422" s="280"/>
      <c r="F422" s="280"/>
      <c r="G422" s="280"/>
      <c r="H422" s="280"/>
      <c r="I422" s="280"/>
      <c r="J422" s="280"/>
      <c r="K422" s="280"/>
      <c r="L422" s="280"/>
      <c r="M422" s="280"/>
      <c r="N422" s="280"/>
      <c r="O422" s="280"/>
      <c r="P422" s="106"/>
    </row>
    <row r="423" spans="2:16" ht="15">
      <c r="B423" s="281" t="s">
        <v>80</v>
      </c>
      <c r="C423" s="282"/>
      <c r="D423" s="282"/>
      <c r="E423" s="282"/>
      <c r="F423" s="282"/>
      <c r="G423" s="282"/>
      <c r="H423" s="282"/>
      <c r="I423" s="282"/>
      <c r="J423" s="282"/>
      <c r="K423" s="282"/>
      <c r="L423" s="282"/>
      <c r="M423" s="282"/>
      <c r="N423" s="282"/>
      <c r="O423" s="282"/>
      <c r="P423" s="282"/>
    </row>
    <row r="424" spans="2:16" ht="15">
      <c r="B424" s="274" t="s">
        <v>81</v>
      </c>
      <c r="C424" s="283"/>
      <c r="D424" s="283"/>
      <c r="E424" s="283"/>
      <c r="F424" s="283"/>
      <c r="G424" s="283"/>
      <c r="H424" s="283"/>
      <c r="I424" s="283"/>
      <c r="J424" s="283"/>
      <c r="K424" s="283"/>
      <c r="L424" s="283"/>
      <c r="M424" s="283"/>
      <c r="N424" s="283"/>
      <c r="O424" s="283"/>
      <c r="P424" s="283"/>
    </row>
    <row r="425" spans="2:16" ht="15.5">
      <c r="B425" s="302" t="s">
        <v>82</v>
      </c>
      <c r="C425" s="199">
        <v>20132</v>
      </c>
      <c r="D425" s="199">
        <v>9900</v>
      </c>
      <c r="E425" s="199">
        <v>9414</v>
      </c>
      <c r="F425" s="199">
        <v>9935</v>
      </c>
      <c r="G425" s="199">
        <v>10072</v>
      </c>
      <c r="H425" s="199">
        <v>10556</v>
      </c>
      <c r="I425" s="199">
        <v>12512</v>
      </c>
      <c r="J425" s="199">
        <v>13982</v>
      </c>
      <c r="K425" s="199">
        <v>14140</v>
      </c>
      <c r="L425" s="199">
        <v>11925</v>
      </c>
      <c r="M425" s="199">
        <v>11868</v>
      </c>
      <c r="N425" s="199">
        <v>12247</v>
      </c>
      <c r="O425" s="199">
        <v>12833</v>
      </c>
      <c r="P425" s="199">
        <v>13142.165004</v>
      </c>
    </row>
    <row r="426" spans="2:16" ht="15.5">
      <c r="B426" s="302" t="s">
        <v>83</v>
      </c>
      <c r="C426" s="199">
        <v>1111</v>
      </c>
      <c r="D426" s="199">
        <v>1391</v>
      </c>
      <c r="E426" s="199">
        <v>1181</v>
      </c>
      <c r="F426" s="199">
        <v>1409</v>
      </c>
      <c r="G426" s="199">
        <v>699</v>
      </c>
      <c r="H426" s="199">
        <v>1646</v>
      </c>
      <c r="I426" s="199">
        <v>1406</v>
      </c>
      <c r="J426" s="199">
        <v>2005</v>
      </c>
      <c r="K426" s="199">
        <v>811</v>
      </c>
      <c r="L426" s="199">
        <v>2416</v>
      </c>
      <c r="M426" s="199">
        <v>3039</v>
      </c>
      <c r="N426" s="199">
        <v>1702</v>
      </c>
      <c r="O426" s="199">
        <v>1497</v>
      </c>
      <c r="P426" s="199">
        <v>2702.855693</v>
      </c>
    </row>
    <row r="427" spans="2:16" ht="15.5">
      <c r="B427" s="302" t="s">
        <v>85</v>
      </c>
      <c r="C427" s="199">
        <v>25</v>
      </c>
      <c r="D427" s="199">
        <v>27</v>
      </c>
      <c r="E427" s="199">
        <v>29</v>
      </c>
      <c r="F427" s="199">
        <v>25</v>
      </c>
      <c r="G427" s="199">
        <v>25</v>
      </c>
      <c r="H427" s="199">
        <v>20</v>
      </c>
      <c r="I427" s="199">
        <v>18</v>
      </c>
      <c r="J427" s="199">
        <v>20</v>
      </c>
      <c r="K427" s="199">
        <v>22</v>
      </c>
      <c r="L427" s="199">
        <v>22</v>
      </c>
      <c r="M427" s="199">
        <v>20</v>
      </c>
      <c r="N427" s="199">
        <v>24</v>
      </c>
      <c r="O427" s="199">
        <v>28</v>
      </c>
      <c r="P427" s="199">
        <v>27.7438</v>
      </c>
    </row>
    <row r="428" spans="2:16" ht="15.5">
      <c r="B428" s="302" t="s">
        <v>60</v>
      </c>
      <c r="C428" s="199">
        <v>0</v>
      </c>
      <c r="D428" s="199">
        <v>4053</v>
      </c>
      <c r="E428" s="199">
        <v>5426</v>
      </c>
      <c r="F428" s="199">
        <v>2598</v>
      </c>
      <c r="G428" s="199">
        <v>3834</v>
      </c>
      <c r="H428" s="199">
        <v>5005</v>
      </c>
      <c r="I428" s="199">
        <v>6448</v>
      </c>
      <c r="J428" s="199">
        <v>2898</v>
      </c>
      <c r="K428" s="199">
        <v>4361</v>
      </c>
      <c r="L428" s="199">
        <v>6422</v>
      </c>
      <c r="M428" s="199">
        <v>7575</v>
      </c>
      <c r="N428" s="199">
        <v>8241</v>
      </c>
      <c r="O428" s="199">
        <v>3508</v>
      </c>
      <c r="P428" s="199">
        <v>4053.0872460000001</v>
      </c>
    </row>
    <row r="429" spans="2:16" ht="15.5">
      <c r="B429" s="302" t="s">
        <v>86</v>
      </c>
      <c r="C429" s="199">
        <v>3191</v>
      </c>
      <c r="D429" s="199">
        <v>2236</v>
      </c>
      <c r="E429" s="199">
        <v>1829</v>
      </c>
      <c r="F429" s="199">
        <v>0</v>
      </c>
      <c r="G429" s="199">
        <v>66</v>
      </c>
      <c r="H429" s="199">
        <v>1379</v>
      </c>
      <c r="I429" s="199">
        <v>955</v>
      </c>
      <c r="J429" s="199">
        <v>431</v>
      </c>
      <c r="K429" s="199">
        <v>280</v>
      </c>
      <c r="L429" s="199">
        <v>758</v>
      </c>
      <c r="M429" s="199">
        <v>140</v>
      </c>
      <c r="N429" s="199">
        <v>140</v>
      </c>
      <c r="O429" s="199">
        <v>108</v>
      </c>
      <c r="P429" s="199">
        <v>257.05323099999998</v>
      </c>
    </row>
    <row r="430" spans="2:16" ht="15.5">
      <c r="B430" s="302" t="s">
        <v>84</v>
      </c>
      <c r="C430" s="199">
        <v>72</v>
      </c>
      <c r="D430" s="199">
        <v>124</v>
      </c>
      <c r="E430" s="199">
        <v>84</v>
      </c>
      <c r="F430" s="199">
        <v>96</v>
      </c>
      <c r="G430" s="199">
        <v>117</v>
      </c>
      <c r="H430" s="199">
        <v>127</v>
      </c>
      <c r="I430" s="199">
        <v>84</v>
      </c>
      <c r="J430" s="199">
        <v>2593</v>
      </c>
      <c r="K430" s="199">
        <v>104</v>
      </c>
      <c r="L430" s="199">
        <v>1497</v>
      </c>
      <c r="M430" s="199">
        <v>1463</v>
      </c>
      <c r="N430" s="199">
        <v>96</v>
      </c>
      <c r="O430" s="199">
        <v>106</v>
      </c>
      <c r="P430" s="199">
        <v>538.99136799999997</v>
      </c>
    </row>
    <row r="431" spans="2:16" ht="15.5">
      <c r="B431" s="302" t="s">
        <v>87</v>
      </c>
      <c r="C431" s="199">
        <v>569</v>
      </c>
      <c r="D431" s="199">
        <v>0</v>
      </c>
      <c r="E431" s="199">
        <v>0</v>
      </c>
      <c r="F431" s="199">
        <v>0</v>
      </c>
      <c r="G431" s="199">
        <v>0</v>
      </c>
      <c r="H431" s="199">
        <v>0</v>
      </c>
      <c r="I431" s="199">
        <v>0</v>
      </c>
      <c r="J431" s="199">
        <v>0</v>
      </c>
      <c r="K431" s="199">
        <v>0</v>
      </c>
      <c r="L431" s="199">
        <v>0</v>
      </c>
      <c r="M431" s="199">
        <v>0</v>
      </c>
      <c r="N431" s="199">
        <v>0</v>
      </c>
      <c r="O431" s="199">
        <v>0</v>
      </c>
      <c r="P431" s="199">
        <v>0</v>
      </c>
    </row>
    <row r="432" spans="2:16" ht="15.5">
      <c r="B432" s="302" t="s">
        <v>116</v>
      </c>
      <c r="C432" s="199">
        <v>0</v>
      </c>
      <c r="D432" s="199">
        <v>0</v>
      </c>
      <c r="E432" s="199">
        <v>0</v>
      </c>
      <c r="F432" s="199">
        <v>0</v>
      </c>
      <c r="G432" s="199">
        <v>0</v>
      </c>
      <c r="H432" s="199">
        <v>0</v>
      </c>
      <c r="I432" s="199">
        <v>0</v>
      </c>
      <c r="J432" s="199">
        <v>0</v>
      </c>
      <c r="K432" s="199">
        <v>0</v>
      </c>
      <c r="L432" s="199">
        <v>0</v>
      </c>
      <c r="M432" s="199">
        <v>0</v>
      </c>
      <c r="N432" s="199">
        <v>0</v>
      </c>
      <c r="O432" s="199">
        <v>0</v>
      </c>
      <c r="P432" s="199">
        <v>0</v>
      </c>
    </row>
    <row r="433" spans="2:16" ht="15">
      <c r="B433" s="274" t="s">
        <v>89</v>
      </c>
      <c r="C433" s="279">
        <v>25100</v>
      </c>
      <c r="D433" s="279">
        <v>17731</v>
      </c>
      <c r="E433" s="279">
        <v>17963</v>
      </c>
      <c r="F433" s="279">
        <v>14063</v>
      </c>
      <c r="G433" s="279">
        <v>14813</v>
      </c>
      <c r="H433" s="279">
        <v>18733</v>
      </c>
      <c r="I433" s="279">
        <v>21423</v>
      </c>
      <c r="J433" s="279">
        <v>21929</v>
      </c>
      <c r="K433" s="279">
        <v>19718</v>
      </c>
      <c r="L433" s="279">
        <v>23040</v>
      </c>
      <c r="M433" s="279">
        <v>24105</v>
      </c>
      <c r="N433" s="279">
        <v>22450</v>
      </c>
      <c r="O433" s="279">
        <v>18080</v>
      </c>
      <c r="P433" s="279">
        <f>SUM(P425:P432)</f>
        <v>20721.896342</v>
      </c>
    </row>
    <row r="434" spans="2:16" ht="15">
      <c r="B434" s="284" t="s">
        <v>90</v>
      </c>
      <c r="C434" s="285"/>
      <c r="D434" s="285"/>
      <c r="E434" s="285"/>
      <c r="F434" s="285"/>
      <c r="G434" s="285"/>
      <c r="H434" s="285"/>
      <c r="I434" s="285"/>
      <c r="J434" s="285"/>
      <c r="K434" s="285"/>
      <c r="L434" s="285"/>
      <c r="M434" s="285"/>
      <c r="N434" s="285"/>
      <c r="O434" s="285"/>
      <c r="P434" s="285"/>
    </row>
    <row r="435" spans="2:16" ht="15.5">
      <c r="B435" s="302" t="s">
        <v>82</v>
      </c>
      <c r="C435" s="199">
        <v>46896</v>
      </c>
      <c r="D435" s="199">
        <v>39599</v>
      </c>
      <c r="E435" s="199">
        <v>36378</v>
      </c>
      <c r="F435" s="199">
        <v>36685</v>
      </c>
      <c r="G435" s="199">
        <v>30663</v>
      </c>
      <c r="H435" s="199">
        <v>30914</v>
      </c>
      <c r="I435" s="199">
        <v>33681</v>
      </c>
      <c r="J435" s="199">
        <v>33751</v>
      </c>
      <c r="K435" s="199">
        <v>27483</v>
      </c>
      <c r="L435" s="199">
        <v>30216</v>
      </c>
      <c r="M435" s="199">
        <v>25453</v>
      </c>
      <c r="N435" s="199">
        <v>25681</v>
      </c>
      <c r="O435" s="199">
        <v>18268</v>
      </c>
      <c r="P435" s="199">
        <v>18591.780223000002</v>
      </c>
    </row>
    <row r="436" spans="2:16" ht="15.5">
      <c r="B436" s="302" t="s">
        <v>83</v>
      </c>
      <c r="C436" s="199">
        <v>0</v>
      </c>
      <c r="D436" s="199">
        <v>0</v>
      </c>
      <c r="E436" s="199">
        <v>0</v>
      </c>
      <c r="F436" s="199">
        <v>0</v>
      </c>
      <c r="G436" s="199">
        <v>0</v>
      </c>
      <c r="H436" s="199">
        <v>0</v>
      </c>
      <c r="I436" s="199">
        <v>0</v>
      </c>
      <c r="J436" s="199">
        <v>124</v>
      </c>
      <c r="K436" s="199">
        <v>112</v>
      </c>
      <c r="L436" s="199">
        <v>94</v>
      </c>
      <c r="M436" s="199">
        <v>77</v>
      </c>
      <c r="N436" s="199">
        <v>65</v>
      </c>
      <c r="O436" s="199">
        <v>55</v>
      </c>
      <c r="P436" s="199">
        <v>43.459302999999998</v>
      </c>
    </row>
    <row r="437" spans="2:16" ht="15.5">
      <c r="B437" s="302" t="s">
        <v>91</v>
      </c>
      <c r="C437" s="199">
        <v>0</v>
      </c>
      <c r="D437" s="199">
        <v>0</v>
      </c>
      <c r="E437" s="199">
        <v>0</v>
      </c>
      <c r="F437" s="199">
        <v>0</v>
      </c>
      <c r="G437" s="199">
        <v>0</v>
      </c>
      <c r="H437" s="199">
        <v>0</v>
      </c>
      <c r="I437" s="199">
        <v>0</v>
      </c>
      <c r="J437" s="199">
        <v>0</v>
      </c>
      <c r="K437" s="199">
        <v>0</v>
      </c>
      <c r="L437" s="199">
        <v>0</v>
      </c>
      <c r="M437" s="199">
        <v>0</v>
      </c>
      <c r="N437" s="199">
        <v>0</v>
      </c>
      <c r="O437" s="199">
        <v>0</v>
      </c>
      <c r="P437" s="199">
        <v>0</v>
      </c>
    </row>
    <row r="438" spans="2:16" ht="15.5">
      <c r="B438" s="302" t="s">
        <v>85</v>
      </c>
      <c r="C438" s="199">
        <v>0</v>
      </c>
      <c r="D438" s="199">
        <v>0</v>
      </c>
      <c r="E438" s="199">
        <v>0</v>
      </c>
      <c r="F438" s="199">
        <v>0</v>
      </c>
      <c r="G438" s="199">
        <v>0</v>
      </c>
      <c r="H438" s="199">
        <v>0</v>
      </c>
      <c r="I438" s="199">
        <v>0</v>
      </c>
      <c r="J438" s="199">
        <v>0</v>
      </c>
      <c r="K438" s="199">
        <v>0</v>
      </c>
      <c r="L438" s="199">
        <v>0</v>
      </c>
      <c r="M438" s="199">
        <v>0</v>
      </c>
      <c r="N438" s="199">
        <v>0</v>
      </c>
      <c r="O438" s="199">
        <v>0</v>
      </c>
      <c r="P438" s="199">
        <v>0</v>
      </c>
    </row>
    <row r="439" spans="2:16" ht="15.5">
      <c r="B439" s="302" t="s">
        <v>86</v>
      </c>
      <c r="C439" s="199">
        <v>0</v>
      </c>
      <c r="D439" s="199">
        <v>0</v>
      </c>
      <c r="E439" s="199">
        <v>0</v>
      </c>
      <c r="F439" s="199">
        <v>0</v>
      </c>
      <c r="G439" s="199">
        <v>0</v>
      </c>
      <c r="H439" s="199">
        <v>0</v>
      </c>
      <c r="I439" s="199">
        <v>0</v>
      </c>
      <c r="J439" s="199">
        <v>0</v>
      </c>
      <c r="K439" s="199">
        <v>0</v>
      </c>
      <c r="L439" s="199">
        <v>0</v>
      </c>
      <c r="M439" s="199">
        <v>0</v>
      </c>
      <c r="N439" s="199">
        <v>0</v>
      </c>
      <c r="O439" s="199">
        <v>0</v>
      </c>
      <c r="P439" s="199">
        <v>0</v>
      </c>
    </row>
    <row r="440" spans="2:16" ht="15.5">
      <c r="B440" s="302" t="s">
        <v>87</v>
      </c>
      <c r="C440" s="199">
        <v>0</v>
      </c>
      <c r="D440" s="199">
        <v>0</v>
      </c>
      <c r="E440" s="199">
        <v>0</v>
      </c>
      <c r="F440" s="199">
        <v>0</v>
      </c>
      <c r="G440" s="199">
        <v>0</v>
      </c>
      <c r="H440" s="199">
        <v>0</v>
      </c>
      <c r="I440" s="199">
        <v>0</v>
      </c>
      <c r="J440" s="199">
        <v>0</v>
      </c>
      <c r="K440" s="199">
        <v>0</v>
      </c>
      <c r="L440" s="199">
        <v>0</v>
      </c>
      <c r="M440" s="199">
        <v>0</v>
      </c>
      <c r="N440" s="199">
        <v>0</v>
      </c>
      <c r="O440" s="199">
        <v>0</v>
      </c>
      <c r="P440" s="199">
        <v>0</v>
      </c>
    </row>
    <row r="441" spans="2:16" ht="15.5">
      <c r="B441" s="302" t="s">
        <v>117</v>
      </c>
      <c r="C441" s="199">
        <v>23228</v>
      </c>
      <c r="D441" s="199">
        <v>21494</v>
      </c>
      <c r="E441" s="199">
        <v>20755</v>
      </c>
      <c r="F441" s="199">
        <v>20101</v>
      </c>
      <c r="G441" s="199">
        <v>19300</v>
      </c>
      <c r="H441" s="199">
        <v>18450</v>
      </c>
      <c r="I441" s="199">
        <v>17573</v>
      </c>
      <c r="J441" s="199">
        <v>16958</v>
      </c>
      <c r="K441" s="199">
        <v>16174</v>
      </c>
      <c r="L441" s="199">
        <v>15043</v>
      </c>
      <c r="M441" s="199">
        <v>14115</v>
      </c>
      <c r="N441" s="199">
        <v>13618</v>
      </c>
      <c r="O441" s="199">
        <v>12787</v>
      </c>
      <c r="P441" s="199">
        <v>12047.511995999999</v>
      </c>
    </row>
    <row r="442" spans="2:16" ht="15">
      <c r="B442" s="274" t="s">
        <v>92</v>
      </c>
      <c r="C442" s="279">
        <v>70124</v>
      </c>
      <c r="D442" s="279">
        <v>61093</v>
      </c>
      <c r="E442" s="279">
        <v>57133</v>
      </c>
      <c r="F442" s="279">
        <v>56786</v>
      </c>
      <c r="G442" s="279">
        <v>49963</v>
      </c>
      <c r="H442" s="279">
        <v>49364</v>
      </c>
      <c r="I442" s="279">
        <v>51254</v>
      </c>
      <c r="J442" s="279">
        <v>50833</v>
      </c>
      <c r="K442" s="279">
        <v>43769</v>
      </c>
      <c r="L442" s="279">
        <v>45353</v>
      </c>
      <c r="M442" s="279">
        <v>39645</v>
      </c>
      <c r="N442" s="279">
        <v>39364</v>
      </c>
      <c r="O442" s="279">
        <v>31110</v>
      </c>
      <c r="P442" s="279">
        <f>SUM(P435:P441)</f>
        <v>30682.751521999999</v>
      </c>
    </row>
    <row r="443" spans="2:16" ht="15">
      <c r="B443" s="222" t="s">
        <v>93</v>
      </c>
      <c r="C443" s="278">
        <v>95224</v>
      </c>
      <c r="D443" s="278">
        <v>78824</v>
      </c>
      <c r="E443" s="278">
        <v>75096</v>
      </c>
      <c r="F443" s="278">
        <v>70849</v>
      </c>
      <c r="G443" s="278">
        <v>64776</v>
      </c>
      <c r="H443" s="278">
        <v>68097</v>
      </c>
      <c r="I443" s="278">
        <v>72677</v>
      </c>
      <c r="J443" s="278">
        <v>72762</v>
      </c>
      <c r="K443" s="278">
        <v>63487</v>
      </c>
      <c r="L443" s="278">
        <v>68393</v>
      </c>
      <c r="M443" s="278">
        <v>63750</v>
      </c>
      <c r="N443" s="278">
        <v>61814</v>
      </c>
      <c r="O443" s="278">
        <v>49190</v>
      </c>
      <c r="P443" s="278">
        <f>+P433+P442</f>
        <v>51404.647863999999</v>
      </c>
    </row>
    <row r="444" spans="2:16" ht="15">
      <c r="B444" s="224"/>
      <c r="C444" s="280"/>
      <c r="D444" s="280"/>
      <c r="E444" s="280"/>
      <c r="F444" s="280"/>
      <c r="G444" s="280"/>
      <c r="H444" s="280"/>
      <c r="I444" s="280"/>
      <c r="J444" s="280"/>
      <c r="K444" s="280"/>
      <c r="L444" s="280"/>
      <c r="M444" s="280"/>
      <c r="N444" s="280"/>
      <c r="O444" s="280"/>
      <c r="P444" s="280"/>
    </row>
    <row r="445" spans="2:16" ht="15">
      <c r="B445" s="284" t="s">
        <v>94</v>
      </c>
      <c r="C445" s="285"/>
      <c r="D445" s="285"/>
      <c r="E445" s="285"/>
      <c r="F445" s="285"/>
      <c r="G445" s="285"/>
      <c r="H445" s="285"/>
      <c r="I445" s="285"/>
      <c r="J445" s="285"/>
      <c r="K445" s="285"/>
      <c r="L445" s="285"/>
      <c r="M445" s="285"/>
      <c r="N445" s="285"/>
      <c r="O445" s="285"/>
      <c r="P445" s="285"/>
    </row>
    <row r="446" spans="2:16" ht="15.5">
      <c r="B446" s="302" t="s">
        <v>95</v>
      </c>
      <c r="C446" s="199">
        <v>12982</v>
      </c>
      <c r="D446" s="199">
        <v>12982</v>
      </c>
      <c r="E446" s="199">
        <v>12982</v>
      </c>
      <c r="F446" s="199">
        <v>12982</v>
      </c>
      <c r="G446" s="199">
        <v>12982</v>
      </c>
      <c r="H446" s="199">
        <v>12982</v>
      </c>
      <c r="I446" s="199">
        <v>12982</v>
      </c>
      <c r="J446" s="199">
        <v>9650</v>
      </c>
      <c r="K446" s="199">
        <v>9650</v>
      </c>
      <c r="L446" s="199">
        <v>9650</v>
      </c>
      <c r="M446" s="199">
        <v>9650</v>
      </c>
      <c r="N446" s="199">
        <v>9650</v>
      </c>
      <c r="O446" s="199">
        <v>9650</v>
      </c>
      <c r="P446" s="199">
        <v>9650.4594660000002</v>
      </c>
    </row>
    <row r="447" spans="2:16" ht="15.5">
      <c r="B447" s="302" t="s">
        <v>96</v>
      </c>
      <c r="C447" s="199">
        <v>0</v>
      </c>
      <c r="D447" s="199">
        <v>0</v>
      </c>
      <c r="E447" s="199">
        <v>0</v>
      </c>
      <c r="F447" s="199">
        <v>0</v>
      </c>
      <c r="G447" s="199">
        <v>0</v>
      </c>
      <c r="H447" s="199">
        <v>0</v>
      </c>
      <c r="I447" s="199">
        <v>0</v>
      </c>
      <c r="J447" s="199">
        <v>0</v>
      </c>
      <c r="K447" s="199">
        <v>0</v>
      </c>
      <c r="L447" s="199">
        <v>0</v>
      </c>
      <c r="M447" s="199">
        <v>0</v>
      </c>
      <c r="N447" s="199">
        <v>0</v>
      </c>
      <c r="O447" s="199">
        <v>0</v>
      </c>
      <c r="P447" s="199">
        <v>0</v>
      </c>
    </row>
    <row r="448" spans="2:16" ht="15.5">
      <c r="B448" s="302" t="s">
        <v>97</v>
      </c>
      <c r="C448" s="199">
        <v>0</v>
      </c>
      <c r="D448" s="199">
        <v>0</v>
      </c>
      <c r="E448" s="199">
        <v>0</v>
      </c>
      <c r="F448" s="199">
        <v>0</v>
      </c>
      <c r="G448" s="199">
        <v>0</v>
      </c>
      <c r="H448" s="199">
        <v>0</v>
      </c>
      <c r="I448" s="199">
        <v>0</v>
      </c>
      <c r="J448" s="199">
        <v>0</v>
      </c>
      <c r="K448" s="199">
        <v>0</v>
      </c>
      <c r="L448" s="199">
        <v>0</v>
      </c>
      <c r="M448" s="199">
        <v>0</v>
      </c>
      <c r="N448" s="199">
        <v>0</v>
      </c>
      <c r="O448" s="199">
        <v>0</v>
      </c>
      <c r="P448" s="199">
        <v>0</v>
      </c>
    </row>
    <row r="449" spans="2:16" ht="15.5">
      <c r="B449" s="302" t="s">
        <v>98</v>
      </c>
      <c r="C449" s="199">
        <v>3322</v>
      </c>
      <c r="D449" s="199">
        <v>4531</v>
      </c>
      <c r="E449" s="199">
        <v>10627</v>
      </c>
      <c r="F449" s="199">
        <v>3826</v>
      </c>
      <c r="G449" s="199">
        <v>3826</v>
      </c>
      <c r="H449" s="199">
        <v>2447</v>
      </c>
      <c r="I449" s="199">
        <v>235</v>
      </c>
      <c r="J449" s="199">
        <v>235</v>
      </c>
      <c r="K449" s="199">
        <v>235</v>
      </c>
      <c r="L449" s="199">
        <v>-1600</v>
      </c>
      <c r="M449" s="199">
        <v>4517</v>
      </c>
      <c r="N449" s="199">
        <v>6353</v>
      </c>
      <c r="O449" s="199">
        <v>6353</v>
      </c>
      <c r="P449" s="199">
        <v>3478.084613</v>
      </c>
    </row>
    <row r="450" spans="2:16" ht="15.5">
      <c r="B450" s="302" t="s">
        <v>99</v>
      </c>
      <c r="C450" s="199">
        <v>7630</v>
      </c>
      <c r="D450" s="199">
        <v>6096</v>
      </c>
      <c r="E450" s="199">
        <v>1584</v>
      </c>
      <c r="F450" s="199">
        <v>2646</v>
      </c>
      <c r="G450" s="199">
        <v>3612</v>
      </c>
      <c r="H450" s="199">
        <v>4596</v>
      </c>
      <c r="I450" s="199">
        <v>1604</v>
      </c>
      <c r="J450" s="199">
        <v>3066</v>
      </c>
      <c r="K450" s="199">
        <v>4575</v>
      </c>
      <c r="L450" s="199">
        <v>6118</v>
      </c>
      <c r="M450" s="199">
        <v>1349</v>
      </c>
      <c r="N450" s="199">
        <v>2196</v>
      </c>
      <c r="O450" s="199">
        <v>2511</v>
      </c>
      <c r="P450" s="199">
        <v>1847.4007770000001</v>
      </c>
    </row>
    <row r="451" spans="2:16" ht="15.5">
      <c r="B451" s="302" t="s">
        <v>100</v>
      </c>
      <c r="C451" s="199">
        <v>0</v>
      </c>
      <c r="D451" s="199">
        <v>0</v>
      </c>
      <c r="E451" s="199">
        <v>0</v>
      </c>
      <c r="F451" s="199">
        <v>0</v>
      </c>
      <c r="G451" s="199">
        <v>0</v>
      </c>
      <c r="H451" s="199">
        <v>0</v>
      </c>
      <c r="I451" s="199">
        <v>0</v>
      </c>
      <c r="J451" s="199">
        <v>0</v>
      </c>
      <c r="K451" s="199">
        <v>0</v>
      </c>
      <c r="L451" s="199">
        <v>0</v>
      </c>
      <c r="M451" s="199">
        <v>0</v>
      </c>
      <c r="N451" s="199">
        <v>0</v>
      </c>
      <c r="O451" s="199">
        <v>0</v>
      </c>
      <c r="P451" s="199">
        <v>0</v>
      </c>
    </row>
    <row r="452" spans="2:16" ht="15">
      <c r="B452" s="274" t="s">
        <v>103</v>
      </c>
      <c r="C452" s="279">
        <v>23934</v>
      </c>
      <c r="D452" s="279">
        <v>23609</v>
      </c>
      <c r="E452" s="279">
        <v>25193</v>
      </c>
      <c r="F452" s="279">
        <v>19454</v>
      </c>
      <c r="G452" s="279">
        <v>20420</v>
      </c>
      <c r="H452" s="279">
        <v>20025</v>
      </c>
      <c r="I452" s="279">
        <v>14821</v>
      </c>
      <c r="J452" s="279">
        <v>12951</v>
      </c>
      <c r="K452" s="279">
        <v>14460</v>
      </c>
      <c r="L452" s="279">
        <v>14168</v>
      </c>
      <c r="M452" s="279">
        <v>15516</v>
      </c>
      <c r="N452" s="279">
        <v>18199</v>
      </c>
      <c r="O452" s="279">
        <v>18514</v>
      </c>
      <c r="P452" s="279">
        <f>SUM(P446:P451)</f>
        <v>14975.944856</v>
      </c>
    </row>
    <row r="453" spans="2:16" ht="15">
      <c r="B453" s="222" t="s">
        <v>104</v>
      </c>
      <c r="C453" s="278">
        <v>119158</v>
      </c>
      <c r="D453" s="278">
        <v>102433</v>
      </c>
      <c r="E453" s="278">
        <v>100289</v>
      </c>
      <c r="F453" s="278">
        <v>90303</v>
      </c>
      <c r="G453" s="278">
        <v>85196</v>
      </c>
      <c r="H453" s="278">
        <v>88122</v>
      </c>
      <c r="I453" s="278">
        <v>87498</v>
      </c>
      <c r="J453" s="278">
        <v>85713</v>
      </c>
      <c r="K453" s="278">
        <v>77947</v>
      </c>
      <c r="L453" s="278">
        <v>82561</v>
      </c>
      <c r="M453" s="278">
        <v>79266</v>
      </c>
      <c r="N453" s="278">
        <v>80013</v>
      </c>
      <c r="O453" s="278">
        <v>67704</v>
      </c>
      <c r="P453" s="278">
        <f>+P443+P452</f>
        <v>66380.592720000001</v>
      </c>
    </row>
    <row r="454" spans="2:16" ht="15.5">
      <c r="B454" s="233"/>
      <c r="C454" s="306">
        <v>0</v>
      </c>
      <c r="D454" s="306">
        <v>0</v>
      </c>
      <c r="E454" s="306">
        <v>0</v>
      </c>
      <c r="F454" s="306">
        <v>0</v>
      </c>
      <c r="G454" s="306">
        <v>0</v>
      </c>
      <c r="H454" s="306">
        <v>0</v>
      </c>
      <c r="I454" s="306">
        <v>0</v>
      </c>
      <c r="J454" s="306">
        <v>0</v>
      </c>
      <c r="K454" s="306">
        <v>0</v>
      </c>
      <c r="L454" s="306">
        <v>0</v>
      </c>
      <c r="M454" s="306">
        <v>0</v>
      </c>
      <c r="N454" s="306">
        <v>0</v>
      </c>
      <c r="O454" s="306"/>
      <c r="P454" s="306"/>
    </row>
  </sheetData>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7D6F-1160-4879-8388-38FA99EFFF6B}">
  <sheetPr>
    <pageSetUpPr fitToPage="1"/>
  </sheetPr>
  <dimension ref="A1:Q291"/>
  <sheetViews>
    <sheetView showGridLines="0" topLeftCell="A3" zoomScale="80" zoomScaleNormal="80" workbookViewId="0">
      <pane xSplit="1" ySplit="4" topLeftCell="B7" activePane="bottomRight" state="frozen"/>
      <selection activeCell="A3" sqref="A3"/>
      <selection pane="topRight" activeCell="B3" sqref="B3"/>
      <selection pane="bottomLeft" activeCell="A7" sqref="A7"/>
      <selection pane="bottomRight" activeCell="B7" sqref="B7"/>
    </sheetView>
  </sheetViews>
  <sheetFormatPr baseColWidth="10" defaultColWidth="11.453125" defaultRowHeight="14"/>
  <cols>
    <col min="1" max="1" width="11.453125" style="39"/>
    <col min="2" max="2" width="21.453125" style="39" bestFit="1" customWidth="1"/>
    <col min="3" max="3" width="34.54296875" style="39" customWidth="1"/>
    <col min="4" max="4" width="11.1796875" style="39" customWidth="1"/>
    <col min="5" max="5" width="16.1796875" style="39" customWidth="1"/>
    <col min="6" max="6" width="20.453125" style="39" customWidth="1"/>
    <col min="7" max="7" width="10.54296875" style="39" customWidth="1"/>
    <col min="8" max="8" width="16.453125" style="39" customWidth="1"/>
    <col min="9" max="9" width="1.81640625" style="39" customWidth="1"/>
    <col min="10" max="10" width="12.1796875" style="39" customWidth="1"/>
    <col min="11" max="11" width="5.54296875" style="39" customWidth="1"/>
    <col min="12" max="12" width="21.453125" style="39" bestFit="1" customWidth="1"/>
    <col min="13" max="13" width="18" style="39" bestFit="1" customWidth="1"/>
    <col min="14" max="14" width="16.26953125" style="39" customWidth="1"/>
    <col min="15" max="15" width="16.453125" style="39" customWidth="1"/>
    <col min="16" max="16" width="14.54296875" style="39" bestFit="1" customWidth="1"/>
    <col min="17" max="17" width="18.81640625" style="39" bestFit="1" customWidth="1"/>
    <col min="18" max="16384" width="11.453125" style="39"/>
  </cols>
  <sheetData>
    <row r="1" spans="1:15" ht="14.5">
      <c r="A1" s="2" t="s">
        <v>17</v>
      </c>
      <c r="B1" s="106"/>
      <c r="E1" s="146"/>
      <c r="H1" s="642"/>
      <c r="I1" s="642"/>
      <c r="J1" s="642"/>
      <c r="K1" s="148"/>
      <c r="M1" s="149"/>
      <c r="N1" s="149"/>
    </row>
    <row r="2" spans="1:15">
      <c r="H2" s="643"/>
      <c r="I2" s="643"/>
      <c r="J2" s="643"/>
      <c r="K2" s="127"/>
      <c r="L2" s="68"/>
      <c r="M2" s="151"/>
      <c r="N2" s="151"/>
    </row>
    <row r="3" spans="1:15">
      <c r="C3" s="150"/>
      <c r="H3" s="158"/>
      <c r="I3" s="158"/>
      <c r="J3" s="158"/>
      <c r="K3" s="127"/>
      <c r="L3" s="68"/>
      <c r="M3" s="151"/>
      <c r="N3" s="151"/>
    </row>
    <row r="4" spans="1:15">
      <c r="C4" s="150"/>
      <c r="H4" s="159"/>
      <c r="I4" s="159"/>
      <c r="J4" s="159"/>
      <c r="K4" s="127"/>
      <c r="L4" s="68"/>
      <c r="M4" s="151"/>
      <c r="N4" s="151"/>
    </row>
    <row r="5" spans="1:15">
      <c r="C5" s="150"/>
      <c r="H5" s="643"/>
      <c r="I5" s="643"/>
      <c r="J5" s="643"/>
      <c r="K5" s="145"/>
      <c r="M5" s="151"/>
      <c r="N5" s="151"/>
    </row>
    <row r="6" spans="1:15" ht="61.5" customHeight="1">
      <c r="B6" s="449" t="s">
        <v>405</v>
      </c>
      <c r="C6" s="450" t="s">
        <v>406</v>
      </c>
      <c r="D6" s="451" t="s">
        <v>407</v>
      </c>
      <c r="E6" s="452" t="s">
        <v>408</v>
      </c>
      <c r="F6" s="453" t="s">
        <v>409</v>
      </c>
      <c r="G6" s="452" t="s">
        <v>410</v>
      </c>
      <c r="H6" s="647" t="s">
        <v>411</v>
      </c>
      <c r="I6" s="648"/>
      <c r="J6" s="649"/>
      <c r="K6" s="454"/>
      <c r="L6" s="449" t="s">
        <v>967</v>
      </c>
      <c r="M6" s="511" t="s">
        <v>957</v>
      </c>
      <c r="N6" s="451" t="s">
        <v>958</v>
      </c>
    </row>
    <row r="7" spans="1:15" ht="3.75" customHeight="1">
      <c r="B7" s="307"/>
      <c r="C7" s="307"/>
      <c r="D7" s="307"/>
      <c r="E7" s="307"/>
      <c r="F7" s="307"/>
      <c r="G7" s="307"/>
      <c r="H7" s="307"/>
      <c r="I7" s="307"/>
      <c r="J7" s="307"/>
      <c r="K7" s="308"/>
      <c r="L7" s="307"/>
      <c r="M7" s="307"/>
      <c r="N7" s="307"/>
    </row>
    <row r="8" spans="1:15" ht="15.5" thickBot="1">
      <c r="B8" s="309" t="s">
        <v>412</v>
      </c>
      <c r="C8" s="455"/>
      <c r="D8" s="309"/>
      <c r="E8" s="309"/>
      <c r="F8" s="309"/>
      <c r="G8" s="309"/>
      <c r="H8" s="309"/>
      <c r="I8" s="310"/>
      <c r="J8" s="310"/>
      <c r="K8" s="311"/>
      <c r="L8" s="310"/>
      <c r="M8" s="312">
        <f>+M24+M30+M36+M57</f>
        <v>2472033.4421121003</v>
      </c>
      <c r="N8" s="313">
        <f>+N24+N30+N36+N57</f>
        <v>720184.54249442101</v>
      </c>
    </row>
    <row r="9" spans="1:15" ht="4.5" customHeight="1" thickTop="1">
      <c r="B9" s="315"/>
      <c r="C9" s="307"/>
      <c r="D9" s="307"/>
      <c r="E9" s="307"/>
      <c r="F9" s="307"/>
      <c r="G9" s="307"/>
      <c r="H9" s="307"/>
      <c r="I9" s="307"/>
      <c r="J9" s="307"/>
      <c r="K9" s="308"/>
      <c r="L9" s="307"/>
      <c r="M9" s="316"/>
      <c r="N9" s="316"/>
    </row>
    <row r="10" spans="1:15" ht="15">
      <c r="B10" s="650" t="s">
        <v>2</v>
      </c>
      <c r="C10" s="317" t="s">
        <v>867</v>
      </c>
      <c r="D10" s="318" t="s">
        <v>437</v>
      </c>
      <c r="E10" s="319">
        <v>42061</v>
      </c>
      <c r="F10" s="320">
        <v>44618</v>
      </c>
      <c r="G10" s="321">
        <v>7.0054794520547947</v>
      </c>
      <c r="H10" s="322" t="s">
        <v>438</v>
      </c>
      <c r="I10" s="323" t="s">
        <v>439</v>
      </c>
      <c r="J10" s="324">
        <v>3.5999999999999997E-2</v>
      </c>
      <c r="K10" s="311"/>
      <c r="L10" s="55">
        <v>66729730560</v>
      </c>
      <c r="M10" s="56">
        <v>66729.730559859774</v>
      </c>
      <c r="N10" s="57">
        <v>19440.562435501753</v>
      </c>
    </row>
    <row r="11" spans="1:15" ht="15">
      <c r="B11" s="650"/>
      <c r="C11" s="317" t="s">
        <v>868</v>
      </c>
      <c r="D11" s="318" t="s">
        <v>437</v>
      </c>
      <c r="E11" s="319">
        <v>42423</v>
      </c>
      <c r="F11" s="320">
        <v>44980</v>
      </c>
      <c r="G11" s="321">
        <v>7.0054794520547947</v>
      </c>
      <c r="H11" s="322" t="s">
        <v>438</v>
      </c>
      <c r="I11" s="323" t="s">
        <v>439</v>
      </c>
      <c r="J11" s="324">
        <v>2.9899999999999999E-2</v>
      </c>
      <c r="K11" s="308"/>
      <c r="L11" s="55">
        <v>125000000000</v>
      </c>
      <c r="M11" s="56">
        <v>124999.99999973732</v>
      </c>
      <c r="N11" s="57">
        <v>36416.605972246856</v>
      </c>
      <c r="O11" s="58"/>
    </row>
    <row r="12" spans="1:15" ht="15">
      <c r="B12" s="650"/>
      <c r="C12" s="317" t="s">
        <v>868</v>
      </c>
      <c r="D12" s="318" t="s">
        <v>437</v>
      </c>
      <c r="E12" s="319">
        <v>43017</v>
      </c>
      <c r="F12" s="320">
        <v>46669</v>
      </c>
      <c r="G12" s="321">
        <v>10.005479452054795</v>
      </c>
      <c r="H12" s="322" t="s">
        <v>438</v>
      </c>
      <c r="I12" s="323" t="s">
        <v>439</v>
      </c>
      <c r="J12" s="324">
        <v>4.8000000000000001E-2</v>
      </c>
      <c r="K12" s="311"/>
      <c r="L12" s="55">
        <v>43750000000</v>
      </c>
      <c r="M12" s="56">
        <v>43749.999999908061</v>
      </c>
      <c r="N12" s="57">
        <v>12745.812090286398</v>
      </c>
      <c r="O12" s="58"/>
    </row>
    <row r="13" spans="1:15" ht="15">
      <c r="B13" s="650"/>
      <c r="C13" s="317" t="s">
        <v>869</v>
      </c>
      <c r="D13" s="318" t="s">
        <v>437</v>
      </c>
      <c r="E13" s="319">
        <v>43017</v>
      </c>
      <c r="F13" s="320">
        <v>46669</v>
      </c>
      <c r="G13" s="321">
        <v>10.005479452054795</v>
      </c>
      <c r="H13" s="322" t="s">
        <v>438</v>
      </c>
      <c r="I13" s="323" t="s">
        <v>439</v>
      </c>
      <c r="J13" s="324">
        <v>4.8000000000000001E-2</v>
      </c>
      <c r="K13" s="308"/>
      <c r="L13" s="55">
        <v>43750000000</v>
      </c>
      <c r="M13" s="56">
        <v>43749.999999908061</v>
      </c>
      <c r="N13" s="57">
        <v>12745.812090286398</v>
      </c>
      <c r="O13" s="58"/>
    </row>
    <row r="14" spans="1:15" ht="15">
      <c r="B14" s="650"/>
      <c r="C14" s="317" t="s">
        <v>868</v>
      </c>
      <c r="D14" s="318" t="s">
        <v>437</v>
      </c>
      <c r="E14" s="319">
        <v>43046</v>
      </c>
      <c r="F14" s="320">
        <v>46698</v>
      </c>
      <c r="G14" s="321">
        <v>10.005479452054795</v>
      </c>
      <c r="H14" s="322" t="s">
        <v>438</v>
      </c>
      <c r="I14" s="323" t="s">
        <v>439</v>
      </c>
      <c r="J14" s="324">
        <v>4.8000000000000001E-2</v>
      </c>
      <c r="K14" s="311"/>
      <c r="L14" s="55">
        <v>78750000000</v>
      </c>
      <c r="M14" s="56">
        <v>78749.999999834516</v>
      </c>
      <c r="N14" s="57">
        <v>22942.461762515519</v>
      </c>
      <c r="O14" s="58"/>
    </row>
    <row r="15" spans="1:15" ht="15">
      <c r="B15" s="650"/>
      <c r="C15" s="317" t="s">
        <v>869</v>
      </c>
      <c r="D15" s="318" t="s">
        <v>437</v>
      </c>
      <c r="E15" s="319">
        <v>43046</v>
      </c>
      <c r="F15" s="320">
        <v>46698</v>
      </c>
      <c r="G15" s="321">
        <v>10.005479452054795</v>
      </c>
      <c r="H15" s="322" t="s">
        <v>438</v>
      </c>
      <c r="I15" s="323" t="s">
        <v>439</v>
      </c>
      <c r="J15" s="324">
        <v>4.8000000000000001E-2</v>
      </c>
      <c r="K15" s="308"/>
      <c r="L15" s="55">
        <v>78750000000</v>
      </c>
      <c r="M15" s="56">
        <v>78749.999999834516</v>
      </c>
      <c r="N15" s="57">
        <v>22942.461762515519</v>
      </c>
      <c r="O15" s="58"/>
    </row>
    <row r="16" spans="1:15" ht="15">
      <c r="B16" s="650"/>
      <c r="C16" s="317" t="s">
        <v>868</v>
      </c>
      <c r="D16" s="318" t="s">
        <v>437</v>
      </c>
      <c r="E16" s="319">
        <v>43083</v>
      </c>
      <c r="F16" s="320">
        <v>46735</v>
      </c>
      <c r="G16" s="321">
        <v>10.005479452054795</v>
      </c>
      <c r="H16" s="322" t="s">
        <v>438</v>
      </c>
      <c r="I16" s="323" t="s">
        <v>439</v>
      </c>
      <c r="J16" s="324">
        <v>4.8000000000000001E-2</v>
      </c>
      <c r="K16" s="311"/>
      <c r="L16" s="55">
        <v>0</v>
      </c>
      <c r="M16" s="56">
        <v>0</v>
      </c>
      <c r="N16" s="57">
        <v>0</v>
      </c>
      <c r="O16" s="58"/>
    </row>
    <row r="17" spans="2:15" ht="15">
      <c r="B17" s="650"/>
      <c r="C17" s="317" t="s">
        <v>869</v>
      </c>
      <c r="D17" s="318" t="s">
        <v>437</v>
      </c>
      <c r="E17" s="319">
        <v>43083</v>
      </c>
      <c r="F17" s="320">
        <v>46735</v>
      </c>
      <c r="G17" s="321">
        <v>10.005479452054795</v>
      </c>
      <c r="H17" s="322" t="s">
        <v>438</v>
      </c>
      <c r="I17" s="323" t="s">
        <v>439</v>
      </c>
      <c r="J17" s="324">
        <v>4.8000000000000001E-2</v>
      </c>
      <c r="K17" s="308"/>
      <c r="L17" s="55">
        <v>0</v>
      </c>
      <c r="M17" s="56">
        <v>0</v>
      </c>
      <c r="N17" s="57">
        <v>0</v>
      </c>
      <c r="O17" s="58"/>
    </row>
    <row r="18" spans="2:15" ht="15">
      <c r="B18" s="650"/>
      <c r="C18" s="317" t="s">
        <v>862</v>
      </c>
      <c r="D18" s="318" t="s">
        <v>467</v>
      </c>
      <c r="E18" s="319">
        <v>43461</v>
      </c>
      <c r="F18" s="320">
        <v>45287</v>
      </c>
      <c r="G18" s="321">
        <v>5.0027397260273974</v>
      </c>
      <c r="H18" s="322" t="s">
        <v>866</v>
      </c>
      <c r="I18" s="323" t="s">
        <v>439</v>
      </c>
      <c r="J18" s="328">
        <v>1.2E-2</v>
      </c>
      <c r="K18" s="311"/>
      <c r="L18" s="55">
        <v>50000000</v>
      </c>
      <c r="M18" s="56">
        <v>171624.99999963935</v>
      </c>
      <c r="N18" s="57">
        <v>49999.999999894935</v>
      </c>
      <c r="O18" s="58"/>
    </row>
    <row r="19" spans="2:15" ht="15">
      <c r="B19" s="650"/>
      <c r="C19" s="317" t="s">
        <v>862</v>
      </c>
      <c r="D19" s="318" t="s">
        <v>467</v>
      </c>
      <c r="E19" s="319">
        <v>43522</v>
      </c>
      <c r="F19" s="320">
        <v>45287</v>
      </c>
      <c r="G19" s="321">
        <v>4.8356164383561646</v>
      </c>
      <c r="H19" s="322" t="s">
        <v>866</v>
      </c>
      <c r="I19" s="323" t="s">
        <v>439</v>
      </c>
      <c r="J19" s="328">
        <v>1.2E-2</v>
      </c>
      <c r="K19" s="308"/>
      <c r="L19" s="55">
        <v>50000000</v>
      </c>
      <c r="M19" s="56">
        <v>171624.99999963935</v>
      </c>
      <c r="N19" s="57">
        <v>49999.999999894935</v>
      </c>
      <c r="O19" s="58"/>
    </row>
    <row r="20" spans="2:15" ht="15">
      <c r="B20" s="650"/>
      <c r="C20" s="317" t="s">
        <v>870</v>
      </c>
      <c r="D20" s="318" t="s">
        <v>437</v>
      </c>
      <c r="E20" s="319">
        <v>43788</v>
      </c>
      <c r="F20" s="320">
        <v>47441</v>
      </c>
      <c r="G20" s="321">
        <v>10.008219178082191</v>
      </c>
      <c r="H20" s="322" t="s">
        <v>871</v>
      </c>
      <c r="I20" s="323" t="s">
        <v>439</v>
      </c>
      <c r="J20" s="328">
        <v>2.5600000000000001E-2</v>
      </c>
      <c r="K20" s="311"/>
      <c r="L20" s="55">
        <v>150000000000</v>
      </c>
      <c r="M20" s="56">
        <v>149999.99999968478</v>
      </c>
      <c r="N20" s="57">
        <v>43699.927166696223</v>
      </c>
      <c r="O20" s="58"/>
    </row>
    <row r="21" spans="2:15" ht="15">
      <c r="B21" s="650"/>
      <c r="C21" s="317" t="s">
        <v>869</v>
      </c>
      <c r="D21" s="318" t="s">
        <v>437</v>
      </c>
      <c r="E21" s="319">
        <v>43788</v>
      </c>
      <c r="F21" s="320">
        <v>48171</v>
      </c>
      <c r="G21" s="321">
        <v>12.008219178082191</v>
      </c>
      <c r="H21" s="322" t="s">
        <v>438</v>
      </c>
      <c r="I21" s="323" t="s">
        <v>439</v>
      </c>
      <c r="J21" s="324">
        <v>4.65E-2</v>
      </c>
      <c r="K21" s="308"/>
      <c r="L21" s="55">
        <v>150000000000</v>
      </c>
      <c r="M21" s="56">
        <v>149999.99999968478</v>
      </c>
      <c r="N21" s="57">
        <v>43699.927166696223</v>
      </c>
      <c r="O21" s="58"/>
    </row>
    <row r="22" spans="2:15" ht="15">
      <c r="B22" s="650"/>
      <c r="C22" s="317" t="s">
        <v>870</v>
      </c>
      <c r="D22" s="318" t="s">
        <v>437</v>
      </c>
      <c r="E22" s="319">
        <v>43970</v>
      </c>
      <c r="F22" s="320">
        <v>47441</v>
      </c>
      <c r="G22" s="321">
        <v>9.5095890410958912</v>
      </c>
      <c r="H22" s="322" t="s">
        <v>871</v>
      </c>
      <c r="I22" s="323" t="s">
        <v>439</v>
      </c>
      <c r="J22" s="328">
        <v>2.5600000000000001E-2</v>
      </c>
      <c r="K22" s="311"/>
      <c r="L22" s="55">
        <v>150000000000</v>
      </c>
      <c r="M22" s="56">
        <v>149999.99999968478</v>
      </c>
      <c r="N22" s="57">
        <v>43699.927166696223</v>
      </c>
      <c r="O22" s="58"/>
    </row>
    <row r="23" spans="2:15" ht="15">
      <c r="B23" s="650"/>
      <c r="C23" s="317" t="s">
        <v>869</v>
      </c>
      <c r="D23" s="318" t="s">
        <v>437</v>
      </c>
      <c r="E23" s="319">
        <v>43970</v>
      </c>
      <c r="F23" s="320">
        <v>48171</v>
      </c>
      <c r="G23" s="321">
        <v>11.509589041095891</v>
      </c>
      <c r="H23" s="322" t="s">
        <v>438</v>
      </c>
      <c r="I23" s="323" t="s">
        <v>439</v>
      </c>
      <c r="J23" s="324">
        <v>4.65E-2</v>
      </c>
      <c r="K23" s="308"/>
      <c r="L23" s="55">
        <v>150000000000</v>
      </c>
      <c r="M23" s="56">
        <v>149999.99999968478</v>
      </c>
      <c r="N23" s="57">
        <v>43699.927166696223</v>
      </c>
      <c r="O23" s="58"/>
    </row>
    <row r="24" spans="2:15" ht="15">
      <c r="B24" s="329"/>
      <c r="C24" s="330"/>
      <c r="D24" s="330"/>
      <c r="E24" s="330"/>
      <c r="F24" s="330"/>
      <c r="G24" s="330"/>
      <c r="H24" s="331"/>
      <c r="I24" s="330"/>
      <c r="J24" s="332"/>
      <c r="K24" s="311"/>
      <c r="L24" s="540"/>
      <c r="M24" s="61">
        <v>1379979.7305570999</v>
      </c>
      <c r="N24" s="62">
        <v>402033.42477992724</v>
      </c>
    </row>
    <row r="25" spans="2:15" ht="15">
      <c r="B25" s="651" t="s">
        <v>970</v>
      </c>
      <c r="C25" s="317" t="s">
        <v>870</v>
      </c>
      <c r="D25" s="318" t="s">
        <v>437</v>
      </c>
      <c r="E25" s="319">
        <v>42725</v>
      </c>
      <c r="F25" s="320">
        <v>46767</v>
      </c>
      <c r="G25" s="321">
        <v>11.073972602739726</v>
      </c>
      <c r="H25" s="322" t="s">
        <v>438</v>
      </c>
      <c r="I25" s="323" t="s">
        <v>439</v>
      </c>
      <c r="J25" s="328">
        <v>7.4999999999999997E-2</v>
      </c>
      <c r="K25" s="311"/>
      <c r="L25" s="325">
        <v>250000000000</v>
      </c>
      <c r="M25" s="326">
        <v>249999.99993128525</v>
      </c>
      <c r="N25" s="327">
        <v>72833.211924627889</v>
      </c>
    </row>
    <row r="26" spans="2:15" ht="15">
      <c r="B26" s="660"/>
      <c r="C26" s="317" t="s">
        <v>867</v>
      </c>
      <c r="D26" s="318" t="s">
        <v>437</v>
      </c>
      <c r="E26" s="319">
        <v>42725</v>
      </c>
      <c r="F26" s="320">
        <v>48959</v>
      </c>
      <c r="G26" s="321">
        <v>17.079452054794519</v>
      </c>
      <c r="H26" s="322" t="s">
        <v>438</v>
      </c>
      <c r="I26" s="323" t="s">
        <v>439</v>
      </c>
      <c r="J26" s="328">
        <v>0.09</v>
      </c>
      <c r="K26" s="308"/>
      <c r="L26" s="325">
        <v>150000000000</v>
      </c>
      <c r="M26" s="326">
        <v>149999.99995877116</v>
      </c>
      <c r="N26" s="327">
        <v>43699.927154776735</v>
      </c>
    </row>
    <row r="27" spans="2:15" ht="15">
      <c r="B27" s="660"/>
      <c r="C27" s="317" t="s">
        <v>874</v>
      </c>
      <c r="D27" s="318" t="s">
        <v>437</v>
      </c>
      <c r="E27" s="319">
        <v>42725</v>
      </c>
      <c r="F27" s="320">
        <v>48959</v>
      </c>
      <c r="G27" s="321">
        <v>17.079452054794519</v>
      </c>
      <c r="H27" s="322" t="s">
        <v>438</v>
      </c>
      <c r="I27" s="323" t="s">
        <v>439</v>
      </c>
      <c r="J27" s="328">
        <v>0.09</v>
      </c>
      <c r="K27" s="311"/>
      <c r="L27" s="325">
        <v>150000000000</v>
      </c>
      <c r="M27" s="326">
        <v>149999.99995877116</v>
      </c>
      <c r="N27" s="327">
        <v>43699.927154776735</v>
      </c>
    </row>
    <row r="28" spans="2:15" ht="15">
      <c r="B28" s="660"/>
      <c r="C28" s="388" t="s">
        <v>968</v>
      </c>
      <c r="D28" s="389" t="s">
        <v>462</v>
      </c>
      <c r="E28" s="390">
        <v>42725</v>
      </c>
      <c r="F28" s="391">
        <v>48959</v>
      </c>
      <c r="G28" s="392">
        <v>17.079452054794519</v>
      </c>
      <c r="H28" s="393" t="s">
        <v>450</v>
      </c>
      <c r="I28" s="394"/>
      <c r="J28" s="395">
        <v>7.3999999999999996E-2</v>
      </c>
      <c r="K28" s="311"/>
      <c r="L28" s="396">
        <v>560961563</v>
      </c>
      <c r="M28" s="326">
        <v>154299.54597643315</v>
      </c>
      <c r="N28" s="327">
        <v>44952.526140257294</v>
      </c>
    </row>
    <row r="29" spans="2:15" ht="15">
      <c r="B29" s="660"/>
      <c r="C29" s="388" t="s">
        <v>969</v>
      </c>
      <c r="D29" s="389" t="s">
        <v>437</v>
      </c>
      <c r="E29" s="390">
        <v>43286</v>
      </c>
      <c r="F29" s="391">
        <v>49498</v>
      </c>
      <c r="G29" s="392">
        <v>17.019178082191782</v>
      </c>
      <c r="H29" s="393" t="s">
        <v>873</v>
      </c>
      <c r="I29" s="394" t="s">
        <v>439</v>
      </c>
      <c r="J29" s="395">
        <v>8.2000000000000003E-2</v>
      </c>
      <c r="K29" s="308"/>
      <c r="L29" s="396">
        <v>8224898181</v>
      </c>
      <c r="M29" s="326">
        <v>8224.8981787393132</v>
      </c>
      <c r="N29" s="327">
        <v>2396.1830091010379</v>
      </c>
    </row>
    <row r="30" spans="2:15" ht="15">
      <c r="B30" s="661"/>
      <c r="C30" s="398"/>
      <c r="D30" s="398"/>
      <c r="E30" s="399"/>
      <c r="F30" s="399"/>
      <c r="G30" s="400"/>
      <c r="H30" s="401"/>
      <c r="I30" s="402"/>
      <c r="J30" s="403"/>
      <c r="K30" s="404"/>
      <c r="L30" s="405"/>
      <c r="M30" s="334">
        <v>712524.44400400005</v>
      </c>
      <c r="N30" s="335">
        <v>207581.7753835397</v>
      </c>
    </row>
    <row r="31" spans="2:15" ht="4.5" customHeight="1">
      <c r="B31" s="329"/>
      <c r="C31" s="330"/>
      <c r="D31" s="330"/>
      <c r="E31" s="330"/>
      <c r="F31" s="330"/>
      <c r="G31" s="330"/>
      <c r="H31" s="331"/>
      <c r="I31" s="330"/>
      <c r="J31" s="332"/>
      <c r="K31" s="308"/>
      <c r="L31" s="333"/>
      <c r="M31" s="316"/>
      <c r="N31" s="316"/>
    </row>
    <row r="32" spans="2:15" ht="15">
      <c r="B32" s="650" t="s">
        <v>4</v>
      </c>
      <c r="C32" s="317" t="s">
        <v>872</v>
      </c>
      <c r="D32" s="318" t="s">
        <v>437</v>
      </c>
      <c r="E32" s="319">
        <v>43508</v>
      </c>
      <c r="F32" s="320">
        <v>46065</v>
      </c>
      <c r="G32" s="321">
        <v>7.0054794520547947</v>
      </c>
      <c r="H32" s="322" t="s">
        <v>438</v>
      </c>
      <c r="I32" s="323" t="s">
        <v>439</v>
      </c>
      <c r="J32" s="328">
        <v>4.2500000000000003E-2</v>
      </c>
      <c r="K32" s="311"/>
      <c r="L32" s="325">
        <v>82500000000</v>
      </c>
      <c r="M32" s="326">
        <v>82500</v>
      </c>
      <c r="N32" s="327">
        <v>24034.959941733428</v>
      </c>
    </row>
    <row r="33" spans="2:16" ht="15">
      <c r="B33" s="650"/>
      <c r="C33" s="317" t="s">
        <v>872</v>
      </c>
      <c r="D33" s="318" t="s">
        <v>437</v>
      </c>
      <c r="E33" s="319">
        <v>43508</v>
      </c>
      <c r="F33" s="320">
        <v>46065</v>
      </c>
      <c r="G33" s="321">
        <v>7.0054794520547947</v>
      </c>
      <c r="H33" s="322" t="s">
        <v>438</v>
      </c>
      <c r="I33" s="323" t="s">
        <v>439</v>
      </c>
      <c r="J33" s="328">
        <v>4.2500000000000003E-2</v>
      </c>
      <c r="K33" s="308"/>
      <c r="L33" s="325">
        <v>5500000000</v>
      </c>
      <c r="M33" s="326">
        <v>5500</v>
      </c>
      <c r="N33" s="327">
        <v>1602.3306627822287</v>
      </c>
    </row>
    <row r="34" spans="2:16" ht="15">
      <c r="B34" s="650"/>
      <c r="C34" s="317" t="s">
        <v>869</v>
      </c>
      <c r="D34" s="318" t="s">
        <v>437</v>
      </c>
      <c r="E34" s="319">
        <v>43523</v>
      </c>
      <c r="F34" s="320">
        <v>47176</v>
      </c>
      <c r="G34" s="321">
        <v>10.008219178082191</v>
      </c>
      <c r="H34" s="322" t="s">
        <v>873</v>
      </c>
      <c r="I34" s="323" t="s">
        <v>439</v>
      </c>
      <c r="J34" s="328">
        <v>4.0500000000000001E-2</v>
      </c>
      <c r="K34" s="311"/>
      <c r="L34" s="325">
        <v>47250000000</v>
      </c>
      <c r="M34" s="326">
        <v>47250</v>
      </c>
      <c r="N34" s="327">
        <v>13765.477057538237</v>
      </c>
    </row>
    <row r="35" spans="2:16" ht="15">
      <c r="B35" s="651"/>
      <c r="C35" s="388" t="s">
        <v>874</v>
      </c>
      <c r="D35" s="389" t="s">
        <v>437</v>
      </c>
      <c r="E35" s="390">
        <v>43530</v>
      </c>
      <c r="F35" s="391">
        <v>46087</v>
      </c>
      <c r="G35" s="392">
        <v>7.0054794520547947</v>
      </c>
      <c r="H35" s="393" t="s">
        <v>438</v>
      </c>
      <c r="I35" s="394" t="s">
        <v>439</v>
      </c>
      <c r="J35" s="395">
        <v>4.2500000000000003E-2</v>
      </c>
      <c r="K35" s="308"/>
      <c r="L35" s="396">
        <v>22800000000</v>
      </c>
      <c r="M35" s="326">
        <v>22800</v>
      </c>
      <c r="N35" s="327">
        <v>6642.3889293517841</v>
      </c>
    </row>
    <row r="36" spans="2:16" ht="15">
      <c r="B36" s="397"/>
      <c r="C36" s="398"/>
      <c r="D36" s="398"/>
      <c r="E36" s="399"/>
      <c r="F36" s="399"/>
      <c r="G36" s="400"/>
      <c r="H36" s="401"/>
      <c r="I36" s="402"/>
      <c r="J36" s="403"/>
      <c r="K36" s="404"/>
      <c r="L36" s="405"/>
      <c r="M36" s="334">
        <v>158050</v>
      </c>
      <c r="N36" s="335">
        <v>46045.156591405677</v>
      </c>
    </row>
    <row r="37" spans="2:16" ht="4.5" customHeight="1">
      <c r="B37" s="329"/>
      <c r="C37" s="336"/>
      <c r="D37" s="342"/>
      <c r="E37" s="337"/>
      <c r="F37" s="337"/>
      <c r="G37" s="343"/>
      <c r="H37" s="344"/>
      <c r="I37" s="345"/>
      <c r="J37" s="340"/>
      <c r="K37" s="308"/>
      <c r="L37" s="341"/>
      <c r="M37" s="316"/>
      <c r="N37" s="316"/>
    </row>
    <row r="38" spans="2:16">
      <c r="B38" s="652" t="s">
        <v>413</v>
      </c>
      <c r="C38" s="47" t="s">
        <v>875</v>
      </c>
      <c r="D38" s="48" t="s">
        <v>437</v>
      </c>
      <c r="E38" s="49">
        <v>42894</v>
      </c>
      <c r="F38" s="49">
        <v>45451</v>
      </c>
      <c r="G38" s="541">
        <v>7.0054794520547947</v>
      </c>
      <c r="H38" s="52" t="s">
        <v>873</v>
      </c>
      <c r="I38" s="53" t="s">
        <v>439</v>
      </c>
      <c r="J38" s="59">
        <v>3.7499999999999999E-2</v>
      </c>
      <c r="K38" s="127"/>
      <c r="L38" s="55">
        <v>12203652622.875</v>
      </c>
      <c r="M38" s="56">
        <v>12203.652622826787</v>
      </c>
      <c r="N38" s="57">
        <v>3555.3248719087505</v>
      </c>
    </row>
    <row r="39" spans="2:16">
      <c r="B39" s="652"/>
      <c r="C39" s="47" t="s">
        <v>875</v>
      </c>
      <c r="D39" s="48" t="s">
        <v>437</v>
      </c>
      <c r="E39" s="49">
        <v>42957</v>
      </c>
      <c r="F39" s="49">
        <v>45514</v>
      </c>
      <c r="G39" s="541">
        <v>7.0054794520547947</v>
      </c>
      <c r="H39" s="52" t="s">
        <v>873</v>
      </c>
      <c r="I39" s="53" t="s">
        <v>439</v>
      </c>
      <c r="J39" s="59">
        <v>3.7499999999999999E-2</v>
      </c>
      <c r="K39" s="145"/>
      <c r="L39" s="55">
        <v>31816782716</v>
      </c>
      <c r="M39" s="56">
        <v>31816.782715874302</v>
      </c>
      <c r="N39" s="57">
        <v>9269.2739157681863</v>
      </c>
    </row>
    <row r="40" spans="2:16">
      <c r="B40" s="652"/>
      <c r="C40" s="47" t="s">
        <v>875</v>
      </c>
      <c r="D40" s="48" t="s">
        <v>437</v>
      </c>
      <c r="E40" s="49">
        <v>43095</v>
      </c>
      <c r="F40" s="49">
        <v>45652</v>
      </c>
      <c r="G40" s="541">
        <v>7.0054794520547947</v>
      </c>
      <c r="H40" s="52" t="s">
        <v>873</v>
      </c>
      <c r="I40" s="53" t="s">
        <v>439</v>
      </c>
      <c r="J40" s="59">
        <v>3.7499999999999999E-2</v>
      </c>
      <c r="K40" s="127"/>
      <c r="L40" s="55">
        <v>9962165547</v>
      </c>
      <c r="M40" s="56">
        <v>9962.165546960643</v>
      </c>
      <c r="N40" s="57">
        <v>2902.3060588377693</v>
      </c>
    </row>
    <row r="41" spans="2:16">
      <c r="B41" s="652"/>
      <c r="C41" s="47" t="s">
        <v>870</v>
      </c>
      <c r="D41" s="48" t="s">
        <v>437</v>
      </c>
      <c r="E41" s="49">
        <v>43231</v>
      </c>
      <c r="F41" s="49">
        <v>47068</v>
      </c>
      <c r="G41" s="541">
        <v>10.512328767123288</v>
      </c>
      <c r="H41" s="52" t="s">
        <v>871</v>
      </c>
      <c r="I41" s="53" t="s">
        <v>439</v>
      </c>
      <c r="J41" s="59">
        <v>2.1999999999999999E-2</v>
      </c>
      <c r="K41" s="145"/>
      <c r="L41" s="55">
        <v>59466666666</v>
      </c>
      <c r="M41" s="56">
        <v>59466.666665765057</v>
      </c>
      <c r="N41" s="57">
        <v>17324.593347637307</v>
      </c>
    </row>
    <row r="42" spans="2:16">
      <c r="B42" s="652"/>
      <c r="C42" s="47" t="s">
        <v>870</v>
      </c>
      <c r="D42" s="48" t="s">
        <v>437</v>
      </c>
      <c r="E42" s="49">
        <v>43406</v>
      </c>
      <c r="F42" s="49">
        <v>47059</v>
      </c>
      <c r="G42" s="541">
        <v>10.008219178082191</v>
      </c>
      <c r="H42" s="52" t="s">
        <v>871</v>
      </c>
      <c r="I42" s="53" t="s">
        <v>439</v>
      </c>
      <c r="J42" s="59">
        <v>2.1999999999999999E-2</v>
      </c>
      <c r="K42" s="127"/>
      <c r="L42" s="55">
        <v>23000000000</v>
      </c>
      <c r="M42" s="56">
        <v>22999.999999909134</v>
      </c>
      <c r="N42" s="57">
        <v>6700.6554988810303</v>
      </c>
    </row>
    <row r="43" spans="2:16">
      <c r="B43" s="652"/>
      <c r="C43" s="47" t="s">
        <v>870</v>
      </c>
      <c r="D43" s="48" t="s">
        <v>437</v>
      </c>
      <c r="E43" s="49">
        <v>43515</v>
      </c>
      <c r="F43" s="49">
        <v>47168</v>
      </c>
      <c r="G43" s="541">
        <v>10.008219178082191</v>
      </c>
      <c r="H43" s="52" t="s">
        <v>871</v>
      </c>
      <c r="I43" s="53" t="s">
        <v>439</v>
      </c>
      <c r="J43" s="59">
        <v>2.1999999999999999E-2</v>
      </c>
      <c r="K43" s="145"/>
      <c r="L43" s="55">
        <v>5530000000</v>
      </c>
      <c r="M43" s="56">
        <v>5529.9999999781521</v>
      </c>
      <c r="N43" s="57">
        <v>1611.0706482092214</v>
      </c>
      <c r="P43" s="68"/>
    </row>
    <row r="44" spans="2:16">
      <c r="B44" s="652"/>
      <c r="C44" s="47" t="s">
        <v>876</v>
      </c>
      <c r="D44" s="48" t="s">
        <v>437</v>
      </c>
      <c r="E44" s="49">
        <v>43535</v>
      </c>
      <c r="F44" s="49">
        <v>43901</v>
      </c>
      <c r="G44" s="541">
        <v>1.0027397260273974</v>
      </c>
      <c r="H44" s="52" t="s">
        <v>873</v>
      </c>
      <c r="I44" s="53" t="s">
        <v>439</v>
      </c>
      <c r="J44" s="59">
        <v>2.3E-2</v>
      </c>
      <c r="K44" s="127"/>
      <c r="L44" s="55">
        <v>0</v>
      </c>
      <c r="M44" s="56">
        <v>0</v>
      </c>
      <c r="N44" s="57">
        <v>0</v>
      </c>
    </row>
    <row r="45" spans="2:16">
      <c r="B45" s="652"/>
      <c r="C45" s="47" t="s">
        <v>877</v>
      </c>
      <c r="D45" s="48" t="s">
        <v>437</v>
      </c>
      <c r="E45" s="49">
        <v>43608</v>
      </c>
      <c r="F45" s="49">
        <v>47261</v>
      </c>
      <c r="G45" s="541">
        <v>10.008219178082191</v>
      </c>
      <c r="H45" s="52" t="s">
        <v>871</v>
      </c>
      <c r="I45" s="53" t="s">
        <v>439</v>
      </c>
      <c r="J45" s="59">
        <v>3.3000000000000002E-2</v>
      </c>
      <c r="K45" s="145"/>
      <c r="L45" s="57">
        <v>9000000000</v>
      </c>
      <c r="M45" s="56">
        <v>8999.9999999644442</v>
      </c>
      <c r="N45" s="57">
        <v>2621.9956299969249</v>
      </c>
    </row>
    <row r="46" spans="2:16">
      <c r="B46" s="652"/>
      <c r="C46" s="47" t="s">
        <v>877</v>
      </c>
      <c r="D46" s="48" t="s">
        <v>437</v>
      </c>
      <c r="E46" s="49">
        <v>43678</v>
      </c>
      <c r="F46" s="49">
        <v>47261</v>
      </c>
      <c r="G46" s="541">
        <v>9.8164383561643831</v>
      </c>
      <c r="H46" s="52" t="s">
        <v>871</v>
      </c>
      <c r="I46" s="53" t="s">
        <v>439</v>
      </c>
      <c r="J46" s="59">
        <v>3.3000000000000002E-2</v>
      </c>
      <c r="K46" s="127"/>
      <c r="L46" s="55">
        <v>9000000000</v>
      </c>
      <c r="M46" s="56">
        <v>8999.9999999644442</v>
      </c>
      <c r="N46" s="57">
        <v>2621.9956299969249</v>
      </c>
    </row>
    <row r="47" spans="2:16">
      <c r="B47" s="652"/>
      <c r="C47" s="47" t="s">
        <v>878</v>
      </c>
      <c r="D47" s="48" t="s">
        <v>437</v>
      </c>
      <c r="E47" s="49">
        <v>43770</v>
      </c>
      <c r="F47" s="49">
        <v>44013</v>
      </c>
      <c r="G47" s="541">
        <v>0.66575342465753429</v>
      </c>
      <c r="H47" s="69" t="s">
        <v>450</v>
      </c>
      <c r="I47" s="513">
        <v>0</v>
      </c>
      <c r="J47" s="54">
        <v>5.5E-2</v>
      </c>
      <c r="K47" s="145"/>
      <c r="L47" s="55">
        <v>0</v>
      </c>
      <c r="M47" s="56">
        <v>0</v>
      </c>
      <c r="N47" s="57">
        <v>0</v>
      </c>
    </row>
    <row r="48" spans="2:16">
      <c r="B48" s="652"/>
      <c r="C48" s="47" t="s">
        <v>870</v>
      </c>
      <c r="D48" s="48" t="s">
        <v>437</v>
      </c>
      <c r="E48" s="49">
        <v>43798</v>
      </c>
      <c r="F48" s="49">
        <v>44164</v>
      </c>
      <c r="G48" s="541">
        <v>1.0027397260273974</v>
      </c>
      <c r="H48" s="52" t="s">
        <v>873</v>
      </c>
      <c r="I48" s="53" t="s">
        <v>439</v>
      </c>
      <c r="J48" s="59">
        <v>1.7299999999999999E-2</v>
      </c>
      <c r="K48" s="127"/>
      <c r="L48" s="55">
        <v>0</v>
      </c>
      <c r="M48" s="56">
        <v>0</v>
      </c>
      <c r="N48" s="57">
        <v>0</v>
      </c>
    </row>
    <row r="49" spans="2:14">
      <c r="B49" s="652"/>
      <c r="C49" s="47" t="s">
        <v>876</v>
      </c>
      <c r="D49" s="48" t="s">
        <v>437</v>
      </c>
      <c r="E49" s="49">
        <v>43902</v>
      </c>
      <c r="F49" s="49">
        <v>44267</v>
      </c>
      <c r="G49" s="541">
        <v>1</v>
      </c>
      <c r="H49" s="52" t="s">
        <v>873</v>
      </c>
      <c r="I49" s="53" t="s">
        <v>439</v>
      </c>
      <c r="J49" s="59">
        <v>2.4500000000000001E-2</v>
      </c>
      <c r="K49" s="145"/>
      <c r="L49" s="55">
        <v>3500000000</v>
      </c>
      <c r="M49" s="56">
        <v>3499.9999999861725</v>
      </c>
      <c r="N49" s="57">
        <v>1019.6649672210262</v>
      </c>
    </row>
    <row r="50" spans="2:14">
      <c r="B50" s="652"/>
      <c r="C50" s="47" t="s">
        <v>870</v>
      </c>
      <c r="D50" s="48" t="s">
        <v>437</v>
      </c>
      <c r="E50" s="49">
        <v>43893</v>
      </c>
      <c r="F50" s="49">
        <v>44258</v>
      </c>
      <c r="G50" s="541">
        <v>1</v>
      </c>
      <c r="H50" s="52" t="s">
        <v>873</v>
      </c>
      <c r="I50" s="53" t="s">
        <v>439</v>
      </c>
      <c r="J50" s="59">
        <v>1.6500000000000001E-2</v>
      </c>
      <c r="K50" s="127"/>
      <c r="L50" s="55">
        <v>10000000000</v>
      </c>
      <c r="M50" s="56">
        <v>9999.9999999604934</v>
      </c>
      <c r="N50" s="57">
        <v>2913.3284777743611</v>
      </c>
    </row>
    <row r="51" spans="2:14">
      <c r="B51" s="652"/>
      <c r="C51" s="47" t="s">
        <v>877</v>
      </c>
      <c r="D51" s="48" t="s">
        <v>437</v>
      </c>
      <c r="E51" s="49">
        <v>43936</v>
      </c>
      <c r="F51" s="49">
        <v>47588</v>
      </c>
      <c r="G51" s="541">
        <v>10.005479452054795</v>
      </c>
      <c r="H51" s="52" t="s">
        <v>873</v>
      </c>
      <c r="I51" s="53" t="s">
        <v>439</v>
      </c>
      <c r="J51" s="59">
        <v>3.1899999999999998E-2</v>
      </c>
      <c r="K51" s="145"/>
      <c r="L51" s="55">
        <v>10000000000</v>
      </c>
      <c r="M51" s="56">
        <v>9999.9999999604934</v>
      </c>
      <c r="N51" s="57">
        <v>2913.3284777743611</v>
      </c>
    </row>
    <row r="52" spans="2:14">
      <c r="B52" s="652"/>
      <c r="C52" s="47" t="s">
        <v>875</v>
      </c>
      <c r="D52" s="48" t="s">
        <v>437</v>
      </c>
      <c r="E52" s="49">
        <v>43977</v>
      </c>
      <c r="F52" s="49">
        <v>46533</v>
      </c>
      <c r="G52" s="541">
        <v>7.0027397260273974</v>
      </c>
      <c r="H52" s="52" t="s">
        <v>873</v>
      </c>
      <c r="I52" s="53" t="s">
        <v>439</v>
      </c>
      <c r="J52" s="59">
        <v>4.8500000000000001E-2</v>
      </c>
      <c r="K52" s="127"/>
      <c r="L52" s="55">
        <v>12000000000</v>
      </c>
      <c r="M52" s="56">
        <v>11999.999999952592</v>
      </c>
      <c r="N52" s="57">
        <v>3495.9941733292326</v>
      </c>
    </row>
    <row r="53" spans="2:14">
      <c r="B53" s="653"/>
      <c r="C53" s="47" t="s">
        <v>869</v>
      </c>
      <c r="D53" s="48" t="s">
        <v>437</v>
      </c>
      <c r="E53" s="49">
        <v>44088</v>
      </c>
      <c r="F53" s="49">
        <v>47740</v>
      </c>
      <c r="G53" s="541">
        <v>10.005479452054795</v>
      </c>
      <c r="H53" s="52" t="s">
        <v>873</v>
      </c>
      <c r="I53" s="53" t="s">
        <v>439</v>
      </c>
      <c r="J53" s="59">
        <v>3.4500000000000003E-2</v>
      </c>
      <c r="K53" s="127"/>
      <c r="L53" s="55">
        <v>3800000000</v>
      </c>
      <c r="M53" s="56">
        <v>3799.999999984987</v>
      </c>
      <c r="N53" s="57">
        <v>1107.0648215542569</v>
      </c>
    </row>
    <row r="54" spans="2:14">
      <c r="B54" s="653"/>
      <c r="C54" s="47" t="s">
        <v>869</v>
      </c>
      <c r="D54" s="48" t="s">
        <v>437</v>
      </c>
      <c r="E54" s="49">
        <v>44160</v>
      </c>
      <c r="F54" s="49">
        <v>47812</v>
      </c>
      <c r="G54" s="541">
        <v>10.005479452054795</v>
      </c>
      <c r="H54" s="52" t="s">
        <v>873</v>
      </c>
      <c r="I54" s="53" t="s">
        <v>439</v>
      </c>
      <c r="J54" s="59">
        <v>3.4500000000000003E-2</v>
      </c>
      <c r="K54" s="127"/>
      <c r="L54" s="55">
        <v>8000000000</v>
      </c>
      <c r="M54" s="56">
        <v>7999.9999999683941</v>
      </c>
      <c r="N54" s="57">
        <v>2330.6627822194887</v>
      </c>
    </row>
    <row r="55" spans="2:14">
      <c r="B55" s="653"/>
      <c r="C55" s="47" t="s">
        <v>875</v>
      </c>
      <c r="D55" s="48" t="s">
        <v>437</v>
      </c>
      <c r="E55" s="49">
        <v>44186</v>
      </c>
      <c r="F55" s="49">
        <v>46533</v>
      </c>
      <c r="G55" s="541">
        <v>6.4301369863013695</v>
      </c>
      <c r="H55" s="52" t="s">
        <v>873</v>
      </c>
      <c r="I55" s="53" t="s">
        <v>439</v>
      </c>
      <c r="J55" s="59">
        <v>4.8500000000000001E-2</v>
      </c>
      <c r="K55" s="127"/>
      <c r="L55" s="55">
        <v>6000000000</v>
      </c>
      <c r="M55" s="56">
        <v>8199.9999999676038</v>
      </c>
      <c r="N55" s="57">
        <v>2388.9293517749757</v>
      </c>
    </row>
    <row r="56" spans="2:14">
      <c r="B56" s="652"/>
      <c r="C56" s="47" t="s">
        <v>869</v>
      </c>
      <c r="D56" s="48" t="s">
        <v>437</v>
      </c>
      <c r="E56" s="49">
        <v>44183</v>
      </c>
      <c r="F56" s="49">
        <v>47740</v>
      </c>
      <c r="G56" s="541">
        <v>9.7452054794520553</v>
      </c>
      <c r="H56" s="52" t="s">
        <v>873</v>
      </c>
      <c r="I56" s="53" t="s">
        <v>439</v>
      </c>
      <c r="J56" s="59">
        <v>3.4500000000000003E-2</v>
      </c>
      <c r="K56" s="145"/>
      <c r="L56" s="55">
        <v>8200000000</v>
      </c>
      <c r="M56" s="56">
        <v>5999.9999999762958</v>
      </c>
      <c r="N56" s="57">
        <v>1747.9970866646163</v>
      </c>
    </row>
    <row r="57" spans="2:14" ht="15">
      <c r="B57" s="348"/>
      <c r="C57" s="64"/>
      <c r="D57" s="64"/>
      <c r="E57" s="65"/>
      <c r="F57" s="65"/>
      <c r="G57" s="66"/>
      <c r="H57" s="539"/>
      <c r="I57" s="67"/>
      <c r="J57" s="542"/>
      <c r="K57" s="127"/>
      <c r="L57" s="542"/>
      <c r="M57" s="61">
        <v>221479.267551</v>
      </c>
      <c r="N57" s="62">
        <v>64524.18573954844</v>
      </c>
    </row>
    <row r="58" spans="2:14" ht="4.5" customHeight="1">
      <c r="B58" s="330"/>
      <c r="C58" s="336"/>
      <c r="D58" s="336"/>
      <c r="E58" s="337"/>
      <c r="F58" s="337"/>
      <c r="G58" s="338"/>
      <c r="H58" s="339"/>
      <c r="I58" s="339"/>
      <c r="J58" s="339"/>
      <c r="K58" s="308"/>
      <c r="L58" s="339"/>
      <c r="M58" s="316"/>
      <c r="N58" s="316"/>
    </row>
    <row r="59" spans="2:14" ht="15.5" thickBot="1">
      <c r="B59" s="309" t="s">
        <v>414</v>
      </c>
      <c r="C59" s="309"/>
      <c r="D59" s="309"/>
      <c r="E59" s="309"/>
      <c r="F59" s="309"/>
      <c r="G59" s="309"/>
      <c r="H59" s="309"/>
      <c r="I59" s="310"/>
      <c r="J59" s="310"/>
      <c r="K59" s="311"/>
      <c r="L59" s="310"/>
      <c r="M59" s="312">
        <f>M63+M66+M71+M75</f>
        <v>902219.29471462499</v>
      </c>
      <c r="N59" s="313">
        <f>N63+N66+N71+N75</f>
        <v>262846.11645000003</v>
      </c>
    </row>
    <row r="60" spans="2:14" ht="4.5" customHeight="1" thickTop="1">
      <c r="B60" s="315"/>
      <c r="C60" s="307"/>
      <c r="D60" s="349"/>
      <c r="E60" s="307"/>
      <c r="F60" s="307"/>
      <c r="G60" s="307"/>
      <c r="H60" s="307"/>
      <c r="I60" s="307"/>
      <c r="J60" s="307"/>
      <c r="K60" s="308"/>
      <c r="L60" s="307"/>
      <c r="M60" s="316"/>
      <c r="N60" s="316"/>
    </row>
    <row r="61" spans="2:14">
      <c r="B61" s="654" t="s">
        <v>8</v>
      </c>
      <c r="C61" s="47" t="s">
        <v>862</v>
      </c>
      <c r="D61" s="70" t="s">
        <v>467</v>
      </c>
      <c r="E61" s="50">
        <v>43728</v>
      </c>
      <c r="F61" s="50">
        <v>45913</v>
      </c>
      <c r="G61" s="71">
        <v>5.9863013698630141</v>
      </c>
      <c r="H61" s="69" t="s">
        <v>450</v>
      </c>
      <c r="I61" s="513">
        <v>0</v>
      </c>
      <c r="J61" s="54">
        <v>3.1E-2</v>
      </c>
      <c r="K61" s="127"/>
      <c r="L61" s="55">
        <v>70000000</v>
      </c>
      <c r="M61" s="56">
        <v>240275</v>
      </c>
      <c r="N61" s="57">
        <v>70000</v>
      </c>
    </row>
    <row r="62" spans="2:14">
      <c r="B62" s="655"/>
      <c r="C62" s="47" t="s">
        <v>863</v>
      </c>
      <c r="D62" s="70" t="s">
        <v>467</v>
      </c>
      <c r="E62" s="50">
        <v>43920</v>
      </c>
      <c r="F62" s="50">
        <v>44280</v>
      </c>
      <c r="G62" s="71">
        <v>0.98630136986301364</v>
      </c>
      <c r="H62" s="69" t="s">
        <v>450</v>
      </c>
      <c r="I62" s="513">
        <v>0</v>
      </c>
      <c r="J62" s="54">
        <v>3.7499999999999999E-2</v>
      </c>
      <c r="K62" s="145"/>
      <c r="L62" s="55">
        <v>15000000</v>
      </c>
      <c r="M62" s="56">
        <v>51487.5</v>
      </c>
      <c r="N62" s="57">
        <v>15000</v>
      </c>
    </row>
    <row r="63" spans="2:14">
      <c r="B63" s="514"/>
      <c r="C63" s="64"/>
      <c r="D63" s="515"/>
      <c r="E63" s="65"/>
      <c r="F63" s="65"/>
      <c r="G63" s="72"/>
      <c r="H63" s="67"/>
      <c r="I63" s="67"/>
      <c r="J63" s="73"/>
      <c r="K63" s="127"/>
      <c r="L63" s="516"/>
      <c r="M63" s="61">
        <v>291762.5</v>
      </c>
      <c r="N63" s="62">
        <v>85000</v>
      </c>
    </row>
    <row r="64" spans="2:14" ht="4.5" customHeight="1">
      <c r="B64" s="45"/>
      <c r="C64" s="40"/>
      <c r="D64" s="517"/>
      <c r="E64" s="40"/>
      <c r="F64" s="40"/>
      <c r="G64" s="40"/>
      <c r="H64" s="40"/>
      <c r="I64" s="40"/>
      <c r="J64" s="40"/>
      <c r="K64" s="145"/>
      <c r="L64" s="518"/>
      <c r="M64" s="46"/>
      <c r="N64" s="46"/>
    </row>
    <row r="65" spans="2:17">
      <c r="B65" s="519" t="s">
        <v>415</v>
      </c>
      <c r="C65" s="47" t="s">
        <v>863</v>
      </c>
      <c r="D65" s="48" t="s">
        <v>467</v>
      </c>
      <c r="E65" s="49">
        <v>43923</v>
      </c>
      <c r="F65" s="49">
        <v>44281</v>
      </c>
      <c r="G65" s="51">
        <v>0.98082191780821915</v>
      </c>
      <c r="H65" s="52" t="s">
        <v>450</v>
      </c>
      <c r="I65" s="53">
        <v>0</v>
      </c>
      <c r="J65" s="54">
        <v>2.98E-2</v>
      </c>
      <c r="K65" s="127"/>
      <c r="L65" s="55">
        <v>0</v>
      </c>
      <c r="M65" s="56">
        <v>0</v>
      </c>
      <c r="N65" s="57">
        <v>0</v>
      </c>
    </row>
    <row r="66" spans="2:17">
      <c r="B66" s="63"/>
      <c r="C66" s="520"/>
      <c r="D66" s="521"/>
      <c r="E66" s="522"/>
      <c r="F66" s="522"/>
      <c r="G66" s="523"/>
      <c r="H66" s="524"/>
      <c r="I66" s="525"/>
      <c r="J66" s="526"/>
      <c r="K66" s="145"/>
      <c r="L66" s="527"/>
      <c r="M66" s="61">
        <v>0</v>
      </c>
      <c r="N66" s="62">
        <v>0</v>
      </c>
    </row>
    <row r="67" spans="2:17" s="128" customFormat="1" ht="4.5" customHeight="1">
      <c r="B67" s="45"/>
      <c r="C67" s="40"/>
      <c r="D67" s="517"/>
      <c r="E67" s="40"/>
      <c r="F67" s="40"/>
      <c r="G67" s="40"/>
      <c r="H67" s="40"/>
      <c r="I67" s="40"/>
      <c r="J67" s="40"/>
      <c r="K67" s="127"/>
      <c r="L67" s="518"/>
      <c r="M67" s="46"/>
      <c r="N67" s="46"/>
    </row>
    <row r="68" spans="2:17">
      <c r="B68" s="654" t="s">
        <v>416</v>
      </c>
      <c r="C68" s="47" t="s">
        <v>864</v>
      </c>
      <c r="D68" s="48" t="s">
        <v>467</v>
      </c>
      <c r="E68" s="49">
        <v>43816</v>
      </c>
      <c r="F68" s="49">
        <v>46016</v>
      </c>
      <c r="G68" s="51">
        <v>6.0273972602739727</v>
      </c>
      <c r="H68" s="52" t="s">
        <v>450</v>
      </c>
      <c r="I68" s="53">
        <v>0</v>
      </c>
      <c r="J68" s="54">
        <v>3.7999999999999999E-2</v>
      </c>
      <c r="K68" s="145"/>
      <c r="L68" s="55">
        <v>13349239</v>
      </c>
      <c r="M68" s="56">
        <v>45821.262955746774</v>
      </c>
      <c r="N68" s="57">
        <v>13349.239025709183</v>
      </c>
    </row>
    <row r="69" spans="2:17">
      <c r="B69" s="656"/>
      <c r="C69" s="47" t="s">
        <v>862</v>
      </c>
      <c r="D69" s="48" t="s">
        <v>467</v>
      </c>
      <c r="E69" s="49">
        <v>44109</v>
      </c>
      <c r="F69" s="49">
        <v>44291</v>
      </c>
      <c r="G69" s="51">
        <v>0.49863013698630138</v>
      </c>
      <c r="H69" s="52" t="s">
        <v>450</v>
      </c>
      <c r="I69" s="53">
        <v>0</v>
      </c>
      <c r="J69" s="54">
        <v>1.06E-2</v>
      </c>
      <c r="K69" s="127"/>
      <c r="L69" s="55">
        <v>0</v>
      </c>
      <c r="M69" s="56">
        <v>0</v>
      </c>
      <c r="N69" s="57">
        <v>0</v>
      </c>
    </row>
    <row r="70" spans="2:17">
      <c r="B70" s="655"/>
      <c r="C70" s="47" t="s">
        <v>862</v>
      </c>
      <c r="D70" s="48" t="s">
        <v>467</v>
      </c>
      <c r="E70" s="49">
        <v>44067</v>
      </c>
      <c r="F70" s="49">
        <v>44797</v>
      </c>
      <c r="G70" s="51">
        <v>2</v>
      </c>
      <c r="H70" s="69" t="s">
        <v>865</v>
      </c>
      <c r="I70" s="53" t="s">
        <v>439</v>
      </c>
      <c r="J70" s="59">
        <v>1.2500000000000001E-2</v>
      </c>
      <c r="K70" s="145"/>
      <c r="L70" s="55">
        <v>158000000</v>
      </c>
      <c r="M70" s="56">
        <v>542335.00104447827</v>
      </c>
      <c r="N70" s="57">
        <v>158000.00030429085</v>
      </c>
    </row>
    <row r="71" spans="2:17">
      <c r="B71" s="63"/>
      <c r="C71" s="520"/>
      <c r="D71" s="521"/>
      <c r="E71" s="522"/>
      <c r="F71" s="522"/>
      <c r="G71" s="523"/>
      <c r="H71" s="524"/>
      <c r="I71" s="525"/>
      <c r="J71" s="526"/>
      <c r="K71" s="127"/>
      <c r="L71" s="527"/>
      <c r="M71" s="61">
        <v>588156.264000225</v>
      </c>
      <c r="N71" s="62">
        <v>171349.23933000004</v>
      </c>
    </row>
    <row r="72" spans="2:17" ht="4.5" customHeight="1">
      <c r="C72" s="520"/>
      <c r="D72" s="521"/>
      <c r="E72" s="522"/>
      <c r="F72" s="522"/>
      <c r="G72" s="523"/>
      <c r="H72" s="524"/>
      <c r="I72" s="525"/>
      <c r="J72" s="526"/>
      <c r="K72" s="145"/>
      <c r="L72" s="527"/>
      <c r="M72" s="46"/>
      <c r="N72" s="46"/>
    </row>
    <row r="73" spans="2:17">
      <c r="B73" s="654" t="s">
        <v>417</v>
      </c>
      <c r="C73" s="47" t="s">
        <v>864</v>
      </c>
      <c r="D73" s="48" t="s">
        <v>467</v>
      </c>
      <c r="E73" s="49">
        <v>42405</v>
      </c>
      <c r="F73" s="49">
        <v>45501</v>
      </c>
      <c r="G73" s="51">
        <v>8.4821917808219176</v>
      </c>
      <c r="H73" s="52" t="s">
        <v>866</v>
      </c>
      <c r="I73" s="53" t="s">
        <v>439</v>
      </c>
      <c r="J73" s="59">
        <v>3.2199999999999999E-2</v>
      </c>
      <c r="K73" s="127"/>
      <c r="L73" s="55">
        <v>4533333.333333333</v>
      </c>
      <c r="M73" s="56">
        <v>15556.771092219549</v>
      </c>
      <c r="N73" s="57">
        <v>4532.1984245359208</v>
      </c>
      <c r="P73" s="74"/>
      <c r="Q73" s="75"/>
    </row>
    <row r="74" spans="2:17">
      <c r="B74" s="655"/>
      <c r="C74" s="47" t="s">
        <v>864</v>
      </c>
      <c r="D74" s="48" t="s">
        <v>470</v>
      </c>
      <c r="E74" s="49">
        <v>43959</v>
      </c>
      <c r="F74" s="49">
        <v>45054</v>
      </c>
      <c r="G74" s="51">
        <v>3</v>
      </c>
      <c r="H74" s="52" t="s">
        <v>450</v>
      </c>
      <c r="I74" s="53">
        <v>0</v>
      </c>
      <c r="J74" s="59">
        <v>9.7999999999999997E-3</v>
      </c>
      <c r="K74" s="145"/>
      <c r="L74" s="55">
        <v>7115883</v>
      </c>
      <c r="M74" s="56">
        <v>6743.7596221804506</v>
      </c>
      <c r="N74" s="57">
        <v>1964.6786954640788</v>
      </c>
      <c r="P74" s="74"/>
      <c r="Q74" s="75"/>
    </row>
    <row r="75" spans="2:17">
      <c r="B75" s="514"/>
      <c r="C75" s="64"/>
      <c r="D75" s="528"/>
      <c r="E75" s="65"/>
      <c r="F75" s="65"/>
      <c r="G75" s="66"/>
      <c r="H75" s="67"/>
      <c r="I75" s="67"/>
      <c r="J75" s="67"/>
      <c r="K75" s="127"/>
      <c r="L75" s="67"/>
      <c r="M75" s="61">
        <v>22300.5307144</v>
      </c>
      <c r="N75" s="62">
        <v>6496.8771199999992</v>
      </c>
      <c r="Q75" s="75"/>
    </row>
    <row r="76" spans="2:17" ht="4.5" customHeight="1">
      <c r="B76" s="356"/>
      <c r="C76" s="336"/>
      <c r="D76" s="355"/>
      <c r="E76" s="337"/>
      <c r="F76" s="337"/>
      <c r="G76" s="338"/>
      <c r="H76" s="339"/>
      <c r="I76" s="339"/>
      <c r="J76" s="339"/>
      <c r="K76" s="308"/>
      <c r="L76" s="339"/>
      <c r="M76" s="316"/>
      <c r="N76" s="316"/>
    </row>
    <row r="77" spans="2:17" ht="15.5" thickBot="1">
      <c r="B77" s="309" t="s">
        <v>418</v>
      </c>
      <c r="C77" s="309"/>
      <c r="D77" s="309"/>
      <c r="E77" s="309"/>
      <c r="F77" s="309"/>
      <c r="G77" s="309"/>
      <c r="H77" s="309"/>
      <c r="I77" s="310"/>
      <c r="J77" s="310"/>
      <c r="K77" s="311"/>
      <c r="L77" s="310"/>
      <c r="M77" s="312">
        <f>M89+M92+M98+M102+M105+M111+M126</f>
        <v>946567.52959872561</v>
      </c>
      <c r="N77" s="313">
        <f>N89+N92+N98+N102+N105+N111+N126</f>
        <v>275766.21401273872</v>
      </c>
    </row>
    <row r="78" spans="2:17" ht="4.5" customHeight="1" thickTop="1">
      <c r="B78" s="315"/>
      <c r="C78" s="307"/>
      <c r="D78" s="349"/>
      <c r="E78" s="307"/>
      <c r="F78" s="307"/>
      <c r="G78" s="307"/>
      <c r="H78" s="307"/>
      <c r="I78" s="307"/>
      <c r="J78" s="307"/>
      <c r="K78" s="308"/>
      <c r="L78" s="307"/>
      <c r="M78" s="357"/>
      <c r="N78" s="357"/>
    </row>
    <row r="79" spans="2:17" ht="15">
      <c r="B79" s="657" t="s">
        <v>419</v>
      </c>
      <c r="C79" s="358" t="s">
        <v>879</v>
      </c>
      <c r="D79" s="358" t="s">
        <v>477</v>
      </c>
      <c r="E79" s="319">
        <v>32881</v>
      </c>
      <c r="F79" s="319">
        <v>44515</v>
      </c>
      <c r="G79" s="321">
        <v>31.873972602739727</v>
      </c>
      <c r="H79" s="346" t="s">
        <v>450</v>
      </c>
      <c r="I79" s="323">
        <v>0</v>
      </c>
      <c r="J79" s="328">
        <v>0.08</v>
      </c>
      <c r="K79" s="311"/>
      <c r="L79" s="325">
        <v>15968.810000000005</v>
      </c>
      <c r="M79" s="326">
        <v>10.547643757215559</v>
      </c>
      <c r="N79" s="327">
        <v>3.0728750931436442</v>
      </c>
      <c r="O79" s="68"/>
    </row>
    <row r="80" spans="2:17" ht="15">
      <c r="B80" s="658"/>
      <c r="C80" s="358" t="s">
        <v>880</v>
      </c>
      <c r="D80" s="358" t="s">
        <v>477</v>
      </c>
      <c r="E80" s="319">
        <v>41668</v>
      </c>
      <c r="F80" s="319">
        <v>47192</v>
      </c>
      <c r="G80" s="321">
        <v>15.134246575342466</v>
      </c>
      <c r="H80" s="322" t="s">
        <v>881</v>
      </c>
      <c r="I80" s="323" t="s">
        <v>439</v>
      </c>
      <c r="J80" s="328">
        <v>1.7999999999999999E-2</v>
      </c>
      <c r="K80" s="308"/>
      <c r="L80" s="325">
        <v>158471786.84222543</v>
      </c>
      <c r="M80" s="326">
        <v>104673.04408914587</v>
      </c>
      <c r="N80" s="327">
        <v>30494.696020144464</v>
      </c>
      <c r="O80" s="68"/>
    </row>
    <row r="81" spans="2:15" ht="15">
      <c r="B81" s="658"/>
      <c r="C81" s="358" t="s">
        <v>882</v>
      </c>
      <c r="D81" s="358" t="s">
        <v>477</v>
      </c>
      <c r="E81" s="319">
        <v>41668</v>
      </c>
      <c r="F81" s="319">
        <v>45306</v>
      </c>
      <c r="G81" s="321">
        <v>9.9671232876712335</v>
      </c>
      <c r="H81" s="346" t="s">
        <v>450</v>
      </c>
      <c r="I81" s="323">
        <v>0</v>
      </c>
      <c r="J81" s="328">
        <v>3.5000000000000003E-2</v>
      </c>
      <c r="K81" s="311"/>
      <c r="L81" s="359">
        <v>31484156.54892043</v>
      </c>
      <c r="M81" s="326">
        <v>20795.767954808012</v>
      </c>
      <c r="N81" s="327">
        <v>6058.4903000169006</v>
      </c>
      <c r="O81" s="68"/>
    </row>
    <row r="82" spans="2:15" ht="15">
      <c r="B82" s="658"/>
      <c r="C82" s="358" t="s">
        <v>883</v>
      </c>
      <c r="D82" s="358" t="s">
        <v>477</v>
      </c>
      <c r="E82" s="319">
        <v>41668</v>
      </c>
      <c r="F82" s="319">
        <v>47192</v>
      </c>
      <c r="G82" s="321">
        <v>15.134246575342466</v>
      </c>
      <c r="H82" s="346" t="s">
        <v>881</v>
      </c>
      <c r="I82" s="323" t="s">
        <v>439</v>
      </c>
      <c r="J82" s="328">
        <v>0</v>
      </c>
      <c r="K82" s="308"/>
      <c r="L82" s="325">
        <v>1317764.1248847926</v>
      </c>
      <c r="M82" s="326">
        <v>870.40340171394735</v>
      </c>
      <c r="N82" s="327">
        <v>253.57710173749376</v>
      </c>
      <c r="O82" s="68"/>
    </row>
    <row r="83" spans="2:15" ht="15">
      <c r="B83" s="658"/>
      <c r="C83" s="358" t="s">
        <v>884</v>
      </c>
      <c r="D83" s="358" t="s">
        <v>467</v>
      </c>
      <c r="E83" s="319">
        <v>43301</v>
      </c>
      <c r="F83" s="319">
        <v>44032</v>
      </c>
      <c r="G83" s="321">
        <v>2.0027397260273974</v>
      </c>
      <c r="H83" s="346" t="s">
        <v>450</v>
      </c>
      <c r="I83" s="323">
        <v>0</v>
      </c>
      <c r="J83" s="328">
        <v>3.3415E-2</v>
      </c>
      <c r="K83" s="311"/>
      <c r="L83" s="327">
        <v>0</v>
      </c>
      <c r="M83" s="326">
        <v>0</v>
      </c>
      <c r="N83" s="327">
        <v>0</v>
      </c>
      <c r="O83" s="68"/>
    </row>
    <row r="84" spans="2:15" ht="15">
      <c r="B84" s="658"/>
      <c r="C84" s="358" t="s">
        <v>474</v>
      </c>
      <c r="D84" s="358" t="s">
        <v>467</v>
      </c>
      <c r="E84" s="319">
        <v>0</v>
      </c>
      <c r="F84" s="319">
        <v>0</v>
      </c>
      <c r="G84" s="321">
        <v>0</v>
      </c>
      <c r="H84" s="346" t="s">
        <v>865</v>
      </c>
      <c r="I84" s="347" t="s">
        <v>439</v>
      </c>
      <c r="J84" s="360">
        <v>0</v>
      </c>
      <c r="K84" s="308"/>
      <c r="L84" s="325">
        <v>0</v>
      </c>
      <c r="M84" s="326">
        <v>0</v>
      </c>
      <c r="N84" s="327">
        <v>0</v>
      </c>
      <c r="O84" s="68"/>
    </row>
    <row r="85" spans="2:15" ht="15">
      <c r="B85" s="658"/>
      <c r="C85" s="358" t="s">
        <v>885</v>
      </c>
      <c r="D85" s="358" t="s">
        <v>467</v>
      </c>
      <c r="E85" s="319">
        <v>43336</v>
      </c>
      <c r="F85" s="319">
        <v>44067</v>
      </c>
      <c r="G85" s="321">
        <v>2.0027397260273974</v>
      </c>
      <c r="H85" s="346" t="s">
        <v>865</v>
      </c>
      <c r="I85" s="347" t="s">
        <v>439</v>
      </c>
      <c r="J85" s="328">
        <v>4.7000000000000002E-3</v>
      </c>
      <c r="K85" s="311"/>
      <c r="L85" s="327">
        <v>0</v>
      </c>
      <c r="M85" s="326">
        <v>0</v>
      </c>
      <c r="N85" s="327">
        <v>0</v>
      </c>
      <c r="O85" s="68"/>
    </row>
    <row r="86" spans="2:15" ht="15">
      <c r="B86" s="658"/>
      <c r="C86" s="358" t="s">
        <v>886</v>
      </c>
      <c r="D86" s="358" t="s">
        <v>477</v>
      </c>
      <c r="E86" s="319">
        <v>42955</v>
      </c>
      <c r="F86" s="319">
        <v>48288</v>
      </c>
      <c r="G86" s="321">
        <v>14.610958904109589</v>
      </c>
      <c r="H86" s="346" t="s">
        <v>881</v>
      </c>
      <c r="I86" s="323" t="s">
        <v>439</v>
      </c>
      <c r="J86" s="328">
        <v>2.6200000000000001E-2</v>
      </c>
      <c r="K86" s="308"/>
      <c r="L86" s="325">
        <v>219104613.18938795</v>
      </c>
      <c r="M86" s="326">
        <v>144721.95520418719</v>
      </c>
      <c r="N86" s="327">
        <v>42162.259345720959</v>
      </c>
      <c r="O86" s="68"/>
    </row>
    <row r="87" spans="2:15" ht="15">
      <c r="B87" s="658"/>
      <c r="C87" s="358" t="s">
        <v>887</v>
      </c>
      <c r="D87" s="358" t="s">
        <v>477</v>
      </c>
      <c r="E87" s="319">
        <v>43950</v>
      </c>
      <c r="F87" s="319">
        <v>48288</v>
      </c>
      <c r="G87" s="321">
        <v>11.884931506849314</v>
      </c>
      <c r="H87" s="346" t="s">
        <v>881</v>
      </c>
      <c r="I87" s="323" t="s">
        <v>439</v>
      </c>
      <c r="J87" s="328">
        <v>0</v>
      </c>
      <c r="K87" s="311"/>
      <c r="L87" s="325">
        <v>1300984.7946495223</v>
      </c>
      <c r="M87" s="326">
        <v>859.32039691858029</v>
      </c>
      <c r="N87" s="327">
        <v>250.34825838851577</v>
      </c>
      <c r="O87" s="68"/>
    </row>
    <row r="88" spans="2:15" ht="15">
      <c r="B88" s="659"/>
      <c r="C88" s="358" t="s">
        <v>888</v>
      </c>
      <c r="D88" s="358" t="s">
        <v>477</v>
      </c>
      <c r="E88" s="319">
        <v>43951</v>
      </c>
      <c r="F88" s="319">
        <v>44671</v>
      </c>
      <c r="G88" s="321">
        <v>1.9726027397260273</v>
      </c>
      <c r="H88" s="346" t="s">
        <v>481</v>
      </c>
      <c r="I88" s="323" t="s">
        <v>439</v>
      </c>
      <c r="J88" s="328">
        <v>2.4500000000000001E-2</v>
      </c>
      <c r="K88" s="308"/>
      <c r="L88" s="325">
        <v>650000000</v>
      </c>
      <c r="M88" s="326">
        <v>429334.96247936506</v>
      </c>
      <c r="N88" s="327">
        <v>125079.37727002625</v>
      </c>
      <c r="O88" s="68"/>
    </row>
    <row r="89" spans="2:15" ht="15">
      <c r="B89" s="330"/>
      <c r="C89" s="336"/>
      <c r="D89" s="342"/>
      <c r="E89" s="337"/>
      <c r="F89" s="337"/>
      <c r="G89" s="352"/>
      <c r="H89" s="339"/>
      <c r="I89" s="339"/>
      <c r="J89" s="353"/>
      <c r="K89" s="311"/>
      <c r="L89" s="354"/>
      <c r="M89" s="334">
        <v>701266.00116989587</v>
      </c>
      <c r="N89" s="335">
        <v>204301.82117112773</v>
      </c>
    </row>
    <row r="90" spans="2:15" ht="4.5" customHeight="1">
      <c r="B90" s="330"/>
      <c r="C90" s="336"/>
      <c r="D90" s="342"/>
      <c r="E90" s="337"/>
      <c r="F90" s="337"/>
      <c r="G90" s="352"/>
      <c r="H90" s="339"/>
      <c r="I90" s="339"/>
      <c r="J90" s="353"/>
      <c r="K90" s="308"/>
      <c r="L90" s="354"/>
      <c r="M90" s="316"/>
      <c r="N90" s="316"/>
    </row>
    <row r="91" spans="2:15" ht="15">
      <c r="B91" s="361" t="s">
        <v>420</v>
      </c>
      <c r="C91" s="358" t="s">
        <v>889</v>
      </c>
      <c r="D91" s="358" t="s">
        <v>477</v>
      </c>
      <c r="E91" s="319">
        <v>39899</v>
      </c>
      <c r="F91" s="319">
        <v>45031</v>
      </c>
      <c r="G91" s="321">
        <v>14.06027397260274</v>
      </c>
      <c r="H91" s="322" t="s">
        <v>881</v>
      </c>
      <c r="I91" s="323" t="s">
        <v>439</v>
      </c>
      <c r="J91" s="328">
        <v>2.3900000000000001E-2</v>
      </c>
      <c r="K91" s="311"/>
      <c r="L91" s="325">
        <v>11806405.829999898</v>
      </c>
      <c r="M91" s="326">
        <v>7798.3120079040491</v>
      </c>
      <c r="N91" s="327">
        <v>2271.9044451286377</v>
      </c>
    </row>
    <row r="92" spans="2:15" ht="15">
      <c r="B92" s="330"/>
      <c r="C92" s="336"/>
      <c r="D92" s="342"/>
      <c r="E92" s="337"/>
      <c r="F92" s="337"/>
      <c r="G92" s="352"/>
      <c r="H92" s="339"/>
      <c r="I92" s="339"/>
      <c r="J92" s="353"/>
      <c r="K92" s="308"/>
      <c r="L92" s="354"/>
      <c r="M92" s="334">
        <v>7798.3120079040491</v>
      </c>
      <c r="N92" s="335">
        <v>2271.9044451286377</v>
      </c>
    </row>
    <row r="93" spans="2:15" ht="4.5" customHeight="1">
      <c r="B93" s="330"/>
      <c r="C93" s="336"/>
      <c r="D93" s="342"/>
      <c r="E93" s="337"/>
      <c r="F93" s="337"/>
      <c r="G93" s="352"/>
      <c r="H93" s="339"/>
      <c r="I93" s="339"/>
      <c r="J93" s="353"/>
      <c r="K93" s="311"/>
      <c r="L93" s="354"/>
      <c r="M93" s="316"/>
      <c r="N93" s="316"/>
    </row>
    <row r="94" spans="2:15" ht="15">
      <c r="B94" s="650" t="s">
        <v>421</v>
      </c>
      <c r="C94" s="317" t="s">
        <v>890</v>
      </c>
      <c r="D94" s="358" t="s">
        <v>477</v>
      </c>
      <c r="E94" s="320">
        <v>40571</v>
      </c>
      <c r="F94" s="320">
        <v>44211</v>
      </c>
      <c r="G94" s="321">
        <v>9.9726027397260282</v>
      </c>
      <c r="H94" s="346" t="s">
        <v>450</v>
      </c>
      <c r="I94" s="323">
        <v>0</v>
      </c>
      <c r="J94" s="328">
        <v>5.5E-2</v>
      </c>
      <c r="K94" s="308"/>
      <c r="L94" s="325">
        <v>758920.74416668806</v>
      </c>
      <c r="M94" s="326">
        <v>501.27878345013863</v>
      </c>
      <c r="N94" s="327">
        <v>146.03897551351452</v>
      </c>
    </row>
    <row r="95" spans="2:15" ht="15">
      <c r="B95" s="650"/>
      <c r="C95" s="317" t="s">
        <v>889</v>
      </c>
      <c r="D95" s="358" t="s">
        <v>477</v>
      </c>
      <c r="E95" s="320">
        <v>40571</v>
      </c>
      <c r="F95" s="320">
        <v>46157</v>
      </c>
      <c r="G95" s="321">
        <v>15.304109589041095</v>
      </c>
      <c r="H95" s="322" t="s">
        <v>881</v>
      </c>
      <c r="I95" s="323" t="s">
        <v>439</v>
      </c>
      <c r="J95" s="328">
        <v>2.6200000000000001E-2</v>
      </c>
      <c r="K95" s="311"/>
      <c r="L95" s="325">
        <v>17351654.065714322</v>
      </c>
      <c r="M95" s="326">
        <v>11461.033458058317</v>
      </c>
      <c r="N95" s="327">
        <v>3338.9755158217963</v>
      </c>
    </row>
    <row r="96" spans="2:15" ht="15">
      <c r="B96" s="650"/>
      <c r="C96" s="317" t="s">
        <v>890</v>
      </c>
      <c r="D96" s="358" t="s">
        <v>477</v>
      </c>
      <c r="E96" s="320">
        <v>41529</v>
      </c>
      <c r="F96" s="320">
        <v>45033</v>
      </c>
      <c r="G96" s="321">
        <v>9.6</v>
      </c>
      <c r="H96" s="346" t="s">
        <v>450</v>
      </c>
      <c r="I96" s="323">
        <v>0</v>
      </c>
      <c r="J96" s="328">
        <v>3.5000000000000003E-2</v>
      </c>
      <c r="K96" s="308"/>
      <c r="L96" s="325">
        <v>4160545.454545497</v>
      </c>
      <c r="M96" s="326">
        <v>2748.104041132251</v>
      </c>
      <c r="N96" s="327">
        <v>800.61297629490207</v>
      </c>
    </row>
    <row r="97" spans="2:14" ht="15">
      <c r="B97" s="650"/>
      <c r="C97" s="317" t="s">
        <v>889</v>
      </c>
      <c r="D97" s="358" t="s">
        <v>477</v>
      </c>
      <c r="E97" s="320">
        <v>41529</v>
      </c>
      <c r="F97" s="320">
        <v>46798</v>
      </c>
      <c r="G97" s="321">
        <v>14.435616438356165</v>
      </c>
      <c r="H97" s="322" t="s">
        <v>881</v>
      </c>
      <c r="I97" s="323" t="s">
        <v>439</v>
      </c>
      <c r="J97" s="324">
        <v>2.06E-2</v>
      </c>
      <c r="K97" s="311"/>
      <c r="L97" s="325">
        <v>3661398.8095238023</v>
      </c>
      <c r="M97" s="326">
        <v>2418.4100317078137</v>
      </c>
      <c r="N97" s="327">
        <v>704.56228163374033</v>
      </c>
    </row>
    <row r="98" spans="2:14" ht="15">
      <c r="B98" s="330"/>
      <c r="C98" s="336"/>
      <c r="D98" s="336"/>
      <c r="E98" s="337"/>
      <c r="F98" s="337"/>
      <c r="G98" s="338"/>
      <c r="H98" s="339"/>
      <c r="I98" s="339"/>
      <c r="J98" s="353"/>
      <c r="K98" s="308"/>
      <c r="L98" s="354"/>
      <c r="M98" s="334">
        <v>17128.826314348516</v>
      </c>
      <c r="N98" s="334">
        <v>4990.1897492639528</v>
      </c>
    </row>
    <row r="99" spans="2:14" ht="4.5" customHeight="1">
      <c r="B99" s="330"/>
      <c r="C99" s="336"/>
      <c r="D99" s="336"/>
      <c r="E99" s="337"/>
      <c r="F99" s="337"/>
      <c r="G99" s="338"/>
      <c r="H99" s="339"/>
      <c r="I99" s="339"/>
      <c r="J99" s="353"/>
      <c r="K99" s="311"/>
      <c r="L99" s="354"/>
      <c r="M99" s="316"/>
      <c r="N99" s="316"/>
    </row>
    <row r="100" spans="2:14" ht="15">
      <c r="B100" s="644" t="s">
        <v>422</v>
      </c>
      <c r="C100" s="358" t="s">
        <v>889</v>
      </c>
      <c r="D100" s="358" t="s">
        <v>477</v>
      </c>
      <c r="E100" s="320">
        <v>40865</v>
      </c>
      <c r="F100" s="320">
        <v>46157</v>
      </c>
      <c r="G100" s="321">
        <v>14.498630136986302</v>
      </c>
      <c r="H100" s="322" t="s">
        <v>881</v>
      </c>
      <c r="I100" s="323" t="s">
        <v>439</v>
      </c>
      <c r="J100" s="328">
        <v>1.95E-2</v>
      </c>
      <c r="K100" s="308"/>
      <c r="L100" s="325">
        <v>19364155.888571389</v>
      </c>
      <c r="M100" s="326">
        <v>12790.321758305965</v>
      </c>
      <c r="N100" s="327">
        <v>3726.2408618517015</v>
      </c>
    </row>
    <row r="101" spans="2:14" ht="15">
      <c r="B101" s="646"/>
      <c r="C101" s="358" t="s">
        <v>889</v>
      </c>
      <c r="D101" s="358" t="s">
        <v>477</v>
      </c>
      <c r="E101" s="320">
        <v>40865</v>
      </c>
      <c r="F101" s="320">
        <v>46157</v>
      </c>
      <c r="G101" s="321">
        <v>14.498630136986302</v>
      </c>
      <c r="H101" s="322" t="s">
        <v>881</v>
      </c>
      <c r="I101" s="323" t="s">
        <v>439</v>
      </c>
      <c r="J101" s="328">
        <v>1.55E-2</v>
      </c>
      <c r="K101" s="311"/>
      <c r="L101" s="325">
        <v>16762261.904761858</v>
      </c>
      <c r="M101" s="326">
        <v>11071.730902839574</v>
      </c>
      <c r="N101" s="327">
        <v>3225.5588937624398</v>
      </c>
    </row>
    <row r="102" spans="2:14" ht="15">
      <c r="B102" s="356"/>
      <c r="C102" s="336"/>
      <c r="D102" s="336"/>
      <c r="E102" s="337"/>
      <c r="F102" s="337"/>
      <c r="G102" s="338"/>
      <c r="H102" s="339"/>
      <c r="I102" s="339"/>
      <c r="J102" s="353"/>
      <c r="K102" s="308"/>
      <c r="L102" s="354"/>
      <c r="M102" s="334">
        <v>23862.052661145539</v>
      </c>
      <c r="N102" s="334">
        <v>6951.7997556141418</v>
      </c>
    </row>
    <row r="103" spans="2:14" ht="4.5" customHeight="1">
      <c r="B103" s="330"/>
      <c r="C103" s="336"/>
      <c r="D103" s="336"/>
      <c r="E103" s="337"/>
      <c r="F103" s="337"/>
      <c r="G103" s="338"/>
      <c r="H103" s="339"/>
      <c r="I103" s="339"/>
      <c r="J103" s="353"/>
      <c r="K103" s="311"/>
      <c r="L103" s="354"/>
      <c r="M103" s="316"/>
      <c r="N103" s="316"/>
    </row>
    <row r="104" spans="2:14" ht="15">
      <c r="B104" s="363" t="s">
        <v>423</v>
      </c>
      <c r="C104" s="358" t="s">
        <v>891</v>
      </c>
      <c r="D104" s="358" t="s">
        <v>477</v>
      </c>
      <c r="E104" s="319">
        <v>40317</v>
      </c>
      <c r="F104" s="319">
        <v>47622</v>
      </c>
      <c r="G104" s="321">
        <v>20.013698630136986</v>
      </c>
      <c r="H104" s="346" t="s">
        <v>450</v>
      </c>
      <c r="I104" s="323">
        <v>0</v>
      </c>
      <c r="J104" s="328">
        <v>8.5000000000000006E-2</v>
      </c>
      <c r="K104" s="308"/>
      <c r="L104" s="325">
        <v>147705500.73000014</v>
      </c>
      <c r="M104" s="326">
        <v>97561.747119465319</v>
      </c>
      <c r="N104" s="327">
        <v>28422.941622568193</v>
      </c>
    </row>
    <row r="105" spans="2:14" ht="15">
      <c r="B105" s="330"/>
      <c r="C105" s="336"/>
      <c r="D105" s="342"/>
      <c r="E105" s="337"/>
      <c r="F105" s="337"/>
      <c r="G105" s="352"/>
      <c r="H105" s="339"/>
      <c r="I105" s="339"/>
      <c r="J105" s="353"/>
      <c r="K105" s="311"/>
      <c r="L105" s="354"/>
      <c r="M105" s="334">
        <v>97561.747119465319</v>
      </c>
      <c r="N105" s="334">
        <v>28422.941622568193</v>
      </c>
    </row>
    <row r="106" spans="2:14" ht="4.5" customHeight="1">
      <c r="B106" s="330"/>
      <c r="C106" s="336"/>
      <c r="D106" s="336"/>
      <c r="E106" s="337"/>
      <c r="F106" s="337"/>
      <c r="G106" s="338"/>
      <c r="H106" s="339"/>
      <c r="I106" s="339"/>
      <c r="J106" s="353"/>
      <c r="K106" s="308"/>
      <c r="L106" s="354"/>
      <c r="M106" s="316"/>
      <c r="N106" s="316"/>
    </row>
    <row r="107" spans="2:14" ht="15">
      <c r="B107" s="644" t="s">
        <v>424</v>
      </c>
      <c r="C107" s="358" t="s">
        <v>892</v>
      </c>
      <c r="D107" s="358" t="s">
        <v>477</v>
      </c>
      <c r="E107" s="319">
        <v>40533</v>
      </c>
      <c r="F107" s="319">
        <v>45792</v>
      </c>
      <c r="G107" s="321">
        <v>14.408219178082192</v>
      </c>
      <c r="H107" s="322" t="s">
        <v>881</v>
      </c>
      <c r="I107" s="323" t="s">
        <v>439</v>
      </c>
      <c r="J107" s="328">
        <v>2.58E-2</v>
      </c>
      <c r="K107" s="311"/>
      <c r="L107" s="325">
        <v>5923725.1299999999</v>
      </c>
      <c r="M107" s="326">
        <v>3912.7112479420075</v>
      </c>
      <c r="N107" s="327">
        <v>1139.9013103982543</v>
      </c>
    </row>
    <row r="108" spans="2:14" ht="15">
      <c r="B108" s="645"/>
      <c r="C108" s="358" t="s">
        <v>892</v>
      </c>
      <c r="D108" s="358" t="s">
        <v>477</v>
      </c>
      <c r="E108" s="319">
        <v>40533</v>
      </c>
      <c r="F108" s="319">
        <v>44211</v>
      </c>
      <c r="G108" s="321">
        <v>10.076712328767123</v>
      </c>
      <c r="H108" s="346" t="s">
        <v>450</v>
      </c>
      <c r="I108" s="323">
        <v>0</v>
      </c>
      <c r="J108" s="328">
        <v>5.5E-2</v>
      </c>
      <c r="K108" s="308"/>
      <c r="L108" s="325">
        <v>2777087.32</v>
      </c>
      <c r="M108" s="326">
        <v>1834.3087423911456</v>
      </c>
      <c r="N108" s="327">
        <v>534.39438962597103</v>
      </c>
    </row>
    <row r="109" spans="2:14" ht="15">
      <c r="B109" s="645"/>
      <c r="C109" s="358" t="s">
        <v>892</v>
      </c>
      <c r="D109" s="358" t="s">
        <v>477</v>
      </c>
      <c r="E109" s="319">
        <v>41483</v>
      </c>
      <c r="F109" s="319">
        <v>46798</v>
      </c>
      <c r="G109" s="321">
        <v>14.561643835616438</v>
      </c>
      <c r="H109" s="322" t="s">
        <v>881</v>
      </c>
      <c r="I109" s="323" t="s">
        <v>439</v>
      </c>
      <c r="J109" s="328">
        <v>2.58E-2</v>
      </c>
      <c r="K109" s="311"/>
      <c r="L109" s="325">
        <v>3361561.88</v>
      </c>
      <c r="M109" s="326">
        <v>2220.363148168065</v>
      </c>
      <c r="N109" s="327">
        <v>646.86471905843109</v>
      </c>
    </row>
    <row r="110" spans="2:14" ht="15">
      <c r="B110" s="646"/>
      <c r="C110" s="358" t="s">
        <v>892</v>
      </c>
      <c r="D110" s="358" t="s">
        <v>477</v>
      </c>
      <c r="E110" s="319">
        <v>41483</v>
      </c>
      <c r="F110" s="319">
        <v>45031</v>
      </c>
      <c r="G110" s="321">
        <v>9.7205479452054799</v>
      </c>
      <c r="H110" s="346" t="s">
        <v>450</v>
      </c>
      <c r="I110" s="323">
        <v>0</v>
      </c>
      <c r="J110" s="328">
        <v>0.03</v>
      </c>
      <c r="K110" s="308"/>
      <c r="L110" s="325">
        <v>93086.11</v>
      </c>
      <c r="M110" s="326">
        <v>61.484802490180186</v>
      </c>
      <c r="N110" s="327">
        <v>17.912542604568152</v>
      </c>
    </row>
    <row r="111" spans="2:14" ht="15">
      <c r="B111" s="330"/>
      <c r="C111" s="336"/>
      <c r="D111" s="342"/>
      <c r="E111" s="337"/>
      <c r="F111" s="337"/>
      <c r="G111" s="352"/>
      <c r="H111" s="339"/>
      <c r="I111" s="339"/>
      <c r="J111" s="353"/>
      <c r="K111" s="311"/>
      <c r="L111" s="354"/>
      <c r="M111" s="334">
        <v>8028.8679409913984</v>
      </c>
      <c r="N111" s="334">
        <v>2339.0729616872245</v>
      </c>
    </row>
    <row r="112" spans="2:14" ht="4.5" customHeight="1">
      <c r="B112" s="330"/>
      <c r="C112" s="336"/>
      <c r="D112" s="336"/>
      <c r="E112" s="337"/>
      <c r="F112" s="337"/>
      <c r="G112" s="338"/>
      <c r="H112" s="339"/>
      <c r="I112" s="339"/>
      <c r="J112" s="353"/>
      <c r="K112" s="308"/>
      <c r="L112" s="354"/>
      <c r="M112" s="316"/>
      <c r="N112" s="316"/>
    </row>
    <row r="113" spans="2:16" ht="15">
      <c r="B113" s="651" t="s">
        <v>425</v>
      </c>
      <c r="C113" s="364" t="s">
        <v>893</v>
      </c>
      <c r="D113" s="365" t="s">
        <v>467</v>
      </c>
      <c r="E113" s="366">
        <v>41621</v>
      </c>
      <c r="F113" s="366">
        <v>44178</v>
      </c>
      <c r="G113" s="321">
        <v>7.0054794520547947</v>
      </c>
      <c r="H113" s="367" t="s">
        <v>866</v>
      </c>
      <c r="I113" s="368" t="s">
        <v>439</v>
      </c>
      <c r="J113" s="369">
        <v>3.5000000000000003E-2</v>
      </c>
      <c r="K113" s="311"/>
      <c r="L113" s="327">
        <v>0</v>
      </c>
      <c r="M113" s="326">
        <v>0</v>
      </c>
      <c r="N113" s="327">
        <v>0</v>
      </c>
      <c r="O113" s="74"/>
      <c r="P113" s="77"/>
    </row>
    <row r="114" spans="2:16" ht="15">
      <c r="B114" s="660"/>
      <c r="C114" s="364" t="s">
        <v>894</v>
      </c>
      <c r="D114" s="365" t="s">
        <v>477</v>
      </c>
      <c r="E114" s="366">
        <v>43637</v>
      </c>
      <c r="F114" s="366">
        <v>43913</v>
      </c>
      <c r="G114" s="321">
        <v>0.75616438356164384</v>
      </c>
      <c r="H114" s="367" t="s">
        <v>481</v>
      </c>
      <c r="I114" s="368" t="s">
        <v>439</v>
      </c>
      <c r="J114" s="369">
        <v>2.47E-2</v>
      </c>
      <c r="K114" s="308"/>
      <c r="L114" s="327">
        <v>0</v>
      </c>
      <c r="M114" s="326">
        <v>0</v>
      </c>
      <c r="N114" s="327">
        <v>0</v>
      </c>
      <c r="O114" s="74"/>
      <c r="P114" s="77"/>
    </row>
    <row r="115" spans="2:16" ht="15">
      <c r="B115" s="660"/>
      <c r="C115" s="364" t="s">
        <v>892</v>
      </c>
      <c r="D115" s="365" t="s">
        <v>477</v>
      </c>
      <c r="E115" s="366">
        <v>41927</v>
      </c>
      <c r="F115" s="366">
        <v>44058</v>
      </c>
      <c r="G115" s="321">
        <v>5.838356164383562</v>
      </c>
      <c r="H115" s="367" t="s">
        <v>450</v>
      </c>
      <c r="I115" s="368">
        <v>0</v>
      </c>
      <c r="J115" s="369">
        <v>0.06</v>
      </c>
      <c r="K115" s="311"/>
      <c r="L115" s="327">
        <v>0</v>
      </c>
      <c r="M115" s="326">
        <v>0</v>
      </c>
      <c r="N115" s="327">
        <v>0</v>
      </c>
      <c r="O115" s="74"/>
      <c r="P115" s="77"/>
    </row>
    <row r="116" spans="2:16" ht="15">
      <c r="B116" s="660"/>
      <c r="C116" s="364" t="s">
        <v>895</v>
      </c>
      <c r="D116" s="365" t="s">
        <v>477</v>
      </c>
      <c r="E116" s="366">
        <v>42695</v>
      </c>
      <c r="F116" s="366">
        <v>44599</v>
      </c>
      <c r="G116" s="321">
        <v>5.2164383561643834</v>
      </c>
      <c r="H116" s="367" t="s">
        <v>481</v>
      </c>
      <c r="I116" s="368" t="s">
        <v>439</v>
      </c>
      <c r="J116" s="369">
        <v>5.3999999999999999E-2</v>
      </c>
      <c r="K116" s="308"/>
      <c r="L116" s="327">
        <v>11100000</v>
      </c>
      <c r="M116" s="326">
        <v>7331.7201308167032</v>
      </c>
      <c r="N116" s="327">
        <v>2135.9709048264249</v>
      </c>
      <c r="O116" s="74"/>
      <c r="P116" s="77"/>
    </row>
    <row r="117" spans="2:16" ht="15">
      <c r="B117" s="660"/>
      <c r="C117" s="364" t="s">
        <v>896</v>
      </c>
      <c r="D117" s="365" t="s">
        <v>477</v>
      </c>
      <c r="E117" s="366">
        <v>43056</v>
      </c>
      <c r="F117" s="366">
        <v>44882</v>
      </c>
      <c r="G117" s="321">
        <v>5.0027397260273974</v>
      </c>
      <c r="H117" s="367" t="s">
        <v>481</v>
      </c>
      <c r="I117" s="368" t="s">
        <v>439</v>
      </c>
      <c r="J117" s="369">
        <v>1.7999999999999999E-2</v>
      </c>
      <c r="K117" s="311"/>
      <c r="L117" s="327">
        <v>20000000.040000021</v>
      </c>
      <c r="M117" s="326">
        <v>13210.306568432703</v>
      </c>
      <c r="N117" s="327">
        <v>3848.5962326096728</v>
      </c>
      <c r="O117" s="74"/>
      <c r="P117" s="77"/>
    </row>
    <row r="118" spans="2:16" ht="15">
      <c r="B118" s="660"/>
      <c r="C118" s="364" t="s">
        <v>897</v>
      </c>
      <c r="D118" s="365" t="s">
        <v>477</v>
      </c>
      <c r="E118" s="366">
        <v>43104</v>
      </c>
      <c r="F118" s="366">
        <v>44991</v>
      </c>
      <c r="G118" s="321">
        <v>5.1698630136986301</v>
      </c>
      <c r="H118" s="367" t="s">
        <v>481</v>
      </c>
      <c r="I118" s="368" t="s">
        <v>439</v>
      </c>
      <c r="J118" s="369">
        <v>3.9100000000000003E-2</v>
      </c>
      <c r="K118" s="308"/>
      <c r="L118" s="327">
        <v>5456234.836216216</v>
      </c>
      <c r="M118" s="326">
        <v>3603.9267375810628</v>
      </c>
      <c r="N118" s="327">
        <v>1049.9422396448836</v>
      </c>
      <c r="O118" s="74"/>
      <c r="P118" s="77"/>
    </row>
    <row r="119" spans="2:16" ht="15">
      <c r="B119" s="660"/>
      <c r="C119" s="364" t="s">
        <v>897</v>
      </c>
      <c r="D119" s="365" t="s">
        <v>477</v>
      </c>
      <c r="E119" s="366">
        <v>43276</v>
      </c>
      <c r="F119" s="366">
        <v>44991</v>
      </c>
      <c r="G119" s="321">
        <v>4.6986301369863011</v>
      </c>
      <c r="H119" s="367" t="s">
        <v>481</v>
      </c>
      <c r="I119" s="368" t="s">
        <v>439</v>
      </c>
      <c r="J119" s="369">
        <v>3.4099999999999998E-2</v>
      </c>
      <c r="K119" s="311"/>
      <c r="L119" s="327">
        <v>10945945.899999999</v>
      </c>
      <c r="M119" s="326">
        <v>7229.9650365640118</v>
      </c>
      <c r="N119" s="327">
        <v>2106.3263034418096</v>
      </c>
      <c r="O119" s="74"/>
      <c r="P119" s="77"/>
    </row>
    <row r="120" spans="2:16" s="154" customFormat="1" ht="15">
      <c r="B120" s="660"/>
      <c r="C120" s="370" t="s">
        <v>894</v>
      </c>
      <c r="D120" s="350" t="s">
        <v>477</v>
      </c>
      <c r="E120" s="320">
        <v>43537</v>
      </c>
      <c r="F120" s="320">
        <v>43913</v>
      </c>
      <c r="G120" s="351">
        <v>1.0301369863013699</v>
      </c>
      <c r="H120" s="346" t="s">
        <v>481</v>
      </c>
      <c r="I120" s="347" t="s">
        <v>439</v>
      </c>
      <c r="J120" s="324">
        <v>2.0299999999999999E-2</v>
      </c>
      <c r="K120" s="308"/>
      <c r="L120" s="325">
        <v>0</v>
      </c>
      <c r="M120" s="371">
        <v>0</v>
      </c>
      <c r="N120" s="325">
        <v>0</v>
      </c>
      <c r="O120" s="152"/>
      <c r="P120" s="153"/>
    </row>
    <row r="121" spans="2:16" ht="15">
      <c r="B121" s="660"/>
      <c r="C121" s="364" t="s">
        <v>896</v>
      </c>
      <c r="D121" s="365" t="s">
        <v>477</v>
      </c>
      <c r="E121" s="366">
        <v>43595</v>
      </c>
      <c r="F121" s="366">
        <v>45422</v>
      </c>
      <c r="G121" s="321">
        <v>5.0054794520547947</v>
      </c>
      <c r="H121" s="367" t="s">
        <v>481</v>
      </c>
      <c r="I121" s="368" t="s">
        <v>439</v>
      </c>
      <c r="J121" s="369">
        <v>2.5000000000000001E-2</v>
      </c>
      <c r="K121" s="311"/>
      <c r="L121" s="327">
        <v>15000000</v>
      </c>
      <c r="M121" s="326">
        <v>9907.7299065090592</v>
      </c>
      <c r="N121" s="327">
        <v>2886.4471686843581</v>
      </c>
      <c r="O121" s="74"/>
      <c r="P121" s="77"/>
    </row>
    <row r="122" spans="2:16" s="154" customFormat="1" ht="15" customHeight="1">
      <c r="B122" s="660"/>
      <c r="C122" s="370" t="s">
        <v>894</v>
      </c>
      <c r="D122" s="350" t="s">
        <v>477</v>
      </c>
      <c r="E122" s="320">
        <v>43896</v>
      </c>
      <c r="F122" s="320">
        <v>45516</v>
      </c>
      <c r="G122" s="351">
        <v>4.4383561643835616</v>
      </c>
      <c r="H122" s="346" t="s">
        <v>481</v>
      </c>
      <c r="I122" s="347" t="s">
        <v>439</v>
      </c>
      <c r="J122" s="324">
        <v>3.15E-2</v>
      </c>
      <c r="K122" s="308"/>
      <c r="L122" s="325">
        <v>31150525.609999999</v>
      </c>
      <c r="M122" s="371">
        <v>20575.399612644887</v>
      </c>
      <c r="N122" s="325">
        <v>5994.2897633342718</v>
      </c>
      <c r="O122" s="152"/>
      <c r="P122" s="153"/>
    </row>
    <row r="123" spans="2:16" s="154" customFormat="1" ht="15" customHeight="1">
      <c r="B123" s="660"/>
      <c r="C123" s="370" t="s">
        <v>898</v>
      </c>
      <c r="D123" s="350" t="s">
        <v>477</v>
      </c>
      <c r="E123" s="320">
        <v>43924</v>
      </c>
      <c r="F123" s="320">
        <v>44463</v>
      </c>
      <c r="G123" s="351">
        <v>1.4767123287671233</v>
      </c>
      <c r="H123" s="346" t="s">
        <v>481</v>
      </c>
      <c r="I123" s="347" t="s">
        <v>439</v>
      </c>
      <c r="J123" s="324">
        <v>4.7899999999999998E-2</v>
      </c>
      <c r="K123" s="308"/>
      <c r="L123" s="325">
        <v>30000000</v>
      </c>
      <c r="M123" s="371">
        <v>19815.459813018118</v>
      </c>
      <c r="N123" s="325">
        <v>5772.8943373687162</v>
      </c>
      <c r="O123" s="152"/>
      <c r="P123" s="153"/>
    </row>
    <row r="124" spans="2:16" s="154" customFormat="1" ht="15" customHeight="1">
      <c r="B124" s="660"/>
      <c r="C124" s="370" t="s">
        <v>971</v>
      </c>
      <c r="D124" s="350" t="s">
        <v>477</v>
      </c>
      <c r="E124" s="320">
        <v>44158</v>
      </c>
      <c r="F124" s="320">
        <v>45253</v>
      </c>
      <c r="G124" s="351">
        <v>3</v>
      </c>
      <c r="H124" s="346" t="s">
        <v>481</v>
      </c>
      <c r="I124" s="347" t="s">
        <v>439</v>
      </c>
      <c r="J124" s="324">
        <v>3.9E-2</v>
      </c>
      <c r="K124" s="308"/>
      <c r="L124" s="325">
        <v>6000000</v>
      </c>
      <c r="M124" s="371">
        <v>3963.0919626036225</v>
      </c>
      <c r="N124" s="325">
        <v>1154.578867473743</v>
      </c>
      <c r="O124" s="152"/>
      <c r="P124" s="153"/>
    </row>
    <row r="125" spans="2:16" s="154" customFormat="1" ht="15" customHeight="1">
      <c r="B125" s="661"/>
      <c r="C125" s="370" t="s">
        <v>972</v>
      </c>
      <c r="D125" s="350" t="s">
        <v>477</v>
      </c>
      <c r="E125" s="320">
        <v>44161</v>
      </c>
      <c r="F125" s="320">
        <v>45257</v>
      </c>
      <c r="G125" s="351">
        <v>3.0027397260273974</v>
      </c>
      <c r="H125" s="346" t="s">
        <v>481</v>
      </c>
      <c r="I125" s="347" t="s">
        <v>439</v>
      </c>
      <c r="J125" s="324">
        <v>3.1E-2</v>
      </c>
      <c r="K125" s="311"/>
      <c r="L125" s="325">
        <v>8000000</v>
      </c>
      <c r="M125" s="371">
        <v>5284.1226168048315</v>
      </c>
      <c r="N125" s="325">
        <v>1539.4384899649908</v>
      </c>
      <c r="O125" s="152"/>
      <c r="P125" s="153"/>
    </row>
    <row r="126" spans="2:16" ht="15">
      <c r="B126" s="348"/>
      <c r="C126" s="336"/>
      <c r="D126" s="342"/>
      <c r="E126" s="337"/>
      <c r="F126" s="337"/>
      <c r="G126" s="352"/>
      <c r="H126" s="339"/>
      <c r="I126" s="339"/>
      <c r="J126" s="353"/>
      <c r="K126" s="308"/>
      <c r="L126" s="354"/>
      <c r="M126" s="334">
        <v>90921.722384974986</v>
      </c>
      <c r="N126" s="334">
        <v>26488.48430734887</v>
      </c>
    </row>
    <row r="127" spans="2:16" ht="4.5" customHeight="1">
      <c r="B127" s="356"/>
      <c r="C127" s="336"/>
      <c r="D127" s="336"/>
      <c r="E127" s="337"/>
      <c r="F127" s="337"/>
      <c r="G127" s="338"/>
      <c r="H127" s="339"/>
      <c r="I127" s="339"/>
      <c r="J127" s="353"/>
      <c r="K127" s="311"/>
      <c r="L127" s="354"/>
      <c r="M127" s="362"/>
      <c r="N127" s="372"/>
    </row>
    <row r="128" spans="2:16" ht="15.5" thickBot="1">
      <c r="B128" s="309" t="s">
        <v>426</v>
      </c>
      <c r="C128" s="309"/>
      <c r="D128" s="309"/>
      <c r="E128" s="309"/>
      <c r="F128" s="309"/>
      <c r="G128" s="309"/>
      <c r="H128" s="309"/>
      <c r="I128" s="310"/>
      <c r="J128" s="310"/>
      <c r="K128" s="308"/>
      <c r="L128" s="310"/>
      <c r="M128" s="312">
        <f>+M134+M168+M178+M185+M188+M209</f>
        <v>4086699.8061480485</v>
      </c>
      <c r="N128" s="312">
        <f>+N134+N168+N178+N185+N188+N209</f>
        <v>1190589.892541311</v>
      </c>
    </row>
    <row r="129" spans="2:14" ht="15" customHeight="1" thickTop="1">
      <c r="B129" s="315"/>
      <c r="C129" s="307"/>
      <c r="D129" s="349"/>
      <c r="E129" s="307"/>
      <c r="F129" s="307"/>
      <c r="G129" s="307"/>
      <c r="H129" s="307"/>
      <c r="I129" s="307"/>
      <c r="J129" s="373"/>
      <c r="K129" s="311"/>
      <c r="L129" s="373"/>
      <c r="M129" s="316"/>
      <c r="N129" s="316"/>
    </row>
    <row r="130" spans="2:14" ht="15">
      <c r="B130" s="644" t="s">
        <v>427</v>
      </c>
      <c r="C130" s="358" t="s">
        <v>862</v>
      </c>
      <c r="D130" s="318" t="s">
        <v>899</v>
      </c>
      <c r="E130" s="319">
        <v>42032</v>
      </c>
      <c r="F130" s="319">
        <v>44224</v>
      </c>
      <c r="G130" s="321">
        <v>6.0054794520547947</v>
      </c>
      <c r="H130" s="322" t="s">
        <v>900</v>
      </c>
      <c r="I130" s="323" t="s">
        <v>439</v>
      </c>
      <c r="J130" s="374">
        <v>1.7000000000000001E-2</v>
      </c>
      <c r="K130" s="308"/>
      <c r="L130" s="325">
        <v>1781324283.618</v>
      </c>
      <c r="M130" s="326">
        <v>8600.3173992861157</v>
      </c>
      <c r="N130" s="327">
        <v>2505.5549597337558</v>
      </c>
    </row>
    <row r="131" spans="2:14" ht="15">
      <c r="B131" s="645"/>
      <c r="C131" s="358" t="s">
        <v>901</v>
      </c>
      <c r="D131" s="318" t="s">
        <v>899</v>
      </c>
      <c r="E131" s="319">
        <v>42802</v>
      </c>
      <c r="F131" s="319">
        <v>44624</v>
      </c>
      <c r="G131" s="321">
        <v>4.9917808219178079</v>
      </c>
      <c r="H131" s="322" t="s">
        <v>900</v>
      </c>
      <c r="I131" s="323" t="s">
        <v>439</v>
      </c>
      <c r="J131" s="374">
        <v>1.4999999999999999E-2</v>
      </c>
      <c r="K131" s="311"/>
      <c r="L131" s="325">
        <v>1899999999.9999995</v>
      </c>
      <c r="M131" s="326">
        <v>9173.2893381179656</v>
      </c>
      <c r="N131" s="327">
        <v>2672.4805063708563</v>
      </c>
    </row>
    <row r="132" spans="2:14" ht="15">
      <c r="B132" s="645"/>
      <c r="C132" s="358" t="s">
        <v>901</v>
      </c>
      <c r="D132" s="318" t="s">
        <v>899</v>
      </c>
      <c r="E132" s="319">
        <v>43976</v>
      </c>
      <c r="F132" s="319">
        <v>45407</v>
      </c>
      <c r="G132" s="321">
        <v>3.9205479452054797</v>
      </c>
      <c r="H132" s="346" t="s">
        <v>450</v>
      </c>
      <c r="I132" s="323">
        <v>0</v>
      </c>
      <c r="J132" s="328">
        <v>2.8999999999999998E-3</v>
      </c>
      <c r="K132" s="308"/>
      <c r="L132" s="325">
        <v>659331662.66666663</v>
      </c>
      <c r="M132" s="326">
        <v>3183.2842691703813</v>
      </c>
      <c r="N132" s="327">
        <v>927.39527142618533</v>
      </c>
    </row>
    <row r="133" spans="2:14" ht="15">
      <c r="B133" s="646"/>
      <c r="C133" s="358" t="s">
        <v>901</v>
      </c>
      <c r="D133" s="318" t="s">
        <v>899</v>
      </c>
      <c r="E133" s="319">
        <v>43976</v>
      </c>
      <c r="F133" s="319">
        <v>45407</v>
      </c>
      <c r="G133" s="321">
        <v>3.9205479452054797</v>
      </c>
      <c r="H133" s="346" t="s">
        <v>450</v>
      </c>
      <c r="I133" s="323">
        <v>0</v>
      </c>
      <c r="J133" s="328">
        <v>3.225E-3</v>
      </c>
      <c r="K133" s="311"/>
      <c r="L133" s="325">
        <v>663912751.56011617</v>
      </c>
      <c r="M133" s="326">
        <v>3205.4019817510393</v>
      </c>
      <c r="N133" s="327">
        <v>933.83888761865671</v>
      </c>
    </row>
    <row r="134" spans="2:14" ht="15">
      <c r="B134" s="330"/>
      <c r="C134" s="336"/>
      <c r="D134" s="342"/>
      <c r="E134" s="530"/>
      <c r="F134" s="531"/>
      <c r="G134" s="529"/>
      <c r="H134" s="345"/>
      <c r="I134" s="345"/>
      <c r="J134" s="353"/>
      <c r="K134" s="308"/>
      <c r="L134" s="354"/>
      <c r="M134" s="334">
        <v>24162.292988325498</v>
      </c>
      <c r="N134" s="334">
        <v>7039.2696251494535</v>
      </c>
    </row>
    <row r="135" spans="2:14" ht="4.5" customHeight="1">
      <c r="B135" s="330"/>
      <c r="C135" s="336"/>
      <c r="D135" s="342"/>
      <c r="E135" s="532"/>
      <c r="F135" s="532"/>
      <c r="G135" s="533"/>
      <c r="H135" s="345"/>
      <c r="I135" s="345"/>
      <c r="J135" s="353"/>
      <c r="K135" s="311"/>
      <c r="L135" s="354"/>
      <c r="M135" s="316"/>
      <c r="N135" s="314"/>
    </row>
    <row r="136" spans="2:14" ht="15">
      <c r="B136" s="663" t="s">
        <v>428</v>
      </c>
      <c r="C136" s="317" t="s">
        <v>902</v>
      </c>
      <c r="D136" s="318" t="s">
        <v>489</v>
      </c>
      <c r="E136" s="319">
        <v>40983</v>
      </c>
      <c r="F136" s="319">
        <v>44089</v>
      </c>
      <c r="G136" s="321">
        <v>8.5095890410958912</v>
      </c>
      <c r="H136" s="346" t="s">
        <v>450</v>
      </c>
      <c r="I136" s="323">
        <v>0</v>
      </c>
      <c r="J136" s="328">
        <v>4.53E-2</v>
      </c>
      <c r="K136" s="308"/>
      <c r="L136" s="325">
        <v>0</v>
      </c>
      <c r="M136" s="326">
        <v>0</v>
      </c>
      <c r="N136" s="327">
        <v>0</v>
      </c>
    </row>
    <row r="137" spans="2:14" ht="15">
      <c r="B137" s="663"/>
      <c r="C137" s="317" t="s">
        <v>903</v>
      </c>
      <c r="D137" s="318" t="s">
        <v>489</v>
      </c>
      <c r="E137" s="319">
        <v>42809</v>
      </c>
      <c r="F137" s="319">
        <v>44635</v>
      </c>
      <c r="G137" s="321">
        <v>5.0027397260273974</v>
      </c>
      <c r="H137" s="322" t="s">
        <v>904</v>
      </c>
      <c r="I137" s="323" t="s">
        <v>439</v>
      </c>
      <c r="J137" s="328">
        <v>9.4999999999999998E-3</v>
      </c>
      <c r="K137" s="311"/>
      <c r="L137" s="325">
        <v>260721.20000000007</v>
      </c>
      <c r="M137" s="326">
        <v>36592.977453355932</v>
      </c>
      <c r="N137" s="327">
        <v>10660.73633018381</v>
      </c>
    </row>
    <row r="138" spans="2:14" ht="15">
      <c r="B138" s="663"/>
      <c r="C138" s="317" t="s">
        <v>905</v>
      </c>
      <c r="D138" s="318" t="s">
        <v>489</v>
      </c>
      <c r="E138" s="319">
        <v>41167</v>
      </c>
      <c r="F138" s="319">
        <v>44454</v>
      </c>
      <c r="G138" s="321">
        <v>9.0054794520547947</v>
      </c>
      <c r="H138" s="322" t="s">
        <v>904</v>
      </c>
      <c r="I138" s="323" t="s">
        <v>439</v>
      </c>
      <c r="J138" s="328">
        <v>9.4999999999999998E-3</v>
      </c>
      <c r="K138" s="308"/>
      <c r="L138" s="327">
        <v>121389.37</v>
      </c>
      <c r="M138" s="326">
        <v>17037.350547201688</v>
      </c>
      <c r="N138" s="327">
        <v>4963.5398535183358</v>
      </c>
    </row>
    <row r="139" spans="2:14" ht="15">
      <c r="B139" s="663"/>
      <c r="C139" s="317" t="s">
        <v>906</v>
      </c>
      <c r="D139" s="318" t="s">
        <v>489</v>
      </c>
      <c r="E139" s="319">
        <v>42809</v>
      </c>
      <c r="F139" s="319">
        <v>44635</v>
      </c>
      <c r="G139" s="321">
        <v>5.0027397260273974</v>
      </c>
      <c r="H139" s="322" t="s">
        <v>904</v>
      </c>
      <c r="I139" s="323" t="s">
        <v>439</v>
      </c>
      <c r="J139" s="328">
        <v>9.4999999999999998E-3</v>
      </c>
      <c r="K139" s="311"/>
      <c r="L139" s="325">
        <v>250079.98</v>
      </c>
      <c r="M139" s="326">
        <v>35099.45132837569</v>
      </c>
      <c r="N139" s="327">
        <v>10225.6231109616</v>
      </c>
    </row>
    <row r="140" spans="2:14" ht="15">
      <c r="B140" s="663"/>
      <c r="C140" s="317" t="s">
        <v>907</v>
      </c>
      <c r="D140" s="318" t="s">
        <v>489</v>
      </c>
      <c r="E140" s="319">
        <v>42628</v>
      </c>
      <c r="F140" s="319">
        <v>44454</v>
      </c>
      <c r="G140" s="321">
        <v>5.0027397260273974</v>
      </c>
      <c r="H140" s="322" t="s">
        <v>904</v>
      </c>
      <c r="I140" s="323" t="s">
        <v>439</v>
      </c>
      <c r="J140" s="328">
        <v>9.4999999999999998E-3</v>
      </c>
      <c r="K140" s="308"/>
      <c r="L140" s="325">
        <v>200862.00000000006</v>
      </c>
      <c r="M140" s="326">
        <v>28191.564925429851</v>
      </c>
      <c r="N140" s="327">
        <v>8213.1288930604096</v>
      </c>
    </row>
    <row r="141" spans="2:14" ht="15">
      <c r="B141" s="663"/>
      <c r="C141" s="317" t="s">
        <v>908</v>
      </c>
      <c r="D141" s="318" t="s">
        <v>489</v>
      </c>
      <c r="E141" s="319">
        <v>42809</v>
      </c>
      <c r="F141" s="319">
        <v>44635</v>
      </c>
      <c r="G141" s="321">
        <v>5.0027397260273974</v>
      </c>
      <c r="H141" s="322" t="s">
        <v>904</v>
      </c>
      <c r="I141" s="323" t="s">
        <v>439</v>
      </c>
      <c r="J141" s="328">
        <v>9.4999999999999998E-3</v>
      </c>
      <c r="K141" s="311"/>
      <c r="L141" s="325">
        <v>91700.169999999984</v>
      </c>
      <c r="M141" s="326">
        <v>12870.385121267105</v>
      </c>
      <c r="N141" s="327">
        <v>3749.5659493859011</v>
      </c>
    </row>
    <row r="142" spans="2:14" ht="15">
      <c r="B142" s="663"/>
      <c r="C142" s="317" t="s">
        <v>909</v>
      </c>
      <c r="D142" s="318" t="s">
        <v>489</v>
      </c>
      <c r="E142" s="319">
        <v>42628</v>
      </c>
      <c r="F142" s="319">
        <v>44454</v>
      </c>
      <c r="G142" s="321">
        <v>5.0027397260273974</v>
      </c>
      <c r="H142" s="322" t="s">
        <v>904</v>
      </c>
      <c r="I142" s="323" t="s">
        <v>439</v>
      </c>
      <c r="J142" s="328">
        <v>9.4999999999999998E-3</v>
      </c>
      <c r="K142" s="308"/>
      <c r="L142" s="325">
        <v>45286.8</v>
      </c>
      <c r="M142" s="326">
        <v>6356.1338753221435</v>
      </c>
      <c r="N142" s="327">
        <v>1851.7505827595467</v>
      </c>
    </row>
    <row r="143" spans="2:14" ht="15">
      <c r="B143" s="663"/>
      <c r="C143" s="317" t="s">
        <v>910</v>
      </c>
      <c r="D143" s="318" t="s">
        <v>899</v>
      </c>
      <c r="E143" s="319">
        <v>43376</v>
      </c>
      <c r="F143" s="319">
        <v>45719</v>
      </c>
      <c r="G143" s="321">
        <v>6.419178082191781</v>
      </c>
      <c r="H143" s="346" t="s">
        <v>911</v>
      </c>
      <c r="I143" s="323" t="s">
        <v>439</v>
      </c>
      <c r="J143" s="328">
        <v>1.3299999999999999E-2</v>
      </c>
      <c r="K143" s="311"/>
      <c r="L143" s="325">
        <v>3758928549</v>
      </c>
      <c r="M143" s="326">
        <v>18148.281644011899</v>
      </c>
      <c r="N143" s="327">
        <v>5287.190573637844</v>
      </c>
    </row>
    <row r="144" spans="2:14" ht="15">
      <c r="B144" s="663"/>
      <c r="C144" s="317" t="s">
        <v>912</v>
      </c>
      <c r="D144" s="318" t="s">
        <v>489</v>
      </c>
      <c r="E144" s="375">
        <v>40983</v>
      </c>
      <c r="F144" s="319">
        <v>44089</v>
      </c>
      <c r="G144" s="321">
        <v>8.5095890410958912</v>
      </c>
      <c r="H144" s="346" t="s">
        <v>450</v>
      </c>
      <c r="I144" s="323">
        <v>0</v>
      </c>
      <c r="J144" s="328">
        <v>4.53E-2</v>
      </c>
      <c r="K144" s="308"/>
      <c r="L144" s="325">
        <v>0</v>
      </c>
      <c r="M144" s="326">
        <v>0</v>
      </c>
      <c r="N144" s="327">
        <v>0</v>
      </c>
    </row>
    <row r="145" spans="2:14" ht="15">
      <c r="B145" s="663"/>
      <c r="C145" s="317" t="s">
        <v>913</v>
      </c>
      <c r="D145" s="318" t="s">
        <v>489</v>
      </c>
      <c r="E145" s="375">
        <v>40617</v>
      </c>
      <c r="F145" s="319">
        <v>44635</v>
      </c>
      <c r="G145" s="321">
        <v>11.008219178082191</v>
      </c>
      <c r="H145" s="322" t="s">
        <v>904</v>
      </c>
      <c r="I145" s="323" t="s">
        <v>439</v>
      </c>
      <c r="J145" s="328">
        <v>9.4999999999999998E-3</v>
      </c>
      <c r="K145" s="311"/>
      <c r="L145" s="325">
        <v>125248.41999999997</v>
      </c>
      <c r="M145" s="326">
        <v>17578.979419887808</v>
      </c>
      <c r="N145" s="327">
        <v>5121.3341354370896</v>
      </c>
    </row>
    <row r="146" spans="2:14" ht="15">
      <c r="B146" s="663"/>
      <c r="C146" s="317" t="s">
        <v>914</v>
      </c>
      <c r="D146" s="318" t="s">
        <v>489</v>
      </c>
      <c r="E146" s="375">
        <v>41167</v>
      </c>
      <c r="F146" s="319">
        <v>44454</v>
      </c>
      <c r="G146" s="321">
        <v>9.0054794520547947</v>
      </c>
      <c r="H146" s="322" t="s">
        <v>904</v>
      </c>
      <c r="I146" s="323" t="s">
        <v>439</v>
      </c>
      <c r="J146" s="328">
        <v>9.4999999999999998E-3</v>
      </c>
      <c r="K146" s="308"/>
      <c r="L146" s="325">
        <v>58314.509999999995</v>
      </c>
      <c r="M146" s="326">
        <v>8184.6108012447739</v>
      </c>
      <c r="N146" s="327">
        <v>2384.4459726860232</v>
      </c>
    </row>
    <row r="147" spans="2:14" ht="15">
      <c r="B147" s="663"/>
      <c r="C147" s="317" t="s">
        <v>915</v>
      </c>
      <c r="D147" s="318" t="s">
        <v>489</v>
      </c>
      <c r="E147" s="375">
        <v>42809</v>
      </c>
      <c r="F147" s="319">
        <v>44635</v>
      </c>
      <c r="G147" s="321">
        <v>5.0027397260273974</v>
      </c>
      <c r="H147" s="322" t="s">
        <v>904</v>
      </c>
      <c r="I147" s="323" t="s">
        <v>439</v>
      </c>
      <c r="J147" s="328">
        <v>9.4999999999999998E-3</v>
      </c>
      <c r="K147" s="311"/>
      <c r="L147" s="325">
        <v>40138.71</v>
      </c>
      <c r="M147" s="326">
        <v>5633.5844957632598</v>
      </c>
      <c r="N147" s="327">
        <v>1641.2482143520058</v>
      </c>
    </row>
    <row r="148" spans="2:14" ht="15">
      <c r="B148" s="663"/>
      <c r="C148" s="317" t="s">
        <v>916</v>
      </c>
      <c r="D148" s="318" t="s">
        <v>489</v>
      </c>
      <c r="E148" s="375">
        <v>42628</v>
      </c>
      <c r="F148" s="319">
        <v>44454</v>
      </c>
      <c r="G148" s="321">
        <v>5.0027397260273974</v>
      </c>
      <c r="H148" s="322" t="s">
        <v>904</v>
      </c>
      <c r="I148" s="323" t="s">
        <v>439</v>
      </c>
      <c r="J148" s="328">
        <v>9.4999999999999998E-3</v>
      </c>
      <c r="K148" s="308"/>
      <c r="L148" s="325">
        <v>32239.06</v>
      </c>
      <c r="M148" s="326">
        <v>4524.8456807401526</v>
      </c>
      <c r="N148" s="327">
        <v>1318.236177928668</v>
      </c>
    </row>
    <row r="149" spans="2:14" ht="15">
      <c r="B149" s="663"/>
      <c r="C149" s="317" t="s">
        <v>917</v>
      </c>
      <c r="D149" s="318" t="s">
        <v>489</v>
      </c>
      <c r="E149" s="375">
        <v>42809</v>
      </c>
      <c r="F149" s="319">
        <v>44635</v>
      </c>
      <c r="G149" s="321">
        <v>5.0027397260273974</v>
      </c>
      <c r="H149" s="322" t="s">
        <v>904</v>
      </c>
      <c r="I149" s="323" t="s">
        <v>439</v>
      </c>
      <c r="J149" s="328">
        <v>9.4999999999999998E-3</v>
      </c>
      <c r="K149" s="311"/>
      <c r="L149" s="325">
        <v>44052.03</v>
      </c>
      <c r="M149" s="326">
        <v>6182.8303205284383</v>
      </c>
      <c r="N149" s="327">
        <v>1801.2615646113438</v>
      </c>
    </row>
    <row r="150" spans="2:14" ht="15">
      <c r="B150" s="663"/>
      <c r="C150" s="317" t="s">
        <v>918</v>
      </c>
      <c r="D150" s="318" t="s">
        <v>489</v>
      </c>
      <c r="E150" s="375">
        <v>42628</v>
      </c>
      <c r="F150" s="319">
        <v>44454</v>
      </c>
      <c r="G150" s="321">
        <v>5.0027397260273974</v>
      </c>
      <c r="H150" s="322" t="s">
        <v>904</v>
      </c>
      <c r="I150" s="323" t="s">
        <v>439</v>
      </c>
      <c r="J150" s="328">
        <v>9.4999999999999998E-3</v>
      </c>
      <c r="K150" s="308"/>
      <c r="L150" s="325">
        <v>21755.429999999989</v>
      </c>
      <c r="M150" s="326">
        <v>3053.4377698402077</v>
      </c>
      <c r="N150" s="327">
        <v>889.56672100224557</v>
      </c>
    </row>
    <row r="151" spans="2:14" ht="15">
      <c r="B151" s="663"/>
      <c r="C151" s="317" t="s">
        <v>919</v>
      </c>
      <c r="D151" s="318" t="s">
        <v>489</v>
      </c>
      <c r="E151" s="375">
        <v>41715</v>
      </c>
      <c r="F151" s="319">
        <v>43905</v>
      </c>
      <c r="G151" s="321">
        <v>6</v>
      </c>
      <c r="H151" s="346" t="s">
        <v>450</v>
      </c>
      <c r="I151" s="323">
        <v>0</v>
      </c>
      <c r="J151" s="328">
        <v>2.8500000000000001E-2</v>
      </c>
      <c r="K151" s="311"/>
      <c r="L151" s="325">
        <v>0</v>
      </c>
      <c r="M151" s="326">
        <v>0</v>
      </c>
      <c r="N151" s="327">
        <v>0</v>
      </c>
    </row>
    <row r="152" spans="2:14" ht="15">
      <c r="B152" s="663"/>
      <c r="C152" s="317" t="s">
        <v>920</v>
      </c>
      <c r="D152" s="318" t="s">
        <v>489</v>
      </c>
      <c r="E152" s="375">
        <v>41533</v>
      </c>
      <c r="F152" s="319">
        <v>44089</v>
      </c>
      <c r="G152" s="321">
        <v>7.0027397260273974</v>
      </c>
      <c r="H152" s="346" t="s">
        <v>450</v>
      </c>
      <c r="I152" s="323">
        <v>0</v>
      </c>
      <c r="J152" s="328">
        <v>3.0599999999999999E-2</v>
      </c>
      <c r="K152" s="308"/>
      <c r="L152" s="325">
        <v>0</v>
      </c>
      <c r="M152" s="326">
        <v>0</v>
      </c>
      <c r="N152" s="327">
        <v>0</v>
      </c>
    </row>
    <row r="153" spans="2:14" ht="15">
      <c r="B153" s="663"/>
      <c r="C153" s="317" t="s">
        <v>921</v>
      </c>
      <c r="D153" s="318" t="s">
        <v>489</v>
      </c>
      <c r="E153" s="375">
        <v>42809</v>
      </c>
      <c r="F153" s="319">
        <v>44635</v>
      </c>
      <c r="G153" s="321">
        <v>5.0027397260273974</v>
      </c>
      <c r="H153" s="322" t="s">
        <v>904</v>
      </c>
      <c r="I153" s="323" t="s">
        <v>439</v>
      </c>
      <c r="J153" s="328">
        <v>9.4999999999999998E-3</v>
      </c>
      <c r="K153" s="311"/>
      <c r="L153" s="325">
        <v>39998.885000000002</v>
      </c>
      <c r="M153" s="326">
        <v>5613.9596510156325</v>
      </c>
      <c r="N153" s="327">
        <v>1635.530852444467</v>
      </c>
    </row>
    <row r="154" spans="2:14" ht="15">
      <c r="B154" s="663"/>
      <c r="C154" s="317" t="s">
        <v>922</v>
      </c>
      <c r="D154" s="318" t="s">
        <v>489</v>
      </c>
      <c r="E154" s="375">
        <v>42628</v>
      </c>
      <c r="F154" s="319">
        <v>44454</v>
      </c>
      <c r="G154" s="321">
        <v>5.0027397260273974</v>
      </c>
      <c r="H154" s="322" t="s">
        <v>904</v>
      </c>
      <c r="I154" s="323" t="s">
        <v>439</v>
      </c>
      <c r="J154" s="328">
        <v>9.4999999999999998E-3</v>
      </c>
      <c r="K154" s="308"/>
      <c r="L154" s="325">
        <v>32126.75</v>
      </c>
      <c r="M154" s="326">
        <v>4509.0826461354236</v>
      </c>
      <c r="N154" s="327">
        <v>1313.6438881676397</v>
      </c>
    </row>
    <row r="155" spans="2:14" ht="15">
      <c r="B155" s="663"/>
      <c r="C155" s="317" t="s">
        <v>923</v>
      </c>
      <c r="D155" s="318" t="s">
        <v>899</v>
      </c>
      <c r="E155" s="319">
        <v>43376</v>
      </c>
      <c r="F155" s="319">
        <v>45719</v>
      </c>
      <c r="G155" s="321">
        <v>6.419178082191781</v>
      </c>
      <c r="H155" s="346" t="s">
        <v>911</v>
      </c>
      <c r="I155" s="323" t="s">
        <v>439</v>
      </c>
      <c r="J155" s="328">
        <v>1.3299999999999999E-2</v>
      </c>
      <c r="K155" s="311"/>
      <c r="L155" s="325">
        <v>1547057062</v>
      </c>
      <c r="M155" s="326">
        <v>7469.2633591034446</v>
      </c>
      <c r="N155" s="327">
        <v>2176.0417652158612</v>
      </c>
    </row>
    <row r="156" spans="2:14" ht="15">
      <c r="B156" s="663"/>
      <c r="C156" s="317" t="s">
        <v>924</v>
      </c>
      <c r="D156" s="318" t="s">
        <v>489</v>
      </c>
      <c r="E156" s="375">
        <v>40983</v>
      </c>
      <c r="F156" s="319">
        <v>44089</v>
      </c>
      <c r="G156" s="321">
        <v>8.5095890410958912</v>
      </c>
      <c r="H156" s="346" t="s">
        <v>450</v>
      </c>
      <c r="I156" s="323">
        <v>0</v>
      </c>
      <c r="J156" s="328">
        <v>4.53E-2</v>
      </c>
      <c r="K156" s="308"/>
      <c r="L156" s="325">
        <v>0</v>
      </c>
      <c r="M156" s="326">
        <v>0</v>
      </c>
      <c r="N156" s="327">
        <v>0</v>
      </c>
    </row>
    <row r="157" spans="2:14" ht="15">
      <c r="B157" s="663"/>
      <c r="C157" s="317" t="s">
        <v>925</v>
      </c>
      <c r="D157" s="318" t="s">
        <v>489</v>
      </c>
      <c r="E157" s="375">
        <v>40617</v>
      </c>
      <c r="F157" s="319">
        <v>44635</v>
      </c>
      <c r="G157" s="321">
        <v>11.008219178082191</v>
      </c>
      <c r="H157" s="322" t="s">
        <v>904</v>
      </c>
      <c r="I157" s="323" t="s">
        <v>439</v>
      </c>
      <c r="J157" s="328">
        <v>9.4999999999999998E-3</v>
      </c>
      <c r="K157" s="311"/>
      <c r="L157" s="325">
        <v>125248.41999999997</v>
      </c>
      <c r="M157" s="326">
        <v>17578.979419887808</v>
      </c>
      <c r="N157" s="327">
        <v>5121.3341354370896</v>
      </c>
    </row>
    <row r="158" spans="2:14" ht="15">
      <c r="B158" s="663"/>
      <c r="C158" s="317" t="s">
        <v>926</v>
      </c>
      <c r="D158" s="318" t="s">
        <v>489</v>
      </c>
      <c r="E158" s="375">
        <v>41167</v>
      </c>
      <c r="F158" s="319">
        <v>44454</v>
      </c>
      <c r="G158" s="321">
        <v>9.0054794520547947</v>
      </c>
      <c r="H158" s="322" t="s">
        <v>904</v>
      </c>
      <c r="I158" s="323" t="s">
        <v>439</v>
      </c>
      <c r="J158" s="328">
        <v>9.4999999999999998E-3</v>
      </c>
      <c r="K158" s="308"/>
      <c r="L158" s="325">
        <v>58314.499999999985</v>
      </c>
      <c r="M158" s="326">
        <v>8184.6093977157343</v>
      </c>
      <c r="N158" s="327">
        <v>2384.4455637919109</v>
      </c>
    </row>
    <row r="159" spans="2:14" ht="15">
      <c r="B159" s="663"/>
      <c r="C159" s="317" t="s">
        <v>927</v>
      </c>
      <c r="D159" s="318" t="s">
        <v>489</v>
      </c>
      <c r="E159" s="375">
        <v>42809</v>
      </c>
      <c r="F159" s="319">
        <v>44635</v>
      </c>
      <c r="G159" s="321">
        <v>5.0027397260273974</v>
      </c>
      <c r="H159" s="322" t="s">
        <v>904</v>
      </c>
      <c r="I159" s="323" t="s">
        <v>439</v>
      </c>
      <c r="J159" s="328">
        <v>9.4999999999999998E-3</v>
      </c>
      <c r="K159" s="311"/>
      <c r="L159" s="325">
        <v>120136.42999999998</v>
      </c>
      <c r="M159" s="326">
        <v>16861.49678014934</v>
      </c>
      <c r="N159" s="327">
        <v>4912.307874770383</v>
      </c>
    </row>
    <row r="160" spans="2:14" ht="15">
      <c r="B160" s="663"/>
      <c r="C160" s="317" t="s">
        <v>928</v>
      </c>
      <c r="D160" s="318" t="s">
        <v>489</v>
      </c>
      <c r="E160" s="375">
        <v>42628</v>
      </c>
      <c r="F160" s="319">
        <v>44454</v>
      </c>
      <c r="G160" s="321">
        <v>5.0027397260273974</v>
      </c>
      <c r="H160" s="322" t="s">
        <v>904</v>
      </c>
      <c r="I160" s="323" t="s">
        <v>439</v>
      </c>
      <c r="J160" s="328">
        <v>9.4999999999999998E-3</v>
      </c>
      <c r="K160" s="308"/>
      <c r="L160" s="325">
        <v>96492.49000000002</v>
      </c>
      <c r="M160" s="326">
        <v>13543.001148307745</v>
      </c>
      <c r="N160" s="327">
        <v>3945.5210920051695</v>
      </c>
    </row>
    <row r="161" spans="2:14" ht="15">
      <c r="B161" s="663"/>
      <c r="C161" s="317" t="s">
        <v>929</v>
      </c>
      <c r="D161" s="318" t="s">
        <v>489</v>
      </c>
      <c r="E161" s="375">
        <v>42809</v>
      </c>
      <c r="F161" s="319">
        <v>44635</v>
      </c>
      <c r="G161" s="321">
        <v>5.0027397260273974</v>
      </c>
      <c r="H161" s="322" t="s">
        <v>904</v>
      </c>
      <c r="I161" s="323" t="s">
        <v>439</v>
      </c>
      <c r="J161" s="328">
        <v>9.4999999999999998E-3</v>
      </c>
      <c r="K161" s="311"/>
      <c r="L161" s="325">
        <v>44052.03</v>
      </c>
      <c r="M161" s="326">
        <v>6182.8303205284383</v>
      </c>
      <c r="N161" s="327">
        <v>1801.2615646113438</v>
      </c>
    </row>
    <row r="162" spans="2:14" ht="15">
      <c r="B162" s="663"/>
      <c r="C162" s="317" t="s">
        <v>930</v>
      </c>
      <c r="D162" s="318" t="s">
        <v>489</v>
      </c>
      <c r="E162" s="375">
        <v>42628</v>
      </c>
      <c r="F162" s="319">
        <v>44454</v>
      </c>
      <c r="G162" s="321">
        <v>5.0027397260273974</v>
      </c>
      <c r="H162" s="322" t="s">
        <v>904</v>
      </c>
      <c r="I162" s="323" t="s">
        <v>439</v>
      </c>
      <c r="J162" s="328">
        <v>9.4999999999999998E-3</v>
      </c>
      <c r="K162" s="308"/>
      <c r="L162" s="325">
        <v>21755.429999999989</v>
      </c>
      <c r="M162" s="326">
        <v>3053.4377698402077</v>
      </c>
      <c r="N162" s="327">
        <v>889.56672100224557</v>
      </c>
    </row>
    <row r="163" spans="2:14" ht="15">
      <c r="B163" s="663"/>
      <c r="C163" s="317" t="s">
        <v>931</v>
      </c>
      <c r="D163" s="318" t="s">
        <v>489</v>
      </c>
      <c r="E163" s="375">
        <v>41715</v>
      </c>
      <c r="F163" s="319">
        <v>43905</v>
      </c>
      <c r="G163" s="321">
        <v>6</v>
      </c>
      <c r="H163" s="346" t="s">
        <v>450</v>
      </c>
      <c r="I163" s="323">
        <v>0</v>
      </c>
      <c r="J163" s="328">
        <v>2.8500000000000001E-2</v>
      </c>
      <c r="K163" s="311"/>
      <c r="L163" s="325">
        <v>0</v>
      </c>
      <c r="M163" s="326">
        <v>0</v>
      </c>
      <c r="N163" s="327">
        <v>0</v>
      </c>
    </row>
    <row r="164" spans="2:14" ht="15">
      <c r="B164" s="663"/>
      <c r="C164" s="317" t="s">
        <v>932</v>
      </c>
      <c r="D164" s="318" t="s">
        <v>489</v>
      </c>
      <c r="E164" s="375">
        <v>41533</v>
      </c>
      <c r="F164" s="319">
        <v>44089</v>
      </c>
      <c r="G164" s="321">
        <v>7.0027397260273974</v>
      </c>
      <c r="H164" s="346" t="s">
        <v>450</v>
      </c>
      <c r="I164" s="323">
        <v>0</v>
      </c>
      <c r="J164" s="328">
        <v>3.0599999999999999E-2</v>
      </c>
      <c r="K164" s="308"/>
      <c r="L164" s="325">
        <v>0</v>
      </c>
      <c r="M164" s="326">
        <v>0</v>
      </c>
      <c r="N164" s="327">
        <v>0</v>
      </c>
    </row>
    <row r="165" spans="2:14" ht="15">
      <c r="B165" s="663"/>
      <c r="C165" s="317" t="s">
        <v>933</v>
      </c>
      <c r="D165" s="318" t="s">
        <v>489</v>
      </c>
      <c r="E165" s="375">
        <v>42809</v>
      </c>
      <c r="F165" s="319">
        <v>44635</v>
      </c>
      <c r="G165" s="321">
        <v>5.0027397260273974</v>
      </c>
      <c r="H165" s="322" t="s">
        <v>904</v>
      </c>
      <c r="I165" s="323" t="s">
        <v>439</v>
      </c>
      <c r="J165" s="328">
        <v>9.4999999999999998E-3</v>
      </c>
      <c r="K165" s="311"/>
      <c r="L165" s="325">
        <v>39998.885000000002</v>
      </c>
      <c r="M165" s="326">
        <v>5613.9596510156325</v>
      </c>
      <c r="N165" s="327">
        <v>1635.530852444467</v>
      </c>
    </row>
    <row r="166" spans="2:14" ht="15">
      <c r="B166" s="663"/>
      <c r="C166" s="317" t="s">
        <v>934</v>
      </c>
      <c r="D166" s="318" t="s">
        <v>489</v>
      </c>
      <c r="E166" s="375">
        <v>42628</v>
      </c>
      <c r="F166" s="319">
        <v>44454</v>
      </c>
      <c r="G166" s="321">
        <v>5.0027397260273974</v>
      </c>
      <c r="H166" s="322" t="s">
        <v>904</v>
      </c>
      <c r="I166" s="323" t="s">
        <v>439</v>
      </c>
      <c r="J166" s="328">
        <v>9.4999999999999998E-3</v>
      </c>
      <c r="K166" s="308"/>
      <c r="L166" s="325">
        <v>32126.75</v>
      </c>
      <c r="M166" s="326">
        <v>4509.0826461354236</v>
      </c>
      <c r="N166" s="327">
        <v>1313.6438881676397</v>
      </c>
    </row>
    <row r="167" spans="2:14" ht="15">
      <c r="B167" s="663"/>
      <c r="C167" s="317" t="s">
        <v>935</v>
      </c>
      <c r="D167" s="318" t="s">
        <v>899</v>
      </c>
      <c r="E167" s="319">
        <v>43376</v>
      </c>
      <c r="F167" s="319">
        <v>45719</v>
      </c>
      <c r="G167" s="321">
        <v>6.419178082191781</v>
      </c>
      <c r="H167" s="346" t="s">
        <v>911</v>
      </c>
      <c r="I167" s="323" t="s">
        <v>439</v>
      </c>
      <c r="J167" s="328">
        <v>1.3299999999999999E-2</v>
      </c>
      <c r="K167" s="311"/>
      <c r="L167" s="325">
        <v>2064462520</v>
      </c>
      <c r="M167" s="326">
        <v>9967.3209448032394</v>
      </c>
      <c r="N167" s="327">
        <v>2903.8079955726844</v>
      </c>
    </row>
    <row r="168" spans="2:14" ht="15">
      <c r="B168" s="348"/>
      <c r="C168" s="336"/>
      <c r="D168" s="342"/>
      <c r="E168" s="337"/>
      <c r="F168" s="337"/>
      <c r="G168" s="352"/>
      <c r="H168" s="345"/>
      <c r="I168" s="345"/>
      <c r="J168" s="353"/>
      <c r="K168" s="308"/>
      <c r="L168" s="330"/>
      <c r="M168" s="334">
        <v>302541.45711760694</v>
      </c>
      <c r="N168" s="334">
        <v>88140.264273155728</v>
      </c>
    </row>
    <row r="169" spans="2:14" ht="4.5" customHeight="1">
      <c r="B169" s="376"/>
      <c r="C169" s="336"/>
      <c r="D169" s="342"/>
      <c r="E169" s="337"/>
      <c r="F169" s="337"/>
      <c r="G169" s="352"/>
      <c r="H169" s="345"/>
      <c r="I169" s="345"/>
      <c r="J169" s="353"/>
      <c r="K169" s="311"/>
      <c r="L169" s="354"/>
      <c r="M169" s="377"/>
      <c r="N169" s="316"/>
    </row>
    <row r="170" spans="2:14" ht="14.25" customHeight="1">
      <c r="B170" s="644" t="s">
        <v>429</v>
      </c>
      <c r="C170" s="358" t="s">
        <v>936</v>
      </c>
      <c r="D170" s="318" t="s">
        <v>489</v>
      </c>
      <c r="E170" s="375">
        <v>42634</v>
      </c>
      <c r="F170" s="319">
        <v>44788</v>
      </c>
      <c r="G170" s="321">
        <v>5.9013698630136986</v>
      </c>
      <c r="H170" s="346" t="s">
        <v>450</v>
      </c>
      <c r="I170" s="378">
        <v>0</v>
      </c>
      <c r="J170" s="328">
        <v>3.6700000000000003E-2</v>
      </c>
      <c r="K170" s="308"/>
      <c r="L170" s="325">
        <v>560395.4844999999</v>
      </c>
      <c r="M170" s="326">
        <v>78653.170891438771</v>
      </c>
      <c r="N170" s="327">
        <v>22914.252262618724</v>
      </c>
    </row>
    <row r="171" spans="2:14" ht="15">
      <c r="B171" s="645"/>
      <c r="C171" s="358" t="s">
        <v>937</v>
      </c>
      <c r="D171" s="318" t="s">
        <v>489</v>
      </c>
      <c r="E171" s="375">
        <v>42634</v>
      </c>
      <c r="F171" s="319">
        <v>44788</v>
      </c>
      <c r="G171" s="321">
        <v>5.9013698630136986</v>
      </c>
      <c r="H171" s="346" t="s">
        <v>450</v>
      </c>
      <c r="I171" s="378">
        <v>0</v>
      </c>
      <c r="J171" s="328">
        <v>3.6700000000000003E-2</v>
      </c>
      <c r="K171" s="311"/>
      <c r="L171" s="325">
        <v>206579.29879999987</v>
      </c>
      <c r="M171" s="326">
        <v>28994.018225623273</v>
      </c>
      <c r="N171" s="327">
        <v>8446.9098982150826</v>
      </c>
    </row>
    <row r="172" spans="2:14" ht="15">
      <c r="B172" s="645"/>
      <c r="C172" s="358" t="s">
        <v>936</v>
      </c>
      <c r="D172" s="318" t="s">
        <v>489</v>
      </c>
      <c r="E172" s="375">
        <v>43469</v>
      </c>
      <c r="F172" s="319">
        <v>44910</v>
      </c>
      <c r="G172" s="321">
        <v>3.9479452054794519</v>
      </c>
      <c r="H172" s="346" t="s">
        <v>450</v>
      </c>
      <c r="I172" s="378">
        <v>0</v>
      </c>
      <c r="J172" s="328">
        <v>3.15E-2</v>
      </c>
      <c r="K172" s="308"/>
      <c r="L172" s="325">
        <v>103794.75</v>
      </c>
      <c r="M172" s="326">
        <v>14567.901482411333</v>
      </c>
      <c r="N172" s="327">
        <v>4244.1082250287936</v>
      </c>
    </row>
    <row r="173" spans="2:14" ht="15">
      <c r="B173" s="645"/>
      <c r="C173" s="358" t="s">
        <v>938</v>
      </c>
      <c r="D173" s="318" t="s">
        <v>489</v>
      </c>
      <c r="E173" s="375">
        <v>43469</v>
      </c>
      <c r="F173" s="319">
        <v>44910</v>
      </c>
      <c r="G173" s="321">
        <v>3.9479452054794519</v>
      </c>
      <c r="H173" s="346" t="s">
        <v>450</v>
      </c>
      <c r="I173" s="378">
        <v>0</v>
      </c>
      <c r="J173" s="328">
        <v>3.15E-2</v>
      </c>
      <c r="K173" s="311"/>
      <c r="L173" s="325">
        <v>121205.25</v>
      </c>
      <c r="M173" s="326">
        <v>17011.516874900088</v>
      </c>
      <c r="N173" s="327">
        <v>4956.0136561981317</v>
      </c>
    </row>
    <row r="174" spans="2:14" ht="15">
      <c r="B174" s="645"/>
      <c r="C174" s="358" t="s">
        <v>938</v>
      </c>
      <c r="D174" s="318" t="s">
        <v>489</v>
      </c>
      <c r="E174" s="375">
        <v>43539</v>
      </c>
      <c r="F174" s="319">
        <v>45641</v>
      </c>
      <c r="G174" s="321">
        <v>5.7589041095890412</v>
      </c>
      <c r="H174" s="322" t="s">
        <v>904</v>
      </c>
      <c r="I174" s="323">
        <v>0</v>
      </c>
      <c r="J174" s="328">
        <v>8.9999999999999993E-3</v>
      </c>
      <c r="K174" s="308"/>
      <c r="L174" s="325">
        <v>51886</v>
      </c>
      <c r="M174" s="326">
        <v>7282.3542261664925</v>
      </c>
      <c r="N174" s="327">
        <v>2121.5889952415127</v>
      </c>
    </row>
    <row r="175" spans="2:14" ht="15">
      <c r="B175" s="645"/>
      <c r="C175" s="358" t="s">
        <v>936</v>
      </c>
      <c r="D175" s="318" t="s">
        <v>489</v>
      </c>
      <c r="E175" s="375">
        <v>43539</v>
      </c>
      <c r="F175" s="319">
        <v>45641</v>
      </c>
      <c r="G175" s="321">
        <v>5.7589041095890412</v>
      </c>
      <c r="H175" s="322" t="s">
        <v>904</v>
      </c>
      <c r="I175" s="323">
        <v>0</v>
      </c>
      <c r="J175" s="328">
        <v>8.9999999999999993E-3</v>
      </c>
      <c r="K175" s="311"/>
      <c r="L175" s="325">
        <v>44433</v>
      </c>
      <c r="M175" s="326">
        <v>6236.3035372018594</v>
      </c>
      <c r="N175" s="327">
        <v>1816.8400691046932</v>
      </c>
    </row>
    <row r="176" spans="2:14" ht="15">
      <c r="B176" s="645"/>
      <c r="C176" s="358" t="s">
        <v>938</v>
      </c>
      <c r="D176" s="318" t="s">
        <v>489</v>
      </c>
      <c r="E176" s="375">
        <v>43693</v>
      </c>
      <c r="F176" s="319">
        <v>44270</v>
      </c>
      <c r="G176" s="321">
        <v>1.5808219178082192</v>
      </c>
      <c r="H176" s="322" t="s">
        <v>904</v>
      </c>
      <c r="I176" s="323">
        <v>0</v>
      </c>
      <c r="J176" s="328">
        <v>8.9999999999999993E-3</v>
      </c>
      <c r="K176" s="308"/>
      <c r="L176" s="325">
        <v>0</v>
      </c>
      <c r="M176" s="326">
        <v>0</v>
      </c>
      <c r="N176" s="327">
        <v>0</v>
      </c>
    </row>
    <row r="177" spans="2:14" ht="15">
      <c r="B177" s="646"/>
      <c r="C177" s="358" t="s">
        <v>936</v>
      </c>
      <c r="D177" s="318" t="s">
        <v>489</v>
      </c>
      <c r="E177" s="375">
        <v>43693</v>
      </c>
      <c r="F177" s="319">
        <v>44270</v>
      </c>
      <c r="G177" s="321">
        <v>1.5808219178082192</v>
      </c>
      <c r="H177" s="322" t="s">
        <v>904</v>
      </c>
      <c r="I177" s="323">
        <v>0</v>
      </c>
      <c r="J177" s="328">
        <v>8.9999999999999993E-3</v>
      </c>
      <c r="K177" s="311"/>
      <c r="L177" s="325">
        <v>0</v>
      </c>
      <c r="M177" s="326">
        <v>0</v>
      </c>
      <c r="N177" s="327">
        <v>0</v>
      </c>
    </row>
    <row r="178" spans="2:14" ht="15">
      <c r="B178" s="330"/>
      <c r="C178" s="330"/>
      <c r="D178" s="330"/>
      <c r="E178" s="330"/>
      <c r="F178" s="330"/>
      <c r="G178" s="379"/>
      <c r="H178" s="379"/>
      <c r="I178" s="379"/>
      <c r="J178" s="380"/>
      <c r="K178" s="308"/>
      <c r="L178" s="354"/>
      <c r="M178" s="334">
        <v>152745.26523774184</v>
      </c>
      <c r="N178" s="335">
        <v>44499.713106406933</v>
      </c>
    </row>
    <row r="179" spans="2:14" ht="15" customHeight="1">
      <c r="B179" s="315"/>
      <c r="C179" s="307"/>
      <c r="D179" s="349"/>
      <c r="E179" s="307"/>
      <c r="F179" s="307"/>
      <c r="G179" s="307"/>
      <c r="H179" s="307"/>
      <c r="I179" s="307"/>
      <c r="J179" s="373"/>
      <c r="K179" s="311"/>
      <c r="L179" s="381"/>
      <c r="M179" s="316"/>
      <c r="N179" s="316"/>
    </row>
    <row r="180" spans="2:14" ht="15">
      <c r="B180" s="644" t="s">
        <v>430</v>
      </c>
      <c r="C180" s="350" t="s">
        <v>939</v>
      </c>
      <c r="D180" s="318" t="s">
        <v>489</v>
      </c>
      <c r="E180" s="375">
        <v>43370</v>
      </c>
      <c r="F180" s="319">
        <v>54954</v>
      </c>
      <c r="G180" s="321">
        <v>31.736986301369864</v>
      </c>
      <c r="H180" s="346" t="s">
        <v>450</v>
      </c>
      <c r="I180" s="378">
        <v>0</v>
      </c>
      <c r="J180" s="328">
        <v>3.85E-2</v>
      </c>
      <c r="K180" s="308"/>
      <c r="L180" s="325">
        <v>62000</v>
      </c>
      <c r="M180" s="326">
        <v>8701.9403392388067</v>
      </c>
      <c r="N180" s="327">
        <v>2535.1610602298051</v>
      </c>
    </row>
    <row r="181" spans="2:14" ht="15">
      <c r="B181" s="645"/>
      <c r="C181" s="350" t="s">
        <v>940</v>
      </c>
      <c r="D181" s="318" t="s">
        <v>489</v>
      </c>
      <c r="E181" s="375">
        <v>43370</v>
      </c>
      <c r="F181" s="319">
        <v>54954</v>
      </c>
      <c r="G181" s="321">
        <v>31.736986301369864</v>
      </c>
      <c r="H181" s="346" t="s">
        <v>450</v>
      </c>
      <c r="I181" s="378">
        <v>0</v>
      </c>
      <c r="J181" s="328">
        <v>3.85E-2</v>
      </c>
      <c r="K181" s="311"/>
      <c r="L181" s="325">
        <v>613000</v>
      </c>
      <c r="M181" s="326">
        <v>86036.92625731272</v>
      </c>
      <c r="N181" s="327">
        <v>25065.382740659203</v>
      </c>
    </row>
    <row r="182" spans="2:14" ht="15">
      <c r="B182" s="645"/>
      <c r="C182" s="350" t="s">
        <v>941</v>
      </c>
      <c r="D182" s="318" t="s">
        <v>489</v>
      </c>
      <c r="E182" s="375">
        <v>43370</v>
      </c>
      <c r="F182" s="319">
        <v>54954</v>
      </c>
      <c r="G182" s="321">
        <v>31.736986301369864</v>
      </c>
      <c r="H182" s="346" t="s">
        <v>450</v>
      </c>
      <c r="I182" s="378">
        <v>0</v>
      </c>
      <c r="J182" s="328">
        <v>3.85E-2</v>
      </c>
      <c r="K182" s="308"/>
      <c r="L182" s="325">
        <v>184000</v>
      </c>
      <c r="M182" s="326">
        <v>25825.11326483775</v>
      </c>
      <c r="N182" s="327">
        <v>7523.7037916497447</v>
      </c>
    </row>
    <row r="183" spans="2:14" ht="15">
      <c r="B183" s="645"/>
      <c r="C183" s="350" t="s">
        <v>941</v>
      </c>
      <c r="D183" s="318" t="s">
        <v>489</v>
      </c>
      <c r="E183" s="375">
        <v>43370</v>
      </c>
      <c r="F183" s="319">
        <v>54954</v>
      </c>
      <c r="G183" s="321">
        <v>31.736986301369864</v>
      </c>
      <c r="H183" s="346" t="s">
        <v>450</v>
      </c>
      <c r="I183" s="378">
        <v>0</v>
      </c>
      <c r="J183" s="328">
        <v>3.85E-2</v>
      </c>
      <c r="K183" s="311"/>
      <c r="L183" s="325">
        <v>62000</v>
      </c>
      <c r="M183" s="326">
        <v>8701.9403392388067</v>
      </c>
      <c r="N183" s="327">
        <v>2535.1610602298051</v>
      </c>
    </row>
    <row r="184" spans="2:14" ht="15">
      <c r="B184" s="646"/>
      <c r="C184" s="350" t="s">
        <v>939</v>
      </c>
      <c r="D184" s="318" t="s">
        <v>899</v>
      </c>
      <c r="E184" s="375">
        <v>43370</v>
      </c>
      <c r="F184" s="319">
        <v>44910</v>
      </c>
      <c r="G184" s="321">
        <v>4.2191780821917808</v>
      </c>
      <c r="H184" s="346" t="s">
        <v>911</v>
      </c>
      <c r="I184" s="382" t="s">
        <v>439</v>
      </c>
      <c r="J184" s="328">
        <v>3.5000000000000001E-3</v>
      </c>
      <c r="K184" s="308"/>
      <c r="L184" s="325">
        <v>6911764291</v>
      </c>
      <c r="M184" s="326">
        <v>33370.550361032219</v>
      </c>
      <c r="N184" s="327">
        <v>9721.9374686182709</v>
      </c>
    </row>
    <row r="185" spans="2:14" ht="15">
      <c r="B185" s="330"/>
      <c r="C185" s="336"/>
      <c r="D185" s="342"/>
      <c r="E185" s="337"/>
      <c r="F185" s="337"/>
      <c r="G185" s="352"/>
      <c r="H185" s="339"/>
      <c r="I185" s="339"/>
      <c r="J185" s="353"/>
      <c r="K185" s="311"/>
      <c r="L185" s="354"/>
      <c r="M185" s="334">
        <v>162636.4705616603</v>
      </c>
      <c r="N185" s="335">
        <v>47381.346121386829</v>
      </c>
    </row>
    <row r="186" spans="2:14" ht="13.5" customHeight="1">
      <c r="B186" s="315"/>
      <c r="C186" s="307"/>
      <c r="D186" s="349"/>
      <c r="E186" s="307"/>
      <c r="F186" s="307"/>
      <c r="G186" s="307"/>
      <c r="H186" s="307"/>
      <c r="I186" s="307"/>
      <c r="J186" s="373"/>
      <c r="K186" s="308"/>
      <c r="L186" s="381"/>
      <c r="M186" s="316"/>
      <c r="N186" s="316"/>
    </row>
    <row r="187" spans="2:14" ht="13.5" customHeight="1">
      <c r="B187" s="363" t="s">
        <v>973</v>
      </c>
      <c r="C187" s="358" t="s">
        <v>943</v>
      </c>
      <c r="D187" s="358" t="s">
        <v>489</v>
      </c>
      <c r="E187" s="319">
        <v>44118</v>
      </c>
      <c r="F187" s="319">
        <v>44805</v>
      </c>
      <c r="G187" s="321">
        <v>1.8821917808219177</v>
      </c>
      <c r="H187" s="346" t="s">
        <v>900</v>
      </c>
      <c r="I187" s="323" t="s">
        <v>439</v>
      </c>
      <c r="J187" s="328">
        <v>3.5000000000000001E-3</v>
      </c>
      <c r="K187" s="308"/>
      <c r="L187" s="325">
        <v>4000000</v>
      </c>
      <c r="M187" s="326">
        <v>561411.67589696497</v>
      </c>
      <c r="N187" s="327">
        <v>163557.66231521193</v>
      </c>
    </row>
    <row r="188" spans="2:14" ht="13.5" customHeight="1">
      <c r="B188" s="330"/>
      <c r="C188" s="336"/>
      <c r="D188" s="342"/>
      <c r="E188" s="337"/>
      <c r="F188" s="337"/>
      <c r="G188" s="352"/>
      <c r="H188" s="339"/>
      <c r="I188" s="339"/>
      <c r="J188" s="353"/>
      <c r="K188" s="311"/>
      <c r="L188" s="354"/>
      <c r="M188" s="334">
        <v>561411.67589696497</v>
      </c>
      <c r="N188" s="334">
        <v>163557.66231521193</v>
      </c>
    </row>
    <row r="189" spans="2:14" ht="13.5" customHeight="1">
      <c r="B189" s="315"/>
      <c r="C189" s="307"/>
      <c r="D189" s="349"/>
      <c r="E189" s="307"/>
      <c r="F189" s="307"/>
      <c r="G189" s="307"/>
      <c r="H189" s="307"/>
      <c r="I189" s="307"/>
      <c r="J189" s="373"/>
      <c r="K189" s="308"/>
      <c r="L189" s="381"/>
      <c r="M189" s="316"/>
      <c r="N189" s="316"/>
    </row>
    <row r="190" spans="2:14" ht="15">
      <c r="B190" s="644" t="s">
        <v>431</v>
      </c>
      <c r="C190" s="350" t="s">
        <v>942</v>
      </c>
      <c r="D190" s="318" t="s">
        <v>467</v>
      </c>
      <c r="E190" s="375">
        <v>42514</v>
      </c>
      <c r="F190" s="319">
        <v>47938</v>
      </c>
      <c r="G190" s="321">
        <v>14.860273972602739</v>
      </c>
      <c r="H190" s="346" t="s">
        <v>865</v>
      </c>
      <c r="I190" s="347" t="s">
        <v>439</v>
      </c>
      <c r="J190" s="383">
        <v>2.2499999999999999E-2</v>
      </c>
      <c r="K190" s="311"/>
      <c r="L190" s="325">
        <v>63803754.839038081</v>
      </c>
      <c r="M190" s="326">
        <v>219006.38848303506</v>
      </c>
      <c r="N190" s="327">
        <v>63803.75483846615</v>
      </c>
    </row>
    <row r="191" spans="2:14" ht="15">
      <c r="B191" s="645"/>
      <c r="C191" s="350" t="s">
        <v>943</v>
      </c>
      <c r="D191" s="318" t="s">
        <v>467</v>
      </c>
      <c r="E191" s="375">
        <v>42514</v>
      </c>
      <c r="F191" s="319">
        <v>47938</v>
      </c>
      <c r="G191" s="321">
        <v>14.860273972602739</v>
      </c>
      <c r="H191" s="346" t="s">
        <v>865</v>
      </c>
      <c r="I191" s="347" t="s">
        <v>439</v>
      </c>
      <c r="J191" s="383">
        <v>2.2499999999999999E-2</v>
      </c>
      <c r="K191" s="308"/>
      <c r="L191" s="325">
        <v>63803754.568160504</v>
      </c>
      <c r="M191" s="326">
        <v>219006.38755324774</v>
      </c>
      <c r="N191" s="327">
        <v>63803.754567588563</v>
      </c>
    </row>
    <row r="192" spans="2:14" ht="15">
      <c r="B192" s="645"/>
      <c r="C192" s="350" t="s">
        <v>884</v>
      </c>
      <c r="D192" s="318" t="s">
        <v>467</v>
      </c>
      <c r="E192" s="375">
        <v>42514</v>
      </c>
      <c r="F192" s="319">
        <v>47938</v>
      </c>
      <c r="G192" s="321">
        <v>14.860273972602739</v>
      </c>
      <c r="H192" s="346" t="s">
        <v>865</v>
      </c>
      <c r="I192" s="347" t="s">
        <v>439</v>
      </c>
      <c r="J192" s="383">
        <v>2.2499999999999999E-2</v>
      </c>
      <c r="K192" s="311"/>
      <c r="L192" s="325">
        <v>76639255.617557079</v>
      </c>
      <c r="M192" s="326">
        <v>263064.24490490655</v>
      </c>
      <c r="N192" s="327">
        <v>76639.255616870068</v>
      </c>
    </row>
    <row r="193" spans="2:14" ht="15">
      <c r="B193" s="645"/>
      <c r="C193" s="350" t="s">
        <v>944</v>
      </c>
      <c r="D193" s="318" t="s">
        <v>467</v>
      </c>
      <c r="E193" s="375">
        <v>42514</v>
      </c>
      <c r="F193" s="319">
        <v>47938</v>
      </c>
      <c r="G193" s="321">
        <v>14.860273972602739</v>
      </c>
      <c r="H193" s="346" t="s">
        <v>865</v>
      </c>
      <c r="I193" s="347" t="s">
        <v>439</v>
      </c>
      <c r="J193" s="383">
        <v>2.2499999999999999E-2</v>
      </c>
      <c r="K193" s="308"/>
      <c r="L193" s="325">
        <v>63803754.539632306</v>
      </c>
      <c r="M193" s="326">
        <v>219006.3874553247</v>
      </c>
      <c r="N193" s="327">
        <v>63803.754539060363</v>
      </c>
    </row>
    <row r="194" spans="2:14" ht="15">
      <c r="B194" s="645"/>
      <c r="C194" s="350" t="s">
        <v>945</v>
      </c>
      <c r="D194" s="318" t="s">
        <v>467</v>
      </c>
      <c r="E194" s="375">
        <v>42514</v>
      </c>
      <c r="F194" s="319">
        <v>47938</v>
      </c>
      <c r="G194" s="321">
        <v>14.860273972602739</v>
      </c>
      <c r="H194" s="346" t="s">
        <v>865</v>
      </c>
      <c r="I194" s="347" t="s">
        <v>439</v>
      </c>
      <c r="J194" s="383">
        <v>2.2499999999999999E-2</v>
      </c>
      <c r="K194" s="311"/>
      <c r="L194" s="325">
        <v>63708214.34190692</v>
      </c>
      <c r="M194" s="326">
        <v>218678.44572663525</v>
      </c>
      <c r="N194" s="327">
        <v>63708.214341335835</v>
      </c>
    </row>
    <row r="195" spans="2:14" ht="15">
      <c r="B195" s="645"/>
      <c r="C195" s="350" t="s">
        <v>946</v>
      </c>
      <c r="D195" s="318" t="s">
        <v>467</v>
      </c>
      <c r="E195" s="375">
        <v>42514</v>
      </c>
      <c r="F195" s="319">
        <v>47938</v>
      </c>
      <c r="G195" s="321">
        <v>14.860273972602739</v>
      </c>
      <c r="H195" s="346" t="s">
        <v>865</v>
      </c>
      <c r="I195" s="347" t="s">
        <v>439</v>
      </c>
      <c r="J195" s="383">
        <v>2.2499999999999999E-2</v>
      </c>
      <c r="K195" s="308"/>
      <c r="L195" s="325">
        <v>76734795.815282464</v>
      </c>
      <c r="M195" s="326">
        <v>263392.18663359596</v>
      </c>
      <c r="N195" s="327">
        <v>76734.795814594603</v>
      </c>
    </row>
    <row r="196" spans="2:14" ht="15">
      <c r="B196" s="645"/>
      <c r="C196" s="350" t="s">
        <v>947</v>
      </c>
      <c r="D196" s="318" t="s">
        <v>467</v>
      </c>
      <c r="E196" s="375">
        <v>42514</v>
      </c>
      <c r="F196" s="319">
        <v>47938</v>
      </c>
      <c r="G196" s="321">
        <v>14.860273972602739</v>
      </c>
      <c r="H196" s="346" t="s">
        <v>865</v>
      </c>
      <c r="I196" s="347" t="s">
        <v>439</v>
      </c>
      <c r="J196" s="383">
        <v>2.2499999999999999E-2</v>
      </c>
      <c r="K196" s="311"/>
      <c r="L196" s="325">
        <v>63803754.539632306</v>
      </c>
      <c r="M196" s="326">
        <v>219006.3874553247</v>
      </c>
      <c r="N196" s="327">
        <v>63803.754539060363</v>
      </c>
    </row>
    <row r="197" spans="2:14" ht="15">
      <c r="B197" s="645"/>
      <c r="C197" s="350" t="s">
        <v>948</v>
      </c>
      <c r="D197" s="318" t="s">
        <v>467</v>
      </c>
      <c r="E197" s="375">
        <v>42514</v>
      </c>
      <c r="F197" s="319">
        <v>47938</v>
      </c>
      <c r="G197" s="321">
        <v>14.860273972602739</v>
      </c>
      <c r="H197" s="346" t="s">
        <v>865</v>
      </c>
      <c r="I197" s="347" t="s">
        <v>439</v>
      </c>
      <c r="J197" s="383">
        <v>2.2499999999999999E-2</v>
      </c>
      <c r="K197" s="308"/>
      <c r="L197" s="325">
        <v>63803754.539632306</v>
      </c>
      <c r="M197" s="326">
        <v>219006.3874553247</v>
      </c>
      <c r="N197" s="327">
        <v>63803.754539060363</v>
      </c>
    </row>
    <row r="198" spans="2:14" ht="15">
      <c r="B198" s="645"/>
      <c r="C198" s="350" t="s">
        <v>949</v>
      </c>
      <c r="D198" s="318" t="s">
        <v>467</v>
      </c>
      <c r="E198" s="375">
        <v>42514</v>
      </c>
      <c r="F198" s="319">
        <v>47938</v>
      </c>
      <c r="G198" s="321">
        <v>14.860273972602739</v>
      </c>
      <c r="H198" s="346" t="s">
        <v>865</v>
      </c>
      <c r="I198" s="347" t="s">
        <v>439</v>
      </c>
      <c r="J198" s="383">
        <v>2.2499999999999999E-2</v>
      </c>
      <c r="K198" s="311"/>
      <c r="L198" s="325">
        <v>63944223.539274693</v>
      </c>
      <c r="M198" s="326">
        <v>219488.54729659288</v>
      </c>
      <c r="N198" s="327">
        <v>63944.223538701495</v>
      </c>
    </row>
    <row r="199" spans="2:14" ht="15">
      <c r="B199" s="645"/>
      <c r="C199" s="350" t="s">
        <v>950</v>
      </c>
      <c r="D199" s="318" t="s">
        <v>467</v>
      </c>
      <c r="E199" s="375">
        <v>42514</v>
      </c>
      <c r="F199" s="319">
        <v>47938</v>
      </c>
      <c r="G199" s="321">
        <v>14.860273972602739</v>
      </c>
      <c r="H199" s="346" t="s">
        <v>865</v>
      </c>
      <c r="I199" s="347" t="s">
        <v>439</v>
      </c>
      <c r="J199" s="383">
        <v>2.2499999999999999E-2</v>
      </c>
      <c r="K199" s="308"/>
      <c r="L199" s="325">
        <v>45132891.51978045</v>
      </c>
      <c r="M199" s="326">
        <v>154918.65014025773</v>
      </c>
      <c r="N199" s="327">
        <v>45132.891519375888</v>
      </c>
    </row>
    <row r="200" spans="2:14" ht="15">
      <c r="B200" s="645"/>
      <c r="C200" s="350" t="s">
        <v>951</v>
      </c>
      <c r="D200" s="318" t="s">
        <v>467</v>
      </c>
      <c r="E200" s="375">
        <v>42514</v>
      </c>
      <c r="F200" s="319">
        <v>47938</v>
      </c>
      <c r="G200" s="321">
        <v>14.860273972602739</v>
      </c>
      <c r="H200" s="346" t="s">
        <v>865</v>
      </c>
      <c r="I200" s="347" t="s">
        <v>439</v>
      </c>
      <c r="J200" s="383">
        <v>2.2499999999999999E-2</v>
      </c>
      <c r="K200" s="311"/>
      <c r="L200" s="325">
        <v>17631749.607632458</v>
      </c>
      <c r="M200" s="326">
        <v>60520.980527655898</v>
      </c>
      <c r="N200" s="327">
        <v>17631.749607474405</v>
      </c>
    </row>
    <row r="201" spans="2:14" ht="15">
      <c r="B201" s="645"/>
      <c r="C201" s="358" t="s">
        <v>474</v>
      </c>
      <c r="D201" s="318" t="s">
        <v>467</v>
      </c>
      <c r="E201" s="375">
        <v>0</v>
      </c>
      <c r="F201" s="319">
        <v>0</v>
      </c>
      <c r="G201" s="321">
        <v>0</v>
      </c>
      <c r="H201" s="346" t="s">
        <v>865</v>
      </c>
      <c r="I201" s="347" t="s">
        <v>439</v>
      </c>
      <c r="J201" s="383">
        <v>2.2499999999999999E-2</v>
      </c>
      <c r="K201" s="308"/>
      <c r="L201" s="325">
        <v>83161733.640000001</v>
      </c>
      <c r="M201" s="326">
        <v>285452.65071674122</v>
      </c>
      <c r="N201" s="327">
        <v>83161.733639254555</v>
      </c>
    </row>
    <row r="202" spans="2:14" ht="15">
      <c r="B202" s="645"/>
      <c r="C202" s="350" t="s">
        <v>944</v>
      </c>
      <c r="D202" s="318" t="s">
        <v>467</v>
      </c>
      <c r="E202" s="375">
        <v>43966</v>
      </c>
      <c r="F202" s="319">
        <v>47938</v>
      </c>
      <c r="G202" s="321">
        <v>10.882191780821918</v>
      </c>
      <c r="H202" s="346" t="s">
        <v>865</v>
      </c>
      <c r="I202" s="347" t="s">
        <v>439</v>
      </c>
      <c r="J202" s="383">
        <v>1.6E-2</v>
      </c>
      <c r="K202" s="311"/>
      <c r="L202" s="325">
        <v>20000000</v>
      </c>
      <c r="M202" s="326">
        <v>68649.999999384614</v>
      </c>
      <c r="N202" s="327">
        <v>19999.99999982072</v>
      </c>
    </row>
    <row r="203" spans="2:14" ht="15">
      <c r="B203" s="645"/>
      <c r="C203" s="350" t="s">
        <v>947</v>
      </c>
      <c r="D203" s="318" t="s">
        <v>467</v>
      </c>
      <c r="E203" s="375">
        <v>43966</v>
      </c>
      <c r="F203" s="319">
        <v>47938</v>
      </c>
      <c r="G203" s="321">
        <v>10.882191780821918</v>
      </c>
      <c r="H203" s="346" t="s">
        <v>865</v>
      </c>
      <c r="I203" s="347" t="s">
        <v>439</v>
      </c>
      <c r="J203" s="383">
        <v>1.6E-2</v>
      </c>
      <c r="K203" s="308"/>
      <c r="L203" s="325">
        <v>34000000</v>
      </c>
      <c r="M203" s="326">
        <v>116704.99999895385</v>
      </c>
      <c r="N203" s="327">
        <v>33999.999999695217</v>
      </c>
    </row>
    <row r="204" spans="2:14" ht="15">
      <c r="B204" s="645"/>
      <c r="C204" s="350" t="s">
        <v>950</v>
      </c>
      <c r="D204" s="318" t="s">
        <v>467</v>
      </c>
      <c r="E204" s="375">
        <v>43966</v>
      </c>
      <c r="F204" s="319">
        <v>47938</v>
      </c>
      <c r="G204" s="321">
        <v>10.882191780821918</v>
      </c>
      <c r="H204" s="346" t="s">
        <v>865</v>
      </c>
      <c r="I204" s="347" t="s">
        <v>439</v>
      </c>
      <c r="J204" s="383">
        <v>1.6E-2</v>
      </c>
      <c r="K204" s="311"/>
      <c r="L204" s="325">
        <v>20000000</v>
      </c>
      <c r="M204" s="326">
        <v>68649.999999384614</v>
      </c>
      <c r="N204" s="327">
        <v>19999.99999982072</v>
      </c>
    </row>
    <row r="205" spans="2:14" ht="15">
      <c r="B205" s="645"/>
      <c r="C205" s="350" t="s">
        <v>943</v>
      </c>
      <c r="D205" s="318" t="s">
        <v>467</v>
      </c>
      <c r="E205" s="375">
        <v>43966</v>
      </c>
      <c r="F205" s="319">
        <v>47938</v>
      </c>
      <c r="G205" s="321">
        <v>10.882191780821918</v>
      </c>
      <c r="H205" s="346" t="s">
        <v>865</v>
      </c>
      <c r="I205" s="347" t="s">
        <v>439</v>
      </c>
      <c r="J205" s="383">
        <v>1.6E-2</v>
      </c>
      <c r="K205" s="308"/>
      <c r="L205" s="325">
        <v>20000000</v>
      </c>
      <c r="M205" s="326">
        <v>68649.999999384614</v>
      </c>
      <c r="N205" s="327">
        <v>19999.99999982072</v>
      </c>
    </row>
    <row r="206" spans="2:14" ht="15">
      <c r="B206" s="645"/>
      <c r="C206" s="350" t="s">
        <v>942</v>
      </c>
      <c r="D206" s="318" t="s">
        <v>899</v>
      </c>
      <c r="E206" s="375">
        <v>42514</v>
      </c>
      <c r="F206" s="319">
        <v>43921</v>
      </c>
      <c r="G206" s="321">
        <v>3.8547945205479452</v>
      </c>
      <c r="H206" s="346" t="s">
        <v>952</v>
      </c>
      <c r="I206" s="382" t="s">
        <v>439</v>
      </c>
      <c r="J206" s="324">
        <v>1.0999999999999999E-2</v>
      </c>
      <c r="K206" s="311"/>
      <c r="L206" s="325">
        <v>0</v>
      </c>
      <c r="M206" s="326">
        <v>0</v>
      </c>
      <c r="N206" s="327">
        <v>0</v>
      </c>
    </row>
    <row r="207" spans="2:14" ht="15">
      <c r="B207" s="645"/>
      <c r="C207" s="350" t="s">
        <v>868</v>
      </c>
      <c r="D207" s="318" t="s">
        <v>899</v>
      </c>
      <c r="E207" s="375">
        <v>42514</v>
      </c>
      <c r="F207" s="319">
        <v>43921</v>
      </c>
      <c r="G207" s="321">
        <v>3.8547945205479452</v>
      </c>
      <c r="H207" s="346" t="s">
        <v>952</v>
      </c>
      <c r="I207" s="382" t="s">
        <v>439</v>
      </c>
      <c r="J207" s="324">
        <v>1.0999999999999999E-2</v>
      </c>
      <c r="K207" s="308"/>
      <c r="L207" s="325">
        <v>0</v>
      </c>
      <c r="M207" s="326">
        <v>0</v>
      </c>
      <c r="N207" s="327">
        <v>0</v>
      </c>
    </row>
    <row r="208" spans="2:14" ht="15">
      <c r="B208" s="646"/>
      <c r="C208" s="350" t="s">
        <v>953</v>
      </c>
      <c r="D208" s="318" t="s">
        <v>899</v>
      </c>
      <c r="E208" s="375">
        <v>42514</v>
      </c>
      <c r="F208" s="319">
        <v>43921</v>
      </c>
      <c r="G208" s="321">
        <v>3.8547945205479452</v>
      </c>
      <c r="H208" s="346" t="s">
        <v>952</v>
      </c>
      <c r="I208" s="382" t="s">
        <v>439</v>
      </c>
      <c r="J208" s="324">
        <v>1.0999999999999999E-2</v>
      </c>
      <c r="K208" s="311"/>
      <c r="L208" s="325">
        <v>0</v>
      </c>
      <c r="M208" s="326">
        <v>0</v>
      </c>
      <c r="N208" s="327">
        <v>0</v>
      </c>
    </row>
    <row r="209" spans="2:14" ht="15">
      <c r="B209" s="330"/>
      <c r="C209" s="336"/>
      <c r="D209" s="342"/>
      <c r="E209" s="337"/>
      <c r="F209" s="337"/>
      <c r="G209" s="352"/>
      <c r="H209" s="339"/>
      <c r="I209" s="339"/>
      <c r="J209" s="353"/>
      <c r="K209" s="308"/>
      <c r="L209" s="353"/>
      <c r="M209" s="334">
        <v>2883202.6443457487</v>
      </c>
      <c r="N209" s="335">
        <v>839971.63710000005</v>
      </c>
    </row>
    <row r="210" spans="2:14" ht="4.5" customHeight="1">
      <c r="B210" s="315"/>
      <c r="C210" s="307"/>
      <c r="D210" s="349"/>
      <c r="E210" s="307"/>
      <c r="F210" s="307"/>
      <c r="G210" s="307"/>
      <c r="H210" s="307"/>
      <c r="I210" s="307"/>
      <c r="J210" s="373"/>
      <c r="K210" s="311"/>
      <c r="L210" s="373"/>
      <c r="M210" s="316"/>
      <c r="N210" s="316"/>
    </row>
    <row r="211" spans="2:14" ht="15.75" customHeight="1" thickBot="1">
      <c r="B211" s="662" t="s">
        <v>432</v>
      </c>
      <c r="C211" s="662"/>
      <c r="D211" s="662"/>
      <c r="E211" s="662"/>
      <c r="F211" s="662"/>
      <c r="G211" s="662"/>
      <c r="H211" s="662"/>
      <c r="I211" s="384"/>
      <c r="J211" s="385"/>
      <c r="K211" s="308"/>
      <c r="L211" s="385"/>
      <c r="M211" s="387">
        <f>+M8+M59+M77+M128</f>
        <v>8407520.0725734998</v>
      </c>
      <c r="N211" s="386">
        <f>+N8+N59+N77+N128</f>
        <v>2449386.7654984705</v>
      </c>
    </row>
    <row r="212" spans="2:14" ht="14.5" thickTop="1">
      <c r="D212" s="81"/>
      <c r="E212" s="81"/>
      <c r="F212" s="81"/>
      <c r="G212" s="81"/>
      <c r="H212" s="81"/>
      <c r="I212" s="81"/>
      <c r="J212" s="81"/>
      <c r="K212" s="127"/>
      <c r="L212" s="81"/>
    </row>
    <row r="213" spans="2:14">
      <c r="G213" s="81"/>
      <c r="H213" s="81"/>
      <c r="I213" s="81"/>
      <c r="J213" s="81"/>
      <c r="K213" s="145"/>
      <c r="L213" s="155"/>
      <c r="M213" s="156"/>
      <c r="N213" s="83"/>
    </row>
    <row r="214" spans="2:14">
      <c r="F214" s="157"/>
      <c r="G214" s="81"/>
      <c r="H214" s="81"/>
      <c r="I214" s="81"/>
      <c r="J214" s="81"/>
      <c r="K214" s="127"/>
      <c r="L214" s="155"/>
      <c r="N214" s="83"/>
    </row>
    <row r="215" spans="2:14">
      <c r="G215" s="81"/>
      <c r="K215" s="145"/>
      <c r="L215" s="155"/>
      <c r="M215" s="58"/>
    </row>
    <row r="216" spans="2:14">
      <c r="G216" s="81"/>
      <c r="K216" s="127"/>
      <c r="L216" s="155"/>
    </row>
    <row r="217" spans="2:14">
      <c r="G217" s="81"/>
      <c r="K217" s="145"/>
    </row>
    <row r="218" spans="2:14">
      <c r="G218" s="81"/>
      <c r="K218" s="127"/>
      <c r="M218" s="58"/>
    </row>
    <row r="219" spans="2:14">
      <c r="G219" s="81"/>
      <c r="K219" s="145"/>
    </row>
    <row r="220" spans="2:14">
      <c r="G220" s="81"/>
      <c r="H220" s="81"/>
      <c r="I220" s="81"/>
      <c r="J220" s="81"/>
      <c r="K220" s="127"/>
      <c r="L220" s="81"/>
      <c r="M220" s="83"/>
      <c r="N220" s="83"/>
    </row>
    <row r="221" spans="2:14">
      <c r="G221" s="81"/>
      <c r="H221" s="81"/>
      <c r="I221" s="81"/>
      <c r="J221" s="81"/>
      <c r="K221" s="145"/>
      <c r="L221" s="81"/>
      <c r="M221" s="83"/>
      <c r="N221" s="83"/>
    </row>
    <row r="222" spans="2:14">
      <c r="G222" s="81"/>
      <c r="H222" s="81"/>
      <c r="I222" s="81"/>
      <c r="J222" s="81"/>
      <c r="K222" s="127"/>
      <c r="L222" s="81"/>
      <c r="M222" s="83"/>
      <c r="N222" s="83"/>
    </row>
    <row r="223" spans="2:14">
      <c r="G223" s="81"/>
      <c r="H223" s="81"/>
      <c r="I223" s="81"/>
      <c r="J223" s="81"/>
      <c r="K223" s="145"/>
      <c r="L223" s="81"/>
      <c r="M223" s="83"/>
      <c r="N223" s="83"/>
    </row>
    <row r="224" spans="2:14">
      <c r="G224" s="81"/>
      <c r="H224" s="81"/>
      <c r="I224" s="81"/>
      <c r="J224" s="81"/>
      <c r="K224" s="127"/>
      <c r="L224" s="81"/>
      <c r="M224" s="83"/>
      <c r="N224" s="83"/>
    </row>
    <row r="225" spans="7:14">
      <c r="G225" s="81"/>
      <c r="H225" s="81"/>
      <c r="I225" s="81"/>
      <c r="J225" s="81"/>
      <c r="K225" s="145"/>
      <c r="L225" s="81"/>
      <c r="M225" s="83"/>
      <c r="N225" s="83"/>
    </row>
    <row r="226" spans="7:14">
      <c r="G226" s="81"/>
      <c r="H226" s="81"/>
      <c r="I226" s="81"/>
      <c r="J226" s="81"/>
      <c r="K226" s="127"/>
      <c r="L226" s="81"/>
      <c r="M226" s="83"/>
      <c r="N226" s="83"/>
    </row>
    <row r="227" spans="7:14">
      <c r="G227" s="81"/>
      <c r="H227" s="81"/>
      <c r="I227" s="81"/>
      <c r="J227" s="81"/>
      <c r="K227" s="145"/>
      <c r="L227" s="81"/>
      <c r="M227" s="83"/>
      <c r="N227" s="83"/>
    </row>
    <row r="228" spans="7:14">
      <c r="G228" s="81"/>
      <c r="H228" s="81"/>
      <c r="I228" s="81"/>
      <c r="J228" s="81"/>
      <c r="K228" s="127"/>
      <c r="L228" s="81"/>
      <c r="M228" s="83"/>
      <c r="N228" s="83"/>
    </row>
    <row r="229" spans="7:14">
      <c r="G229" s="81"/>
      <c r="H229" s="81"/>
      <c r="I229" s="81"/>
      <c r="J229" s="81"/>
      <c r="K229" s="145"/>
      <c r="L229" s="81"/>
      <c r="M229" s="83"/>
      <c r="N229" s="83"/>
    </row>
    <row r="230" spans="7:14">
      <c r="G230" s="81"/>
      <c r="H230" s="81"/>
      <c r="I230" s="81"/>
      <c r="J230" s="81"/>
      <c r="K230" s="127"/>
      <c r="L230" s="81"/>
      <c r="M230" s="83"/>
      <c r="N230" s="83"/>
    </row>
    <row r="231" spans="7:14">
      <c r="G231" s="81"/>
      <c r="H231" s="81"/>
      <c r="I231" s="81"/>
      <c r="J231" s="81"/>
      <c r="K231" s="145"/>
      <c r="L231" s="81"/>
      <c r="M231" s="83"/>
      <c r="N231" s="83"/>
    </row>
    <row r="232" spans="7:14">
      <c r="G232" s="81"/>
      <c r="H232" s="81"/>
      <c r="I232" s="81"/>
      <c r="J232" s="81"/>
      <c r="K232" s="127"/>
      <c r="L232" s="81"/>
      <c r="M232" s="83"/>
      <c r="N232" s="83"/>
    </row>
    <row r="233" spans="7:14">
      <c r="G233" s="81"/>
      <c r="H233" s="81"/>
      <c r="I233" s="81"/>
      <c r="J233" s="81"/>
      <c r="K233" s="145"/>
      <c r="L233" s="81"/>
      <c r="M233" s="83"/>
      <c r="N233" s="83"/>
    </row>
    <row r="234" spans="7:14">
      <c r="G234" s="81"/>
      <c r="H234" s="81"/>
      <c r="I234" s="81"/>
      <c r="J234" s="81"/>
      <c r="K234" s="127"/>
      <c r="L234" s="81"/>
      <c r="M234" s="83"/>
      <c r="N234" s="83"/>
    </row>
    <row r="235" spans="7:14">
      <c r="G235" s="81"/>
      <c r="H235" s="81"/>
      <c r="I235" s="81"/>
      <c r="J235" s="81"/>
      <c r="K235" s="145"/>
      <c r="L235" s="81"/>
      <c r="M235" s="83"/>
      <c r="N235" s="83"/>
    </row>
    <row r="236" spans="7:14">
      <c r="G236" s="81"/>
      <c r="H236" s="81"/>
      <c r="I236" s="81"/>
      <c r="J236" s="81"/>
      <c r="K236" s="127"/>
      <c r="L236" s="81"/>
      <c r="M236" s="83"/>
      <c r="N236" s="83"/>
    </row>
    <row r="237" spans="7:14">
      <c r="G237" s="81"/>
      <c r="H237" s="81"/>
      <c r="I237" s="81"/>
      <c r="J237" s="81"/>
      <c r="K237" s="145"/>
      <c r="L237" s="81"/>
      <c r="M237" s="83"/>
      <c r="N237" s="83"/>
    </row>
    <row r="238" spans="7:14">
      <c r="G238" s="81"/>
      <c r="H238" s="81"/>
      <c r="I238" s="81"/>
      <c r="J238" s="81"/>
      <c r="K238" s="127"/>
      <c r="L238" s="81"/>
      <c r="M238" s="83"/>
      <c r="N238" s="83"/>
    </row>
    <row r="239" spans="7:14">
      <c r="G239" s="81"/>
      <c r="H239" s="81"/>
      <c r="I239" s="81"/>
      <c r="J239" s="81"/>
      <c r="K239" s="145"/>
      <c r="L239" s="81"/>
      <c r="M239" s="83"/>
      <c r="N239" s="83"/>
    </row>
    <row r="240" spans="7:14">
      <c r="G240" s="81"/>
      <c r="H240" s="81"/>
      <c r="I240" s="81"/>
      <c r="J240" s="81"/>
      <c r="K240" s="127"/>
      <c r="L240" s="81"/>
      <c r="M240" s="83"/>
      <c r="N240" s="83"/>
    </row>
    <row r="241" spans="7:14">
      <c r="G241" s="81"/>
      <c r="H241" s="81"/>
      <c r="I241" s="81"/>
      <c r="J241" s="81"/>
      <c r="K241" s="145"/>
      <c r="L241" s="81"/>
      <c r="M241" s="83"/>
      <c r="N241" s="83"/>
    </row>
    <row r="242" spans="7:14">
      <c r="G242" s="81"/>
      <c r="H242" s="81"/>
      <c r="I242" s="81"/>
      <c r="J242" s="81"/>
      <c r="K242" s="127"/>
      <c r="L242" s="81"/>
      <c r="M242" s="83"/>
      <c r="N242" s="83"/>
    </row>
    <row r="243" spans="7:14">
      <c r="G243" s="81"/>
      <c r="H243" s="81"/>
      <c r="I243" s="81"/>
      <c r="J243" s="81"/>
      <c r="K243" s="145"/>
      <c r="L243" s="81"/>
      <c r="M243" s="83"/>
      <c r="N243" s="83"/>
    </row>
    <row r="244" spans="7:14">
      <c r="G244" s="81"/>
      <c r="H244" s="81"/>
      <c r="I244" s="81"/>
      <c r="J244" s="81"/>
      <c r="K244" s="127"/>
      <c r="L244" s="81"/>
      <c r="M244" s="83"/>
      <c r="N244" s="83"/>
    </row>
    <row r="245" spans="7:14">
      <c r="G245" s="81"/>
      <c r="H245" s="81"/>
      <c r="I245" s="81"/>
      <c r="J245" s="81"/>
      <c r="K245" s="145"/>
      <c r="L245" s="81"/>
      <c r="M245" s="83"/>
      <c r="N245" s="83"/>
    </row>
    <row r="246" spans="7:14">
      <c r="H246" s="81"/>
      <c r="I246" s="81"/>
      <c r="J246" s="81"/>
      <c r="K246" s="127"/>
      <c r="L246" s="81"/>
      <c r="M246" s="83"/>
      <c r="N246" s="83"/>
    </row>
    <row r="247" spans="7:14">
      <c r="H247" s="81"/>
      <c r="I247" s="81"/>
      <c r="J247" s="81"/>
      <c r="K247" s="145"/>
      <c r="L247" s="81"/>
      <c r="M247" s="83"/>
      <c r="N247" s="83"/>
    </row>
    <row r="248" spans="7:14">
      <c r="H248" s="81"/>
      <c r="I248" s="81"/>
      <c r="J248" s="81"/>
      <c r="K248" s="127"/>
      <c r="L248" s="81"/>
      <c r="M248" s="83"/>
      <c r="N248" s="83"/>
    </row>
    <row r="249" spans="7:14">
      <c r="H249" s="81"/>
      <c r="I249" s="81"/>
      <c r="J249" s="81"/>
      <c r="K249" s="145"/>
      <c r="L249" s="81"/>
      <c r="M249" s="83"/>
      <c r="N249" s="83"/>
    </row>
    <row r="250" spans="7:14">
      <c r="H250" s="81"/>
      <c r="I250" s="81"/>
      <c r="J250" s="81"/>
      <c r="K250" s="127"/>
      <c r="L250" s="81"/>
      <c r="M250" s="83"/>
      <c r="N250" s="83"/>
    </row>
    <row r="251" spans="7:14">
      <c r="H251" s="81"/>
      <c r="I251" s="81"/>
      <c r="J251" s="81"/>
      <c r="K251" s="145"/>
      <c r="L251" s="81"/>
      <c r="M251" s="83"/>
      <c r="N251" s="83"/>
    </row>
    <row r="252" spans="7:14">
      <c r="H252" s="81"/>
      <c r="I252" s="81"/>
      <c r="J252" s="81"/>
      <c r="K252" s="127"/>
      <c r="L252" s="81"/>
      <c r="M252" s="83"/>
      <c r="N252" s="83"/>
    </row>
    <row r="253" spans="7:14">
      <c r="H253" s="81"/>
      <c r="I253" s="81"/>
      <c r="J253" s="81"/>
      <c r="K253" s="145"/>
      <c r="L253" s="81"/>
      <c r="M253" s="83"/>
      <c r="N253" s="83"/>
    </row>
    <row r="254" spans="7:14">
      <c r="H254" s="81"/>
      <c r="I254" s="81"/>
      <c r="J254" s="81"/>
      <c r="K254" s="127"/>
      <c r="L254" s="81"/>
      <c r="M254" s="83"/>
      <c r="N254" s="83"/>
    </row>
    <row r="255" spans="7:14">
      <c r="H255" s="81"/>
      <c r="I255" s="81"/>
      <c r="J255" s="81"/>
      <c r="K255" s="145"/>
      <c r="L255" s="81"/>
      <c r="M255" s="83"/>
      <c r="N255" s="83"/>
    </row>
    <row r="256" spans="7:14">
      <c r="H256" s="81"/>
      <c r="I256" s="81"/>
      <c r="J256" s="81"/>
      <c r="K256" s="127"/>
      <c r="L256" s="81"/>
      <c r="M256" s="83"/>
      <c r="N256" s="83"/>
    </row>
    <row r="257" spans="8:14">
      <c r="H257" s="81"/>
      <c r="I257" s="81"/>
      <c r="J257" s="81"/>
      <c r="K257" s="145"/>
      <c r="L257" s="81"/>
      <c r="M257" s="83"/>
      <c r="N257" s="83"/>
    </row>
    <row r="258" spans="8:14">
      <c r="H258" s="81"/>
      <c r="I258" s="81"/>
      <c r="J258" s="81"/>
      <c r="K258" s="127"/>
      <c r="L258" s="81"/>
      <c r="M258" s="83"/>
      <c r="N258" s="83"/>
    </row>
    <row r="259" spans="8:14">
      <c r="H259" s="81"/>
      <c r="I259" s="81"/>
      <c r="J259" s="81"/>
      <c r="K259" s="145"/>
      <c r="L259" s="81"/>
      <c r="M259" s="83"/>
      <c r="N259" s="83"/>
    </row>
    <row r="260" spans="8:14">
      <c r="H260" s="81"/>
      <c r="I260" s="81"/>
      <c r="J260" s="81"/>
      <c r="K260" s="127"/>
      <c r="L260" s="81"/>
      <c r="M260" s="83"/>
      <c r="N260" s="83"/>
    </row>
    <row r="261" spans="8:14">
      <c r="H261" s="81"/>
      <c r="I261" s="81"/>
      <c r="J261" s="81"/>
      <c r="K261" s="145"/>
      <c r="L261" s="81"/>
      <c r="M261" s="83"/>
      <c r="N261" s="83"/>
    </row>
    <row r="262" spans="8:14">
      <c r="H262" s="81"/>
      <c r="I262" s="81"/>
      <c r="J262" s="81"/>
      <c r="K262" s="127"/>
      <c r="L262" s="81"/>
      <c r="M262" s="83"/>
      <c r="N262" s="83"/>
    </row>
    <row r="263" spans="8:14">
      <c r="H263" s="81"/>
      <c r="I263" s="81"/>
      <c r="J263" s="81"/>
      <c r="K263" s="145"/>
      <c r="L263" s="81"/>
      <c r="M263" s="83"/>
      <c r="N263" s="83"/>
    </row>
    <row r="264" spans="8:14">
      <c r="H264" s="81"/>
      <c r="I264" s="81"/>
      <c r="J264" s="81"/>
      <c r="K264" s="127"/>
      <c r="L264" s="81"/>
      <c r="M264" s="83"/>
      <c r="N264" s="83"/>
    </row>
    <row r="265" spans="8:14">
      <c r="H265" s="81"/>
      <c r="I265" s="81"/>
      <c r="J265" s="81"/>
      <c r="K265" s="145"/>
      <c r="L265" s="81"/>
      <c r="M265" s="83"/>
      <c r="N265" s="83"/>
    </row>
    <row r="266" spans="8:14">
      <c r="H266" s="81"/>
      <c r="I266" s="81"/>
      <c r="J266" s="81"/>
      <c r="K266" s="127"/>
      <c r="L266" s="81"/>
      <c r="M266" s="83"/>
      <c r="N266" s="83"/>
    </row>
    <row r="267" spans="8:14">
      <c r="H267" s="81"/>
      <c r="I267" s="81"/>
      <c r="J267" s="81"/>
      <c r="K267" s="145"/>
      <c r="L267" s="81"/>
      <c r="M267" s="83"/>
      <c r="N267" s="83"/>
    </row>
    <row r="268" spans="8:14">
      <c r="H268" s="81"/>
      <c r="I268" s="81"/>
      <c r="J268" s="81"/>
      <c r="K268" s="81"/>
      <c r="L268" s="81"/>
      <c r="M268" s="83"/>
      <c r="N268" s="83"/>
    </row>
    <row r="269" spans="8:14">
      <c r="H269" s="81"/>
      <c r="I269" s="81"/>
      <c r="J269" s="81"/>
      <c r="K269" s="81"/>
      <c r="L269" s="81"/>
      <c r="M269" s="83"/>
      <c r="N269" s="83"/>
    </row>
    <row r="270" spans="8:14">
      <c r="H270" s="81"/>
      <c r="I270" s="81"/>
      <c r="J270" s="81"/>
      <c r="K270" s="81"/>
      <c r="L270" s="81"/>
      <c r="M270" s="83"/>
      <c r="N270" s="83"/>
    </row>
    <row r="271" spans="8:14">
      <c r="H271" s="81"/>
      <c r="I271" s="81"/>
      <c r="J271" s="81"/>
      <c r="K271" s="81"/>
      <c r="L271" s="81"/>
      <c r="M271" s="83"/>
      <c r="N271" s="83"/>
    </row>
    <row r="272" spans="8:14">
      <c r="H272" s="81"/>
      <c r="I272" s="81"/>
      <c r="J272" s="81"/>
      <c r="K272" s="81"/>
      <c r="L272" s="81"/>
      <c r="M272" s="83"/>
      <c r="N272" s="83"/>
    </row>
    <row r="273" spans="8:14">
      <c r="H273" s="81"/>
      <c r="I273" s="81"/>
      <c r="J273" s="81"/>
      <c r="K273" s="81"/>
      <c r="L273" s="81"/>
      <c r="M273" s="83"/>
      <c r="N273" s="83"/>
    </row>
    <row r="274" spans="8:14">
      <c r="H274" s="81"/>
      <c r="I274" s="81"/>
      <c r="J274" s="81"/>
      <c r="K274" s="81"/>
      <c r="L274" s="81"/>
      <c r="M274" s="83"/>
      <c r="N274" s="83"/>
    </row>
    <row r="275" spans="8:14">
      <c r="H275" s="81"/>
      <c r="I275" s="81"/>
      <c r="J275" s="81"/>
      <c r="K275" s="81"/>
      <c r="L275" s="81"/>
      <c r="M275" s="83"/>
      <c r="N275" s="83"/>
    </row>
    <row r="276" spans="8:14">
      <c r="H276" s="81"/>
      <c r="I276" s="81"/>
      <c r="J276" s="81"/>
      <c r="K276" s="81"/>
      <c r="L276" s="81"/>
      <c r="M276" s="83"/>
      <c r="N276" s="83"/>
    </row>
    <row r="277" spans="8:14">
      <c r="H277" s="81"/>
      <c r="I277" s="81"/>
      <c r="J277" s="81"/>
      <c r="K277" s="81"/>
      <c r="L277" s="81"/>
      <c r="M277" s="83"/>
      <c r="N277" s="83"/>
    </row>
    <row r="278" spans="8:14">
      <c r="M278" s="83"/>
      <c r="N278" s="83"/>
    </row>
    <row r="279" spans="8:14">
      <c r="M279" s="83"/>
      <c r="N279" s="83"/>
    </row>
    <row r="280" spans="8:14">
      <c r="M280" s="83"/>
      <c r="N280" s="83"/>
    </row>
    <row r="281" spans="8:14">
      <c r="M281" s="83"/>
      <c r="N281" s="83"/>
    </row>
    <row r="282" spans="8:14">
      <c r="M282" s="83"/>
      <c r="N282" s="83"/>
    </row>
    <row r="283" spans="8:14">
      <c r="M283" s="83"/>
      <c r="N283" s="83"/>
    </row>
    <row r="284" spans="8:14">
      <c r="M284" s="83"/>
      <c r="N284" s="83"/>
    </row>
    <row r="285" spans="8:14">
      <c r="M285" s="83"/>
      <c r="N285" s="83"/>
    </row>
    <row r="286" spans="8:14">
      <c r="M286" s="83"/>
      <c r="N286" s="83"/>
    </row>
    <row r="287" spans="8:14">
      <c r="M287" s="83"/>
      <c r="N287" s="83"/>
    </row>
    <row r="288" spans="8:14">
      <c r="M288" s="83"/>
      <c r="N288" s="83"/>
    </row>
    <row r="289" spans="13:14">
      <c r="M289" s="83"/>
      <c r="N289" s="83"/>
    </row>
    <row r="290" spans="13:14">
      <c r="M290" s="83"/>
      <c r="N290" s="83"/>
    </row>
    <row r="291" spans="13:14">
      <c r="M291" s="83"/>
      <c r="N291" s="83"/>
    </row>
  </sheetData>
  <mergeCells count="22">
    <mergeCell ref="B211:H211"/>
    <mergeCell ref="B113:B125"/>
    <mergeCell ref="B130:B133"/>
    <mergeCell ref="B136:B167"/>
    <mergeCell ref="B170:B177"/>
    <mergeCell ref="B180:B184"/>
    <mergeCell ref="B190:B208"/>
    <mergeCell ref="H1:J1"/>
    <mergeCell ref="H2:J2"/>
    <mergeCell ref="B107:B110"/>
    <mergeCell ref="H5:J5"/>
    <mergeCell ref="H6:J6"/>
    <mergeCell ref="B10:B23"/>
    <mergeCell ref="B32:B35"/>
    <mergeCell ref="B38:B56"/>
    <mergeCell ref="B61:B62"/>
    <mergeCell ref="B68:B70"/>
    <mergeCell ref="B73:B74"/>
    <mergeCell ref="B79:B88"/>
    <mergeCell ref="B94:B97"/>
    <mergeCell ref="B100:B101"/>
    <mergeCell ref="B25:B30"/>
  </mergeCells>
  <hyperlinks>
    <hyperlink ref="A1" location="Contenido!A1" display="Volver al Contenido" xr:uid="{CBCC78AC-7025-46D8-B21D-04B1A95E91B1}"/>
  </hyperlinks>
  <printOptions horizontalCentered="1"/>
  <pageMargins left="0.23622047244094491" right="0.23622047244094491" top="0.74803149606299213" bottom="0.74803149606299213" header="0.31496062992125984" footer="0.31496062992125984"/>
  <pageSetup scale="36" fitToHeight="2" orientation="landscape" horizontalDpi="4294967295" verticalDpi="4294967295"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699902-4F03-4A42-9870-AE91B8BB3760}">
  <ds:schemaRefs>
    <ds:schemaRef ds:uri="http://schemas.microsoft.com/office/2006/documentManagement/types"/>
    <ds:schemaRef ds:uri="http://purl.org/dc/elements/1.1/"/>
    <ds:schemaRef ds:uri="http://schemas.microsoft.com/office/infopath/2007/PartnerControls"/>
    <ds:schemaRef ds:uri="http://purl.org/dc/dcmitype/"/>
    <ds:schemaRef ds:uri="http://schemas.microsoft.com/office/2006/metadata/properties"/>
    <ds:schemaRef ds:uri="5404eb88-a663-4133-8ebe-e567804cd15f"/>
    <ds:schemaRef ds:uri="http://www.w3.org/XML/1998/namespac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Contenido</vt:lpstr>
      <vt:lpstr>EEFF_Consolidados</vt:lpstr>
      <vt:lpstr>EEFF_TE_Col</vt:lpstr>
      <vt:lpstr>EEFF_TE_Bra</vt:lpstr>
      <vt:lpstr>Flujo RBSE</vt:lpstr>
      <vt:lpstr>EEFF_TE_Per</vt:lpstr>
      <vt:lpstr>EEFF_TE_Chi</vt:lpstr>
      <vt:lpstr>EEFF_Vías_Chi</vt:lpstr>
      <vt:lpstr>Deuda_Consolidada Créditos</vt:lpstr>
      <vt:lpstr>Deuda_Consolidada Bonos</vt:lpstr>
      <vt:lpstr>CAPEX</vt:lpstr>
      <vt:lpstr>Regulación TE</vt:lpstr>
      <vt:lpstr>Dividendos</vt:lpstr>
      <vt:lpstr>Proyectos</vt:lpstr>
      <vt:lpstr>'Deuda_Consolidada Créditos'!Área_de_impresión</vt:lpstr>
      <vt:lpstr>'Deuda_Consolidada Créditos'!Títulos_a_imprimir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DIANA MARÍA CARDONA LONDOÑO</cp:lastModifiedBy>
  <cp:revision/>
  <dcterms:created xsi:type="dcterms:W3CDTF">2020-09-01T20:14:00Z</dcterms:created>
  <dcterms:modified xsi:type="dcterms:W3CDTF">2021-04-07T20:57:29Z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