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omments1.xml" ContentType="application/vnd.openxmlformats-officedocument.spreadsheetml.comments+xml"/>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2.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sa1\isa_VP_FinanzasCorporativas\ISA_RelaciónInversionistas\15. Kit Valoración\Kit inglés\"/>
    </mc:Choice>
  </mc:AlternateContent>
  <xr:revisionPtr revIDLastSave="0" documentId="13_ncr:1_{93582C17-EBD0-4599-BF9D-A2AF095F4B63}" xr6:coauthVersionLast="45" xr6:coauthVersionMax="45" xr10:uidLastSave="{00000000-0000-0000-0000-000000000000}"/>
  <bookViews>
    <workbookView xWindow="-110" yWindow="-110" windowWidth="19420" windowHeight="10420" firstSheet="9" activeTab="12" xr2:uid="{00000000-000D-0000-FFFF-FFFF00000000}"/>
  </bookViews>
  <sheets>
    <sheet name="Table of Contents" sheetId="1" r:id="rId1"/>
    <sheet name="FS Consolidated" sheetId="2" r:id="rId2"/>
    <sheet name="FS ET Colombia" sheetId="3" r:id="rId3"/>
    <sheet name="FS ET Br" sheetId="20" r:id="rId4"/>
    <sheet name="RBSE" sheetId="19" r:id="rId5"/>
    <sheet name="FS ET Per" sheetId="5" r:id="rId6"/>
    <sheet name="FS ET Ch" sheetId="7" r:id="rId7"/>
    <sheet name="FS Road Ch" sheetId="6" r:id="rId8"/>
    <sheet name="Consolidated Debt Credits" sheetId="10" r:id="rId9"/>
    <sheet name="Consolidated Debt Bonds" sheetId="18" r:id="rId10"/>
    <sheet name="CAPEX" sheetId="8" r:id="rId11"/>
    <sheet name="Energy Regulation" sheetId="9" r:id="rId12"/>
    <sheet name="Roads Regulation" sheetId="21" r:id="rId13"/>
    <sheet name="Dividends" sheetId="16" r:id="rId14"/>
    <sheet name="Projects" sheetId="12"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s>
  <definedNames>
    <definedName name="\0" localSheetId="12">#REF!</definedName>
    <definedName name="\0">#REF!</definedName>
    <definedName name="\a" localSheetId="12">#REF!</definedName>
    <definedName name="\a">#REF!</definedName>
    <definedName name="\b" localSheetId="12">#REF!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[1]Lista!#REF!</definedName>
    <definedName name="___DAT14" localSheetId="12">#REF!</definedName>
    <definedName name="___DAT14">#REF!</definedName>
    <definedName name="___DAT17" localSheetId="12">#REF!</definedName>
    <definedName name="___DAT17">#REF!</definedName>
    <definedName name="___DAT18" localSheetId="12">#REF!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[2]Lista!#REF!</definedName>
    <definedName name="__DAT1" localSheetId="12">#REF!</definedName>
    <definedName name="__DAT1">#REF!</definedName>
    <definedName name="__DAT10" localSheetId="12">#REF!</definedName>
    <definedName name="__DAT10">#REF!</definedName>
    <definedName name="__DAT11" localSheetId="12">#REF!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[1]Lista!#REF!</definedName>
    <definedName name="_DAT1" localSheetId="12">#REF!</definedName>
    <definedName name="_DAT1">#REF!</definedName>
    <definedName name="_DAT10" localSheetId="12">#REF!</definedName>
    <definedName name="_DAT10">#REF!</definedName>
    <definedName name="_DAT11" localSheetId="12">#REF!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HOJ66" localSheetId="12">#REF!</definedName>
    <definedName name="_HOJ66">#REF!</definedName>
    <definedName name="_HOJ88">#REF!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[3]Gráficas!$A$43:$G$49</definedName>
    <definedName name="ACORDO">'[4]Dados de Ouvidoria'!$D$68:$P$79</definedName>
    <definedName name="Acres_Decresc_05">'[5]2º 3º pedidos'!$D$70:$P$76</definedName>
    <definedName name="Acresc_Decres">'[5]2º 3º pedidos'!$D$42:$P$48</definedName>
    <definedName name="activosreserva" localSheetId="12">#REF!</definedName>
    <definedName name="activosreserva">#REF!</definedName>
    <definedName name="Activostele" localSheetId="12">#REF!</definedName>
    <definedName name="Activostele">#REF!</definedName>
    <definedName name="Adicionada">'[5]Dados Perdas RAA'!$A$19:$N$25</definedName>
    <definedName name="Adicionada_Meta">'[5]Dados Perdas RAA'!$A$76:$N$82</definedName>
    <definedName name="ADTIVA" localSheetId="12">#REF!</definedName>
    <definedName name="ADTIVA">#REF!</definedName>
    <definedName name="AE" localSheetId="12">#REF!</definedName>
    <definedName name="AE">#REF!</definedName>
    <definedName name="AJUSTE" localSheetId="12">#REF!</definedName>
    <definedName name="AJUSTE">#REF!</definedName>
    <definedName name="ANE">[6]ELEGIR!$D$8</definedName>
    <definedName name="Ano_Vigente">[7]Tabela!$B$12</definedName>
    <definedName name="ANOUNO" localSheetId="12">#REF!</definedName>
    <definedName name="ANOUNO">#REF!</definedName>
    <definedName name="AOM_STE">'[3]aom reg'!$U$29:$AG$46</definedName>
    <definedName name="AOMC">[6]ELEGIR!$D$6</definedName>
    <definedName name="AOMI">[6]ELEGIR!$D$5</definedName>
    <definedName name="AP" localSheetId="12">#REF!</definedName>
    <definedName name="AP">#REF!</definedName>
    <definedName name="Aportes_Previsión_Social____Médicos" localSheetId="12">#REF!</definedName>
    <definedName name="Aportes_Previsión_Social____Médicos">#REF!</definedName>
    <definedName name="APOYO" localSheetId="12">#REF!</definedName>
    <definedName name="APOYO">#REF!</definedName>
    <definedName name="ARCH">#REF!</definedName>
    <definedName name="_xlnm.Extract">#REF!</definedName>
    <definedName name="ARREC">[4]Dados_Perdas!$C$3:$O$14</definedName>
    <definedName name="Arrecadacao">'[5]Dados Perdas RAA'!$A$29:$N$35</definedName>
    <definedName name="Arrecadacao_Meta">'[5]Dados Perdas RAA'!$A$98:$N$104</definedName>
    <definedName name="AUDIENCIA">'[4]Dados de Ouvidoria'!$D$54:$P$65</definedName>
    <definedName name="AUTO" localSheetId="12">#REF!</definedName>
    <definedName name="AUTO">#REF!</definedName>
    <definedName name="AY" localSheetId="12">#REF!</definedName>
    <definedName name="AY">#REF!</definedName>
    <definedName name="b" localSheetId="12">#REF!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[8]BALANCE!$A$1:$G$19</definedName>
    <definedName name="_xlnm.Database" localSheetId="12">#REF!</definedName>
    <definedName name="_xlnm.Database">#REF!</definedName>
    <definedName name="BASIS_EUR">'[9]#¡REF'!$C$52:$D$58</definedName>
    <definedName name="BASIS_JPY">'[9]#¡REF'!$E$52:$F$58</definedName>
    <definedName name="BC" localSheetId="12">#REF!</definedName>
    <definedName name="BC">#REF!</definedName>
    <definedName name="BD_Ref_Titulos">'[10]BD_REFATURAMENTO_GRUPO-B'!$D$1:$G$1</definedName>
    <definedName name="BD_Ref_Titulos_">'[10]BD_REFATURAMENTO_GRUPO-B'!$D$1:$K$1</definedName>
    <definedName name="BD_REF_TODO">'[10]BD_REFATURAMENTO_GRUPO-B'!$D$1:$K$161</definedName>
    <definedName name="BDI" localSheetId="12">#REF!</definedName>
    <definedName name="BDI">#REF!</definedName>
    <definedName name="BDI_IREG">'[5]Dados Inadimplência'!$C$55:$P$61</definedName>
    <definedName name="BDI_METAS">'[5]Dados Inadimplência'!$C$35:$P$41</definedName>
    <definedName name="BDI_REG">'[5]Dados Inadimplência'!$C$46:$P$52</definedName>
    <definedName name="BID__Veces">'[11]#¡REF'!$B$37</definedName>
    <definedName name="Bonificación_por_servicios_prestados" localSheetId="12">#REF!</definedName>
    <definedName name="Bonificación_por_servicios_prestados">#REF!</definedName>
    <definedName name="BPRUEBA" localSheetId="12">#REF!</definedName>
    <definedName name="BPRUEBA">#REF!</definedName>
    <definedName name="BuiltIn_Print_Area">#N/A</definedName>
    <definedName name="BuiltIn_Print_Area___0___0" localSheetId="12">#REF!</definedName>
    <definedName name="BuiltIn_Print_Area___0___0">#REF!</definedName>
    <definedName name="C.M.">'[11]#¡REF'!$B$27</definedName>
    <definedName name="C_" localSheetId="12">#REF!</definedName>
    <definedName name="C_">#REF!</definedName>
    <definedName name="CAJA" localSheetId="12">#REF!</definedName>
    <definedName name="CAJA">#REF!</definedName>
    <definedName name="cajainver" localSheetId="12">'[12]BASES GENERALES'!#REF!</definedName>
    <definedName name="cajainver">'[12]BASES GENERALES'!#REF!</definedName>
    <definedName name="CALCULAR" localSheetId="12">#REF!</definedName>
    <definedName name="CALCULAR">#REF!</definedName>
    <definedName name="calculo_dividendos">[3]Dividendos!$G$32</definedName>
    <definedName name="cambiar" localSheetId="12">#REF!</definedName>
    <definedName name="cambiar">#REF!</definedName>
    <definedName name="CAPITAL_MESES">[5]Capitalização!$F$41:$AC$49</definedName>
    <definedName name="CARACTERISTICAS" localSheetId="12">#REF!</definedName>
    <definedName name="CARACTERISTICAS">#REF!</definedName>
    <definedName name="causinver" localSheetId="12">'[12]BASES GENERALES'!#REF!</definedName>
    <definedName name="causinver">'[12]BASES GENERALES'!#REF!</definedName>
    <definedName name="ccioespecial" localSheetId="12">#REF!</definedName>
    <definedName name="ccioespecial">#REF!</definedName>
    <definedName name="CDEC">'[4]Dados DEC e FEC'!$CI$6:$CT$69</definedName>
    <definedName name="CECOS">'[9]#¡REF'!$C$2:$K$90</definedName>
    <definedName name="CFEC">'[4]Dados DEC e FEC'!$CI$80:$CT$143</definedName>
    <definedName name="CFJDHFD" localSheetId="12" hidden="1">{"'EST.RDOS(INT)'!$A$5:$E$58"}</definedName>
    <definedName name="CFJDHFD" hidden="1">{"'EST.RDOS(INT)'!$A$5:$E$58"}</definedName>
    <definedName name="CHF">[2]Lista!#REF!</definedName>
    <definedName name="CINT" localSheetId="12">#REF!</definedName>
    <definedName name="CINT">#REF!</definedName>
    <definedName name="CLASSIF_DEP" localSheetId="12">#REF!</definedName>
    <definedName name="CLASSIF_DEP">#REF!</definedName>
    <definedName name="CLASSIFICAÇÃO" localSheetId="12">[13]ANALITICO!#REF!</definedName>
    <definedName name="CLASSIFICAÇÃO">[13]ANALITICO!#REF!</definedName>
    <definedName name="CLAUSULA" localSheetId="12">#REF!</definedName>
    <definedName name="CLAUSULA">#REF!</definedName>
    <definedName name="CLEAN">'[5]Dados Inadimplência'!$D$64:$P$70</definedName>
    <definedName name="CLI3E4">[4]Dados_Perdas!$C$79:$O$90</definedName>
    <definedName name="CLIINF">[4]Dados_Perdas!$C$94:$O$105</definedName>
    <definedName name="CMUST">'[4]Dados Must'!$O$4:$R$22</definedName>
    <definedName name="CNCLIENTES">'[5]Dados ISO 9001'!$C$35:$D$41</definedName>
    <definedName name="CND" localSheetId="12">#REF!</definedName>
    <definedName name="CND">#REF!</definedName>
    <definedName name="COBERTURA_INVERSION">'[11]#¡REF'!$B$36</definedName>
    <definedName name="cobertura_serv">'[14]graf indi'!$J$31</definedName>
    <definedName name="COBERTURA_SERVICIO_DEUDA">'[11]#¡REF'!$B$35</definedName>
    <definedName name="codigos_válidos" localSheetId="12">#REF!</definedName>
    <definedName name="codigos_válidos">#REF!</definedName>
    <definedName name="Concepto_por_Gerencia" localSheetId="12">#REF!</definedName>
    <definedName name="Concepto_por_Gerencia">#REF!</definedName>
    <definedName name="condiciones_nuevas_finan">'[3]Flujo año 00-01-02'!$K$63</definedName>
    <definedName name="CONEX" localSheetId="12">#REF!</definedName>
    <definedName name="CONEX">#REF!</definedName>
    <definedName name="conex_ingresos">'[3]PyG Año 00-01-02'!$A$103:$I$116</definedName>
    <definedName name="conexascnd">'[3]PyG Año 00-01-02'!$A$376:$H$382</definedName>
    <definedName name="conexos_gastos">'[3]PyG Año 00-01-02'!$A$126:$H$139</definedName>
    <definedName name="consolidado" localSheetId="12">#REF!</definedName>
    <definedName name="consolidado">#REF!</definedName>
    <definedName name="CONSUMO_ESTRATO_3" localSheetId="12">#REF!</definedName>
    <definedName name="CONSUMO_ESTRATO_3">#REF!</definedName>
    <definedName name="CONT_AC">'[5]Dados Segurança'!$B$74:$I$78</definedName>
    <definedName name="CONT_LM">'[5]Dados Segurança'!$B$67:$I$71</definedName>
    <definedName name="CONTRIBUCION_AL_PLAN_DE_INVERSIONES">'[11]#¡REF'!$B$41</definedName>
    <definedName name="CONTRIBUCIONES_IMPUESTOS" localSheetId="12">#REF!</definedName>
    <definedName name="CONTRIBUCIONES_IMPUESTOS">#REF!</definedName>
    <definedName name="CORT3E4">[4]Dados_Perdas!$C$49:$O$60</definedName>
    <definedName name="Costo_Ventas">'[11]#¡REF'!$B$16</definedName>
    <definedName name="CPGERAL07" localSheetId="12">#REF!</definedName>
    <definedName name="CPGERAL07">#REF!</definedName>
    <definedName name="CPOPER07" localSheetId="12">#REF!</definedName>
    <definedName name="CPOPER07">#REF!</definedName>
    <definedName name="CPPERD07" localSheetId="12">#REF!</definedName>
    <definedName name="CPPERD07">#REF!</definedName>
    <definedName name="CPRJ">'[5]Dados ISO 9001'!$C$24:$D$30</definedName>
    <definedName name="CPSUB07" localSheetId="12">#REF!</definedName>
    <definedName name="CPSUB07">#REF!</definedName>
    <definedName name="CPUNDER07" localSheetId="12">#REF!</definedName>
    <definedName name="CPUNDER07">#REF!</definedName>
    <definedName name="Criteria_MI" localSheetId="12">#REF!</definedName>
    <definedName name="Criteria_MI">#REF!</definedName>
    <definedName name="_xlnm.Criteria">#REF!</definedName>
    <definedName name="csDesignMode">1</definedName>
    <definedName name="ctacte">#REF!</definedName>
    <definedName name="ctak">#REF!</definedName>
    <definedName name="CVALUE">'[4]Dados RiscoEnergia'!$E$6:$Q$17</definedName>
    <definedName name="D" localSheetId="12">#REF!</definedName>
    <definedName name="D">#REF!</definedName>
    <definedName name="Database_MI" localSheetId="12">#REF!</definedName>
    <definedName name="Database_MI">#REF!</definedName>
    <definedName name="datos">[3]historia!$A$115:$IV$183</definedName>
    <definedName name="DBHH" localSheetId="12">#REF!</definedName>
    <definedName name="DBHH">#REF!</definedName>
    <definedName name="DBT" localSheetId="12">#REF!</definedName>
    <definedName name="DBT">#REF!</definedName>
    <definedName name="DEC">'[4]Dados DEC e FEC'!$A$6:$CF$69</definedName>
    <definedName name="DEC_01">[5]Dados_DEC_2005!$B$21:$J$39</definedName>
    <definedName name="DEC_01_2005">[5]Dados_DEC!$B$21:$J$39</definedName>
    <definedName name="DEC_02">[5]Dados_DEC_2005!$B$41:$J$59</definedName>
    <definedName name="DEC_02_2005">[5]Dados_DEC!$B$41:$J$59</definedName>
    <definedName name="DEC_03">[5]Dados_DEC_2005!$B$61:$J$79</definedName>
    <definedName name="DEC_03_2005">[5]Dados_DEC!$B$61:$J$79</definedName>
    <definedName name="DEC_04">[5]Dados_DEC_2005!$B$81:$J$99</definedName>
    <definedName name="DEC_04_2005">[5]Dados_DEC!$B$81:$J$99</definedName>
    <definedName name="DEC_05">[5]Dados_DEC_2005!$B$101:$J$119</definedName>
    <definedName name="DEC_05_2005">[5]Dados_DEC!$B$101:$J$119</definedName>
    <definedName name="DEC_06">[5]Dados_DEC_2005!$B$121:$J$139</definedName>
    <definedName name="DEC_06_2005">[5]Dados_DEC!$B$121:$J$139</definedName>
    <definedName name="DEC_07">[5]Dados_DEC_2005!$B$141:$J$159</definedName>
    <definedName name="DEC_07_2005">[5]Dados_DEC!$B$141:$J$159</definedName>
    <definedName name="DEC_08">[5]Dados_DEC_2005!$B$181:$J$199</definedName>
    <definedName name="DEC_08_2005">[5]Dados_DEC!$B$181:$J$199</definedName>
    <definedName name="DEC_09">[5]Dados_DEC_2005!$B$201:$J$219</definedName>
    <definedName name="DEC_09_2005">[5]Dados_DEC!$B$201:$J$219</definedName>
    <definedName name="DEC_10">[5]Dados_DEC_2005!$B$221:$J$239</definedName>
    <definedName name="DEC_10_2005">[5]Dados_DEC!$B$221:$J$239</definedName>
    <definedName name="DEC_11">[5]Dados_DEC_2005!$B$241:$J$259</definedName>
    <definedName name="DEC_11_2005">[5]Dados_DEC!$B$241:$J$259</definedName>
    <definedName name="DEC_12">[5]Dados_DEC_2005!$B$261:$J$279</definedName>
    <definedName name="DEC_12_2005">[5]Dados_DEC!$B$261:$J$279</definedName>
    <definedName name="DEC_13">[5]Dados_DEC_2005!$B$281:$J$299</definedName>
    <definedName name="DEC_13_2005">[5]Dados_DEC!$B$281:$J$299</definedName>
    <definedName name="DEC_14">[5]Dados_DEC_2005!$B$301:$J$319</definedName>
    <definedName name="DEC_14_2005">[5]Dados_DEC!$B$301:$J$319</definedName>
    <definedName name="DEC_15">[5]Dados_DEC_2005!$B$321:$J$339</definedName>
    <definedName name="DEC_15_2005">[5]Dados_DEC!$B$321:$J$339</definedName>
    <definedName name="DEC_16">[5]Dados_DEC_2005!$B$341:$J$359</definedName>
    <definedName name="DEC_16_2005">[5]Dados_DEC!$B$341:$J$359</definedName>
    <definedName name="DEC_17">[5]Dados_DEC_2005!$B$361:$J$379</definedName>
    <definedName name="DEC_17_2005">[5]Dados_DEC!$B$361:$J$379</definedName>
    <definedName name="DEC_18">[5]Dados_DEC_2005!$B$381:$J$399</definedName>
    <definedName name="DEC_18_2005">[5]Dados_DEC!$B$381:$J$399</definedName>
    <definedName name="DEC_19">[5]Dados_DEC_2005!$B$401:$J$419</definedName>
    <definedName name="DEC_19_2005">[5]Dados_DEC!$B$401:$J$419</definedName>
    <definedName name="DEC_20">[5]Dados_DEC_2005!$B$421:$J$439</definedName>
    <definedName name="DEC_20_2005">[5]Dados_DEC!$B$421:$J$439</definedName>
    <definedName name="DEC_21">[5]Dados_DEC_2005!$B$441:$J$459</definedName>
    <definedName name="DEC_21_2005">[5]Dados_DEC!$B$441:$J$459</definedName>
    <definedName name="DEC_22">[5]Dados_DEC_2005!$B$461:$J$479</definedName>
    <definedName name="DEC_22_2005">[5]Dados_DEC!$B$461:$J$479</definedName>
    <definedName name="DEC_23">[5]Dados_DEC_2005!$B$481:$J$499</definedName>
    <definedName name="DEC_23_2005">[5]Dados_DEC!$B$481:$J$499</definedName>
    <definedName name="DEC_24">[5]Dados_DEC_2005!$B$501:$J$519</definedName>
    <definedName name="DEC_24_2005">[5]Dados_DEC!$B$501:$J$519</definedName>
    <definedName name="DEC_25">[5]Dados_DEC_2005!$B$521:$J$539</definedName>
    <definedName name="DEC_25_2005">[5]Dados_DEC!$B$521:$J$539</definedName>
    <definedName name="DEC_26">[5]Dados_DEC_2005!$B$541:$J$559</definedName>
    <definedName name="DEC_26_2005">[5]Dados_DEC!$B$541:$J$559</definedName>
    <definedName name="DEC_27">[5]Dados_DEC_2005!$B$561:$J$579</definedName>
    <definedName name="DEC_27_2005">[5]Dados_DEC!$B$561:$J$579</definedName>
    <definedName name="DEC_28">[5]Dados_DEC_2005!$B$581:$J$599</definedName>
    <definedName name="DEC_28_2005">[5]Dados_DEC!$B$581:$J$599</definedName>
    <definedName name="DEC_29">[5]Dados_DEC_2005!$B$601:$J$619</definedName>
    <definedName name="DEC_29_2005">[5]Dados_DEC!$B$601:$J$619</definedName>
    <definedName name="DEC_30">[5]Dados_DEC_2005!$B$621:$J$639</definedName>
    <definedName name="DEC_30_2005">[5]Dados_DEC!$B$621:$J$639</definedName>
    <definedName name="DEC_31">[5]Dados_DEC_2005!$B$641:$J$659</definedName>
    <definedName name="DEC_31_2005">[5]Dados_DEC!$B$641:$J$659</definedName>
    <definedName name="DEC_32">[5]Dados_DEC_2005!$B$661:$J$679</definedName>
    <definedName name="DEC_32_2005">[5]Dados_DEC!$B$661:$J$679</definedName>
    <definedName name="DEC_33">[5]Dados_DEC_2005!$B$681:$J$699</definedName>
    <definedName name="DEC_33_2005">[5]Dados_DEC!$B$681:$J$699</definedName>
    <definedName name="DEC_34">[5]Dados_DEC_2005!$B$701:$J$719</definedName>
    <definedName name="DEC_34_2005">[5]Dados_DEC!$B$701:$J$719</definedName>
    <definedName name="DEC_35">[5]Dados_DEC_2005!$B$721:$J$739</definedName>
    <definedName name="DEC_35_2005">[5]Dados_DEC!$B$721:$J$739</definedName>
    <definedName name="DEC_36">[5]Dados_DEC_2005!$B$741:$J$759</definedName>
    <definedName name="DEC_36_2005">[5]Dados_DEC!$B$741:$J$759</definedName>
    <definedName name="DEC_37">[5]Dados_DEC_2005!$B$161:$J$179</definedName>
    <definedName name="DEC_37_2005">[5]Dados_DEC!$B$161:$J$179</definedName>
    <definedName name="DEC_38">[5]Dados_DEC_2005!$B$761:$J$779</definedName>
    <definedName name="DEC_38_2005">[5]Dados_DEC!$B$761:$J$779</definedName>
    <definedName name="DEC_39">[5]Dados_DEC_2005!$B$781:$J$799</definedName>
    <definedName name="DEC_39_2005">[5]Dados_DEC!$B$781:$J$799</definedName>
    <definedName name="DEC_40">[5]Dados_DEC_2005!$B$961:$J$979</definedName>
    <definedName name="DEC_40_2005">[5]Dados_DEC!$B$961:$J$979</definedName>
    <definedName name="DEC_41">[5]Dados_DEC_2005!$B$801:$J$819</definedName>
    <definedName name="DEC_41_2005">[5]Dados_DEC!$B$801:$J$819</definedName>
    <definedName name="DEC_42">[5]Dados_DEC_2005!$B$821:$J$839</definedName>
    <definedName name="DEC_42_2005">[5]Dados_DEC!$B$821:$J$839</definedName>
    <definedName name="DEC_43">[5]Dados_DEC_2005!$B$841:$J$859</definedName>
    <definedName name="DEC_43_2005">[5]Dados_DEC!$B$841:$J$859</definedName>
    <definedName name="DEC_44">[5]Dados_DEC_2005!$B$861:$J$879</definedName>
    <definedName name="DEC_44_2005">[5]Dados_DEC!$B$861:$J$879</definedName>
    <definedName name="DEC_45">[5]Dados_DEC_2005!$B$881:$J$899</definedName>
    <definedName name="DEC_45_2005">[5]Dados_DEC!$B$881:$J$899</definedName>
    <definedName name="DEC_46">[5]Dados_DEC_2005!$B$901:$J$919</definedName>
    <definedName name="DEC_46_2005">[5]Dados_DEC!$B$901:$J$919</definedName>
    <definedName name="DEC_47">[5]Dados_DEC_2005!$B$921:$J$939</definedName>
    <definedName name="DEC_47_2005">[5]Dados_DEC!$B$921:$J$939</definedName>
    <definedName name="DEC_48">[5]Dados_DEC_2005!$B$941:$J$959</definedName>
    <definedName name="DEC_48_2005">[5]Dados_DEC!$B$941:$J$959</definedName>
    <definedName name="DEC_49">[5]Dados_DEC_2005!$B$981:$J$999</definedName>
    <definedName name="DEC_49_2005">[5]Dados_DEC!$B$981:$J$999</definedName>
    <definedName name="DEC_50">[5]Dados_DEC_2005!$B$1001:$J$1019</definedName>
    <definedName name="DEC_50_2005">[5]Dados_DEC!$B$1001:$J$1019</definedName>
    <definedName name="DEC_51">[5]Dados_DEC_2005!$B$1021:$J$1039</definedName>
    <definedName name="DEC_51_2005">[5]Dados_DEC!$B$1021:$J$1039</definedName>
    <definedName name="DEC_512005">[5]Dados_DEC!#REF!</definedName>
    <definedName name="DEC_52">[5]Dados_DEC_2005!$B$1041:$J$1059</definedName>
    <definedName name="DEC_52_2005">[5]Dados_DEC!$B$1041:$J$1059</definedName>
    <definedName name="DEC_53">[5]Dados_DEC_2005!$B$1061:$J$1079</definedName>
    <definedName name="DEC_53_2005">[5]Dados_DEC!$B$1061:$J$1079</definedName>
    <definedName name="DEC_54">[5]Dados_DEC_2005!$B$1081:$J$1099</definedName>
    <definedName name="DEC_54_2005">[5]Dados_DEC!$B$1081:$J$1099</definedName>
    <definedName name="DEC_55">[5]Dados_DEC_2005!$B$1101:$J$1119</definedName>
    <definedName name="DEC_55_2005">[5]Dados_DEC!$B$1101:$J$1119</definedName>
    <definedName name="DEC_56">[5]Dados_DEC_2005!$B$1121:$J$1139</definedName>
    <definedName name="DEC_56_2005">[5]Dados_DEC!$B$1121:$J$1139</definedName>
    <definedName name="DEC_57">[5]Dados_DEC_2005!$B$1141:$J$1159</definedName>
    <definedName name="DEC_57_2005">[5]Dados_DEC!$B$1141:$J$1159</definedName>
    <definedName name="DEC_58">[5]Dados_DEC_2005!$B$1161:$J$1179</definedName>
    <definedName name="DEC_58_2005">[5]Dados_DEC!$B$1161:$J$1179</definedName>
    <definedName name="DEC_ANHEMBI">[5]Dados_DEC_2005!$B$1241:$J$1259</definedName>
    <definedName name="DEC_ANHEMBI_2005">[5]Dados_DEC!$B$1241:$J$1259</definedName>
    <definedName name="DEC_CENTRO">[5]Dados_DEC_2005!$B$1261:$J$1279</definedName>
    <definedName name="DEC_CENTRO_">[5]Dados_DEC_2005!$B$1321:$J$1339</definedName>
    <definedName name="DEC_CENTRO_2005">[5]Dados_DEC!$B$1261:$J$1279</definedName>
    <definedName name="DEC_CENTRO_T">[5]Dados_DEC_2005!$B$1321:$J$1339</definedName>
    <definedName name="DEC_CENTRO_T_2005">[5]Dados_DEC!$B$1321:$J$1339</definedName>
    <definedName name="DEC_GRANDE_ABC">[5]Dados_DEC_2005!$B$1301:$J$1319</definedName>
    <definedName name="DEC_GRANDE_ABC_2005">[5]Dados_DEC!$B$1301:$J$1319</definedName>
    <definedName name="DEC_LESTE">[5]Dados_DEC_2005!$B$1281:$J$1299</definedName>
    <definedName name="DEC_LESTE_2005">[5]Dados_DEC!$B$1281:$J$1299</definedName>
    <definedName name="DEC_OESTE">[5]Dados_DEC_2005!$B$1201:$J$1219</definedName>
    <definedName name="DEC_OESTE_2005">[5]Dados_DEC!$B$1201:$J$1219</definedName>
    <definedName name="DEC_SP_SUL">[5]Dados_DEC_2005!$B$1221:$J$1239</definedName>
    <definedName name="DEC_SP_SUL_2005">[5]Dados_DEC!$B$1221:$J$1239</definedName>
    <definedName name="DEC_T">[5]Dados_DEC_2005!$B$1181:$J$1199</definedName>
    <definedName name="DEC_T_2005">[5]Dados_DEC!$B$1181:$J$1199</definedName>
    <definedName name="DECI" localSheetId="12">#REF!</definedName>
    <definedName name="DECI">#REF!</definedName>
    <definedName name="deprecia">'[3]aom reg'!$W$7:$AB$12</definedName>
    <definedName name="Depreciaciones_y_Amort.">'[11]#¡REF'!$B$17</definedName>
    <definedName name="DEPRECIATION" localSheetId="12">#REF!</definedName>
    <definedName name="DEPRECIATION">#REF!</definedName>
    <definedName name="DEPT____GN_D" localSheetId="12">[13]ANALITICO!#REF!</definedName>
    <definedName name="DEPT____GN_D">[13]ANALITICO!#REF!</definedName>
    <definedName name="DESFALT" localSheetId="12">#REF!</definedName>
    <definedName name="DESFALT">#REF!</definedName>
    <definedName name="DESPESAS">'[4]Dados Inadimplência'!$C$49:$O$62</definedName>
    <definedName name="DEUDA" localSheetId="12">#REF!</definedName>
    <definedName name="DEUDA">#REF!</definedName>
    <definedName name="DEUDAL" localSheetId="12">#REF!</definedName>
    <definedName name="DEUDAL">#REF!</definedName>
    <definedName name="deudalp" localSheetId="12">#REF!</definedName>
    <definedName name="deudalp">#REF!</definedName>
    <definedName name="dfjdlñfj" localSheetId="12" hidden="1">{"'EST.RDOS(INT)'!$A$5:$E$58"}</definedName>
    <definedName name="dfjdlñfj" hidden="1">{"'EST.RDOS(INT)'!$A$5:$E$58"}</definedName>
    <definedName name="DICFIC">'[4]Dados DEC e FEC'!$C$227:$O$244</definedName>
    <definedName name="Dif._Cambio">'[11]#¡REF'!$B$23</definedName>
    <definedName name="Disponibilidad_Final">'[11]#¡REF'!$B$57</definedName>
    <definedName name="dividendos">[3]Dividendos!$P$34:$W$46</definedName>
    <definedName name="dividendos_2">[3]Dividendos!$A$2:$K$26</definedName>
    <definedName name="DSDSD" localSheetId="12">#REF!</definedName>
    <definedName name="DSDSD">#REF!</definedName>
    <definedName name="DSO">'[4]Dados Inadimplência'!$C$66:$O$69</definedName>
    <definedName name="DUFF" localSheetId="12" hidden="1">{"'EST.RDOS(INT)'!$A$5:$E$58"}</definedName>
    <definedName name="DUFF" hidden="1">{"'EST.RDOS(INT)'!$A$5:$E$58"}</definedName>
    <definedName name="duff2" localSheetId="12"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'[5]Dados Clandestina'!$T$54:$AF$56</definedName>
    <definedName name="EAS_ACUM">'[5]Dados Clandestina'!$D$84:$J$86</definedName>
    <definedName name="EAS_ANHEMBI">'[5]Dados Clandestina'!$T$39:$AF$41</definedName>
    <definedName name="EAS_CENTRO">'[5]Dados Clandestina'!$T$44:$AF$46</definedName>
    <definedName name="EAS_ELPA">'[5]Dados Clandestina'!$T$24:$AF$26</definedName>
    <definedName name="EAS_LESTE">'[5]Dados Clandestina'!$T$49:$AF$51</definedName>
    <definedName name="EAS_OESTE">'[5]Dados Clandestina'!$T$29:$AF$31</definedName>
    <definedName name="EAS_SUL">'[5]Dados Clandestina'!$T$34:$AF$36</definedName>
    <definedName name="EATIT">[4]Dados_Perdas!$Q$17:$Q$20</definedName>
    <definedName name="EBITDA___INTERESES_OPERACIÓN">'[11]#¡REF'!$B$43</definedName>
    <definedName name="EBITDA___SALDO_DEUDA_L.P">'[11]#¡REF'!$B$44</definedName>
    <definedName name="ebitda_inter">'[14]graf indi'!$J$52</definedName>
    <definedName name="ebitda_negocio">'[3]PyG Año 00-01-02'!$A$174:$I$216</definedName>
    <definedName name="EBITDAMEM">'[3]PyG Año 00-01-02'!$A$202</definedName>
    <definedName name="ELITE" localSheetId="12">#REF!</definedName>
    <definedName name="ELITE">#REF!</definedName>
    <definedName name="ELITE1" localSheetId="12">#REF!</definedName>
    <definedName name="ELITE1">#REF!</definedName>
    <definedName name="ENDEUDAMIENTO_BANCARIO">'[11]#¡REF'!$B$39</definedName>
    <definedName name="ENDEUDAMIENTO_L.P.">'[11]#¡REF'!$B$38</definedName>
    <definedName name="ENERO">'[15]AOM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'[5]Dados ISO 9001'!$H$24:$I$30</definedName>
    <definedName name="ERP" localSheetId="12">#REF!</definedName>
    <definedName name="ERP">#REF!</definedName>
    <definedName name="ERPC" localSheetId="12">#REF!</definedName>
    <definedName name="ERPC">#REF!</definedName>
    <definedName name="ERROR" localSheetId="12">#REF!</definedName>
    <definedName name="ERROR">#REF!</definedName>
    <definedName name="ESP">#REF!</definedName>
    <definedName name="ESPC">#REF!</definedName>
    <definedName name="Estado_Resultados">[8]HESREGRF!$A$16:$G$46</definedName>
    <definedName name="Estados_Resultados_Datos">[8]ESRES!$A$1:$G$40</definedName>
    <definedName name="ESTITLE" localSheetId="12">#REF!</definedName>
    <definedName name="ESTITLE">#REF!</definedName>
    <definedName name="evolucion_de_la_deuda">[3]Gráficas!$A$2:$H$10</definedName>
    <definedName name="Exec_Fora_Prazo_CE">'[5]Dados de relacionamento'!$B$138:$N$144</definedName>
    <definedName name="Exec_Fora_Prazo_LN">'[5]Dados de relacionamento'!$B$56:$N$62</definedName>
    <definedName name="Exec_Fora_Prazo_RL">'[5]Dados de relacionamento'!$B$81:$N$87</definedName>
    <definedName name="Exec_Fora_Prazo_RLU">'[5]Dados de relacionamento'!$B$106:$N$112</definedName>
    <definedName name="Exec_Fora_Prazo_SE">'[5]Dados de relacionamento'!$B$160:$N$166</definedName>
    <definedName name="EXP" localSheetId="12">#REF!</definedName>
    <definedName name="EXP">#REF!</definedName>
    <definedName name="exponotra" localSheetId="12">#REF!</definedName>
    <definedName name="exponotra">#REF!</definedName>
    <definedName name="EXTRACCIÓN_IM">#N/A</definedName>
    <definedName name="Extract_MI" localSheetId="12">#REF!</definedName>
    <definedName name="Extract_MI">#REF!</definedName>
    <definedName name="EYD" localSheetId="12">#REF!</definedName>
    <definedName name="EYD">#REF!</definedName>
    <definedName name="factor">'[6]c.u. vigentes'!$B$26</definedName>
    <definedName name="FALT" localSheetId="12">#REF!</definedName>
    <definedName name="FALT">#REF!</definedName>
    <definedName name="FALT1" localSheetId="12">#REF!</definedName>
    <definedName name="FALT1">#REF!</definedName>
    <definedName name="FALTANTE" localSheetId="12">#REF!</definedName>
    <definedName name="FALTANTE">#REF!</definedName>
    <definedName name="FATAL">[4]DadosSeguranc!$G$390:$R$395</definedName>
    <definedName name="FCRA" localSheetId="12">#REF!</definedName>
    <definedName name="FCRA">#REF!</definedName>
    <definedName name="FD_EUR">'[9]#¡REF'!$E$4:$E$43</definedName>
    <definedName name="FD_JPY">'[9]#¡REF'!$F$4:$F$43</definedName>
    <definedName name="FD_USD">'[9]#¡REF'!$D$4:$D$43</definedName>
    <definedName name="FEC">'[4]Dados DEC e FEC'!$A$80:$CF$142</definedName>
    <definedName name="FEC_01">[5]Dados_FEC_2005!$B$21:$J$39</definedName>
    <definedName name="FEC_01_2005">[5]Dados_FEC!$B$21:$J$39</definedName>
    <definedName name="FEC_02">[5]Dados_FEC_2005!$B$41:$J$59</definedName>
    <definedName name="FEC_02_2005">[5]Dados_FEC!$B$41:$J$59</definedName>
    <definedName name="FEC_03">[5]Dados_FEC_2005!$B$61:$J$79</definedName>
    <definedName name="FEC_03_2005">[5]Dados_FEC!$B$61:$J$79</definedName>
    <definedName name="FEC_04">[5]Dados_FEC_2005!$B$81:$J$99</definedName>
    <definedName name="FEC_04_2005">[5]Dados_FEC!$B$81:$J$99</definedName>
    <definedName name="FEC_05">[5]Dados_FEC_2005!$B$101:$J$119</definedName>
    <definedName name="FEC_05_2005">[5]Dados_FEC!$B$101:$J$119</definedName>
    <definedName name="FEC_06">[5]Dados_FEC_2005!$B$121:$J$139</definedName>
    <definedName name="FEC_06_2005">[5]Dados_FEC!$B$121:$J$139</definedName>
    <definedName name="FEC_07">[5]Dados_FEC_2005!$B$141:$J$159</definedName>
    <definedName name="FEC_07_2005">[5]Dados_FEC!$B$141:$J$159</definedName>
    <definedName name="FEC_08">[5]Dados_FEC_2005!$B$181:$J$199</definedName>
    <definedName name="FEC_08_2005">[5]Dados_FEC!$B$181:$J$199</definedName>
    <definedName name="FEC_09">[5]Dados_FEC_2005!$B$201:$J$219</definedName>
    <definedName name="FEC_09_2005">[5]Dados_FEC!$B$201:$J$219</definedName>
    <definedName name="FEC_10">[5]Dados_FEC_2005!$B$221:$J$239</definedName>
    <definedName name="FEC_10_2005">[5]Dados_FEC!$B$221:$J$239</definedName>
    <definedName name="FEC_11">[5]Dados_FEC_2005!$B$241:$J$259</definedName>
    <definedName name="FEC_11_2005">[5]Dados_FEC!$B$241:$J$259</definedName>
    <definedName name="FEC_12">[5]Dados_FEC_2005!$B$261:$J$279</definedName>
    <definedName name="FEC_12_2005">[5]Dados_FEC!$B$261:$J$279</definedName>
    <definedName name="FEC_13">[5]Dados_FEC_2005!$B$281:$J$299</definedName>
    <definedName name="FEC_13_2005">[5]Dados_FEC!$B$281:$J$299</definedName>
    <definedName name="FEC_14">[5]Dados_FEC_2005!$B$301:$J$319</definedName>
    <definedName name="FEC_14_2005">[5]Dados_FEC!$B$301:$J$319</definedName>
    <definedName name="FEC_15">[5]Dados_FEC_2005!$B$321:$J$339</definedName>
    <definedName name="FEC_15_2005">[5]Dados_FEC!$B$321:$J$339</definedName>
    <definedName name="FEC_16">[5]Dados_FEC_2005!$B$341:$J$359</definedName>
    <definedName name="FEC_16_2005">[5]Dados_FEC!$B$341:$J$359</definedName>
    <definedName name="FEC_17">[5]Dados_FEC_2005!$B$361:$J$379</definedName>
    <definedName name="FEC_17_2005">[5]Dados_FEC!$B$361:$J$379</definedName>
    <definedName name="FEC_18">[5]Dados_FEC_2005!$B$381:$J$399</definedName>
    <definedName name="FEC_18_2005">[5]Dados_FEC!$B$381:$J$399</definedName>
    <definedName name="FEC_19">[5]Dados_FEC_2005!$B$401:$J$419</definedName>
    <definedName name="FEC_19_2005">[5]Dados_FEC!$B$401:$J$419</definedName>
    <definedName name="FEC_20">[5]Dados_FEC_2005!$B$421:$J$439</definedName>
    <definedName name="FEC_20_2005">[5]Dados_FEC!$B$421:$J$439</definedName>
    <definedName name="FEC_21">[5]Dados_FEC_2005!$B$441:$J$459</definedName>
    <definedName name="FEC_21_2005">[5]Dados_FEC!$B$441:$J$459</definedName>
    <definedName name="FEC_22">[5]Dados_FEC_2005!$B$461:$J$479</definedName>
    <definedName name="FEC_22_2005">[5]Dados_FEC!$B$461:$J$479</definedName>
    <definedName name="FEC_23">[5]Dados_FEC_2005!$B$481:$J$499</definedName>
    <definedName name="FEC_23_2005">[5]Dados_FEC!$B$481:$J$499</definedName>
    <definedName name="FEC_24">[5]Dados_FEC_2005!$B$501:$J$519</definedName>
    <definedName name="FEC_24_2005">[5]Dados_FEC!$B$501:$J$519</definedName>
    <definedName name="FEC_25">[5]Dados_FEC_2005!$B$521:$J$539</definedName>
    <definedName name="FEC_25_2005">[5]Dados_FEC!$B$521:$J$539</definedName>
    <definedName name="FEC_26">[5]Dados_FEC_2005!$B$541:$J$559</definedName>
    <definedName name="FEC_26_2005">[5]Dados_FEC!$B$541:$J$559</definedName>
    <definedName name="FEC_27">[5]Dados_FEC_2005!$B$561:$J$579</definedName>
    <definedName name="FEC_27_2005">[5]Dados_FEC!$B$561:$J$579</definedName>
    <definedName name="FEC_28">[5]Dados_FEC_2005!$B$581:$J$599</definedName>
    <definedName name="FEC_28_2005">[5]Dados_FEC!$B$581:$J$599</definedName>
    <definedName name="FEC_29">[5]Dados_FEC_2005!$B$601:$J$619</definedName>
    <definedName name="FEC_29_2005">[5]Dados_FEC!$B$601:$J$619</definedName>
    <definedName name="FEC_30">[5]Dados_FEC_2005!$B$621:$J$639</definedName>
    <definedName name="FEC_30_2005">[5]Dados_FEC!$B$621:$J$639</definedName>
    <definedName name="FEC_31">[5]Dados_FEC_2005!$B$641:$J$659</definedName>
    <definedName name="FEC_31_2005">[5]Dados_FEC!$B$641:$J$659</definedName>
    <definedName name="FEC_32">[5]Dados_FEC_2005!$B$661:$J$679</definedName>
    <definedName name="FEC_32_2005">[5]Dados_FEC!$B$661:$J$679</definedName>
    <definedName name="FEC_33">[5]Dados_FEC_2005!$B$681:$J$699</definedName>
    <definedName name="FEC_33_2005">[5]Dados_FEC!$B$681:$J$699</definedName>
    <definedName name="FEC_34">[5]Dados_FEC_2005!$B$701:$J$719</definedName>
    <definedName name="FEC_34_2005">[5]Dados_FEC!$B$701:$J$719</definedName>
    <definedName name="FEC_35">[5]Dados_FEC_2005!$B$721:$J$739</definedName>
    <definedName name="FEC_35_2005">[5]Dados_FEC!$B$721:$J$739</definedName>
    <definedName name="FEC_36">[5]Dados_FEC_2005!$B$741:$J$759</definedName>
    <definedName name="FEC_36_2005">[5]Dados_FEC!$B$741:$J$759</definedName>
    <definedName name="FEC_37">[5]Dados_FEC_2005!$B$161:$J$179</definedName>
    <definedName name="FEC_37_2005">[5]Dados_FEC!$B$161:$J$179</definedName>
    <definedName name="FEC_38">[5]Dados_FEC_2005!$B$761:$J$779</definedName>
    <definedName name="FEC_38_2005">[5]Dados_FEC!$B$761:$J$779</definedName>
    <definedName name="FEC_39">[5]Dados_FEC_2005!$B$781:$J$799</definedName>
    <definedName name="FEC_39_2005">[5]Dados_FEC!$B$781:$J$799</definedName>
    <definedName name="FEC_40">[5]Dados_FEC_2005!$B$961:$J$979</definedName>
    <definedName name="FEC_40_2005">[5]Dados_FEC!$B$961:$J$979</definedName>
    <definedName name="FEC_41">[5]Dados_FEC_2005!$B$801:$J$819</definedName>
    <definedName name="FEC_41_2005">[5]Dados_FEC!$B$801:$J$819</definedName>
    <definedName name="FEC_42">[5]Dados_FEC_2005!$B$821:$J$839</definedName>
    <definedName name="FEC_42_2005">[5]Dados_FEC!$B$821:$J$839</definedName>
    <definedName name="FEC_43">[5]Dados_FEC_2005!$B$841:$J$859</definedName>
    <definedName name="FEC_43_2005">[5]Dados_FEC!$B$841:$J$859</definedName>
    <definedName name="FEC_44">[5]Dados_FEC_2005!$B$861:$J$879</definedName>
    <definedName name="FEC_44_2005">[5]Dados_FEC!$B$861:$J$879</definedName>
    <definedName name="FEC_45">[5]Dados_FEC_2005!$B$881:$J$899</definedName>
    <definedName name="FEC_45_2005">[5]Dados_FEC!$B$881:$J$899</definedName>
    <definedName name="FEC_46">[5]Dados_FEC_2005!$B$901:$J$919</definedName>
    <definedName name="FEC_46_2005">[5]Dados_FEC!$B$901:$J$919</definedName>
    <definedName name="FEC_47">[5]Dados_FEC_2005!$B$921:$J$939</definedName>
    <definedName name="FEC_47_2005">[5]Dados_FEC!$B$921:$J$939</definedName>
    <definedName name="FEC_48">[5]Dados_FEC_2005!$B$941:$J$959</definedName>
    <definedName name="FEC_48_2005">[5]Dados_FEC!$B$941:$J$959</definedName>
    <definedName name="FEC_49">[5]Dados_FEC_2005!$B$981:$J$999</definedName>
    <definedName name="FEC_49_2005">[5]Dados_FEC!$B$981:$J$999</definedName>
    <definedName name="FEC_50">[5]Dados_FEC_2005!$B$1001:$J$1019</definedName>
    <definedName name="FEC_50_2005">[5]Dados_FEC!$B$1001:$J$1019</definedName>
    <definedName name="FEC_51">[5]Dados_FEC_2005!$B$1021:$J$1039</definedName>
    <definedName name="FEC_51_2005">[5]Dados_FEC!$B$1021:$J$1039</definedName>
    <definedName name="FEC_52">[5]Dados_FEC_2005!$B$1041:$J$1059</definedName>
    <definedName name="FEC_52_2005">[5]Dados_FEC!$B$1041:$J$1059</definedName>
    <definedName name="FEC_53">[5]Dados_FEC_2005!$B$1061:$J$1079</definedName>
    <definedName name="FEC_53_2005">[5]Dados_FEC!$B$1061:$J$1079</definedName>
    <definedName name="FEC_54">[5]Dados_FEC_2005!$B$1081:$J$1099</definedName>
    <definedName name="FEC_54_2005">[5]Dados_FEC!$B$1081:$J$1099</definedName>
    <definedName name="FEC_55">[5]Dados_FEC_2005!$B$1101:$J$1119</definedName>
    <definedName name="FEC_55_2005">[5]Dados_FEC!$B$1101:$J$1119</definedName>
    <definedName name="FEC_56">[5]Dados_FEC_2005!$B$1121:$J$1139</definedName>
    <definedName name="FEC_56_2005">[5]Dados_FEC!$B$1121:$J$1139</definedName>
    <definedName name="FEC_57">[5]Dados_FEC_2005!$B$1141:$J$1159</definedName>
    <definedName name="FEC_57_2005">[5]Dados_FEC!$B$1141:$J$1159</definedName>
    <definedName name="FEC_58">[5]Dados_FEC_2005!$B$1161:$J$1179</definedName>
    <definedName name="FEC_58_2005">[5]Dados_FEC!$B$1161:$J$1179</definedName>
    <definedName name="FEC_ANHEMBI">[5]Dados_FEC_2005!$B$1241:$J$1259</definedName>
    <definedName name="FEC_ANHEMBI_2005">[5]Dados_FEC!$B$1241:$J$1259</definedName>
    <definedName name="FEC_CENTRO">[5]Dados_FEC_2005!$B$1261:$J$1279</definedName>
    <definedName name="FEC_CENTRO_2005">[5]Dados_FEC!$B$1261:$J$1279</definedName>
    <definedName name="FEC_CENTRO_T">[5]Dados_FEC_2005!$B$1321:$J$1339</definedName>
    <definedName name="FEC_CENTRO_T_2005">[5]Dados_FEC!$B$1321:$J$1339</definedName>
    <definedName name="FEC_GRANDE_ABC">[5]Dados_FEC_2005!$B$1301:$J$1319</definedName>
    <definedName name="FEC_GRANDE_ABC_2005">[5]Dados_FEC!$B$1301:$J$1319</definedName>
    <definedName name="FEC_LESTE">[5]Dados_FEC_2005!$B$1281:$J$1299</definedName>
    <definedName name="FEC_LESTE_2005">[5]Dados_FEC!$B$1281:$J$1299</definedName>
    <definedName name="FEC_OESTE">[5]Dados_FEC_2005!$B$1201:$J$1219</definedName>
    <definedName name="FEC_OESTE_2005">[5]Dados_FEC!$B$1201:$J$1219</definedName>
    <definedName name="FEC_SP_SUL">[5]Dados_FEC_2005!$B$1221:$J$1239</definedName>
    <definedName name="FEC_SP_SUL_2005">[5]Dados_FEC!$B$1221:$J$1239</definedName>
    <definedName name="FEC_T">[5]Dados_FEC_2005!$B$1181:$J$1199</definedName>
    <definedName name="FEC_T_2005">[5]Dados_FEC!$B$1181:$J$1199</definedName>
    <definedName name="FECHA">[6]ELEGIR!$E$8</definedName>
    <definedName name="FFSDFSD" localSheetId="12">#REF!</definedName>
    <definedName name="FFSDFSD">#REF!</definedName>
    <definedName name="fg" localSheetId="12" hidden="1">{"'EST.RDOS(INT)'!$A$5:$E$58"}</definedName>
    <definedName name="fg" hidden="1">{"'EST.RDOS(INT)'!$A$5:$E$58"}</definedName>
    <definedName name="Financiación">'[11]#¡REF'!$B$7</definedName>
    <definedName name="flujocpa" localSheetId="12">#REF!</definedName>
    <definedName name="flujocpa">#REF!</definedName>
    <definedName name="flujocpp" localSheetId="12">#REF!</definedName>
    <definedName name="flujocpp">#REF!</definedName>
    <definedName name="flujoesp" localSheetId="12">#REF!</definedName>
    <definedName name="flujoesp">#REF!</definedName>
    <definedName name="flujolpa">#REF!</definedName>
    <definedName name="flujolpo">#REF!</definedName>
    <definedName name="flujolpp">#REF!</definedName>
    <definedName name="FMS">'[4]Dados de Ouvidoria'!$D$2:$P$15</definedName>
    <definedName name="FORA_PRAZO">'[5]Dados Ouvidoria II'!$C$50:$O$56</definedName>
    <definedName name="FORDIV" localSheetId="12">#REF!</definedName>
    <definedName name="FORDIV">#REF!</definedName>
    <definedName name="FRANOM">[4]Dados_Perdas!$C$18:$O$29</definedName>
    <definedName name="Fraude_CSPE">'[5]Dados Ouvidoria II'!$C$70:$O$76</definedName>
    <definedName name="FUEN" localSheetId="12">#REF!,#REF!,#REF!,#REF!,#REF!,#REF!,#REF!,#REF!,#REF!,#REF!,#REF!,#REF!,#REF!,#REF!,#REF!,#REF!,#REF!,#REF!,#REF!,#REF!,#REF!,#REF!,#REF!,#REF!,#REF!,#REF!,#REF!,#REF!,#REF!</definedName>
    <definedName name="FUEN">#REF!,#REF!,#REF!,#REF!,#REF!,#REF!,#REF!,#REF!,#REF!,#REF!,#REF!,#REF!,#REF!,#REF!,#REF!,#REF!,#REF!,#REF!,#REF!,#REF!,#REF!,#REF!,#REF!,#REF!,#REF!,#REF!,#REF!,#REF!,#REF!</definedName>
    <definedName name="Gastos_AOM">'[11]#¡REF'!$B$15</definedName>
    <definedName name="Gastos_de_Funcionamiento">'[11]#¡REF'!$B$56</definedName>
    <definedName name="gastos_finan">'[3]PyG Año 00-01-02'!$A$86:$H$90</definedName>
    <definedName name="GASTOS_GENERALES" localSheetId="12">#REF!</definedName>
    <definedName name="GASTOS_GENERALES">#REF!</definedName>
    <definedName name="Gastos_Operacionales" localSheetId="12">#REF!</definedName>
    <definedName name="Gastos_Operacionales">#REF!</definedName>
    <definedName name="GESTION" localSheetId="12">#REF!</definedName>
    <definedName name="GESTION">#REF!</definedName>
    <definedName name="GGRAL">#REF!</definedName>
    <definedName name="GINCL">#REF!</definedName>
    <definedName name="grafic_aom_remunera">'[3]aom reg'!$AG$61</definedName>
    <definedName name="GRAVE">[4]DadosSeguranc!$G$398:$R$403</definedName>
    <definedName name="Header" localSheetId="12">#REF!</definedName>
    <definedName name="Header">#REF!</definedName>
    <definedName name="hhhhhhhhhhhh">'[11]#¡REF'!$B$6</definedName>
    <definedName name="HHT">'[16]Dados Work'!#REF!</definedName>
    <definedName name="HHTOPER07" localSheetId="12">#REF!</definedName>
    <definedName name="HHTOPER07">#REF!</definedName>
    <definedName name="HHTPER07" localSheetId="12">#REF!</definedName>
    <definedName name="HHTPER07">#REF!</definedName>
    <definedName name="HHTSUB07" localSheetId="12">#REF!</definedName>
    <definedName name="HHTSUB07">#REF!</definedName>
    <definedName name="hhtunder07">#REF!</definedName>
    <definedName name="hjhjhjh" localSheetId="12" hidden="1">{"'EST.RDOS(INT)'!$A$5:$E$58"}</definedName>
    <definedName name="hjhjhjh" hidden="1">{"'EST.RDOS(INT)'!$A$5:$E$58"}</definedName>
    <definedName name="HOJAS">#REF!</definedName>
    <definedName name="hola" hidden="1">#REF!</definedName>
    <definedName name="HONORARIOS">#REF!</definedName>
    <definedName name="hoy">'[9]#¡REF'!$B$1</definedName>
    <definedName name="HTML_CodePage" hidden="1">1252</definedName>
    <definedName name="HTML_Control" localSheetId="12"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'[5]Dados Faturamento'!$C$92:$N$98</definedName>
    <definedName name="I_ANTERIOR">'[5]Dados Faturamento'!$C$61:$N$67</definedName>
    <definedName name="IA2PR">'[4]Dados Ind Com'!$V$28:$AH$51</definedName>
    <definedName name="IARR">'[4]Dados Ind Com'!$V$54:$AH$77</definedName>
    <definedName name="IARU">'[4]Dados Ind Com'!$V$2:$AH$25</definedName>
    <definedName name="ICMS">'[4]Dados Prod Serv'!$B$14:$N$15</definedName>
    <definedName name="IDIOMA" localSheetId="12">#REF!</definedName>
    <definedName name="IDIOMA">#REF!</definedName>
    <definedName name="IFC10MM" localSheetId="12">#REF!</definedName>
    <definedName name="IFC10MM">#REF!</definedName>
    <definedName name="iiiiiiii">'[11]#¡REF'!$B$6</definedName>
    <definedName name="IM_10MIL">'[5]Dados Faturamento'!$C$71:$N$77</definedName>
    <definedName name="IM_IRC">'[5]Dados Faturamento'!$C$102:$N$108</definedName>
    <definedName name="IMPANO0" localSheetId="12">#REF!</definedName>
    <definedName name="IMPANO0">#REF!</definedName>
    <definedName name="impoprto" localSheetId="12">#REF!</definedName>
    <definedName name="impoprto">#REF!</definedName>
    <definedName name="IMPRI" localSheetId="12">#REF!</definedName>
    <definedName name="IMPRI">#REF!</definedName>
    <definedName name="Impuestos">'[11]#¡REF'!$B$28</definedName>
    <definedName name="increm_eva">'[14]graf indi'!$J$11</definedName>
    <definedName name="Incremento_mensual_Dev.">'[11]#¡REF'!$B$3</definedName>
    <definedName name="INCSTMT_DETAIL" localSheetId="12">#REF!</definedName>
    <definedName name="INCSTMT_DETAIL">#REF!</definedName>
    <definedName name="indi">[17]Datos!$D$129</definedName>
    <definedName name="INDICA" localSheetId="12">#REF!</definedName>
    <definedName name="INDICA">#REF!</definedName>
    <definedName name="INDICADORES">'[11]#¡REF'!$B$31</definedName>
    <definedName name="Indice_Ante">'[5]Dados Faturamento'!$AZ$3</definedName>
    <definedName name="infc">'[18]S Gles'!$C$17:$Z$17</definedName>
    <definedName name="ingles" localSheetId="12">#REF!</definedName>
    <definedName name="ingles">#REF!</definedName>
    <definedName name="ingregastoconextele" localSheetId="12">'[3]PyG Año 00-01-02'!#REF!</definedName>
    <definedName name="ingregastoconextele">'[3]PyG Año 00-01-02'!#REF!</definedName>
    <definedName name="ingregastoconextrans">'[3]PyG Año 00-01-02'!$A$353</definedName>
    <definedName name="INGREGASTOSTELE">'[3]PyG Año 00-01-02'!$A$269:$H$274</definedName>
    <definedName name="ingresos" localSheetId="12">#REF!</definedName>
    <definedName name="ingresos">#REF!</definedName>
    <definedName name="Ingresos___Disp._Inicial">'[11]#¡REF'!$B$53</definedName>
    <definedName name="Ingresos_Corrientes">'[11]#¡REF'!$B$50</definedName>
    <definedName name="Ingresos_de_Capital">'[11]#¡REF'!$B$51</definedName>
    <definedName name="ingresos_no_ope">'[3]PyG Año 00-01-02'!$A$65:$H$83</definedName>
    <definedName name="Ingresos_no_operacionales">'[11]#¡REF'!$B$20</definedName>
    <definedName name="Ingresos_Operacionales">'[11]#¡REF'!$B$14</definedName>
    <definedName name="INICIO" localSheetId="12">#REF!</definedName>
    <definedName name="INICIO">#REF!</definedName>
    <definedName name="INIDEUDA" localSheetId="12">#REF!</definedName>
    <definedName name="INIDEUDA">#REF!</definedName>
    <definedName name="INPUT1" localSheetId="12">[2]Lista!#REF!</definedName>
    <definedName name="INPUT1">[2]Lista!#REF!</definedName>
    <definedName name="INPUT2" localSheetId="12">[2]Lista!#REF!</definedName>
    <definedName name="INPUT2">[2]Lista!#REF!</definedName>
    <definedName name="INPUT3" localSheetId="12">[2]Lista!#REF!</definedName>
    <definedName name="INPUT3">[2]Lista!#REF!</definedName>
    <definedName name="INPUT4" localSheetId="12">[2]Lista!#REF!</definedName>
    <definedName name="INPUT4">[2]Lista!#REF!</definedName>
    <definedName name="INPUT5">[2]Lista!#REF!</definedName>
    <definedName name="INPUT6">[2]Lista!#REF!</definedName>
    <definedName name="INPUT7">[2]Lista!#REF!</definedName>
    <definedName name="INSP_META">'[5]Dados Perdas'!$C$36:$O$42</definedName>
    <definedName name="INSP_REAL">'[5]Dados Perdas'!$C$26:$O$32</definedName>
    <definedName name="interconexión" localSheetId="12">#REF!</definedName>
    <definedName name="interconexión">#REF!</definedName>
    <definedName name="Intereses">'[11]#¡REF'!$B$22</definedName>
    <definedName name="INVERDEPREMEM">[3]inver2!$A$38</definedName>
    <definedName name="Inversion">'[11]#¡REF'!$B$54</definedName>
    <definedName name="inversioncnd">[3]inver2!$A$31</definedName>
    <definedName name="inversiones">[14]Hoja1!$A$62:$H$77</definedName>
    <definedName name="inversitransporte">[3]inver2!$A$58</definedName>
    <definedName name="invext" localSheetId="12">#REF!</definedName>
    <definedName name="invext">#REF!</definedName>
    <definedName name="IPP" localSheetId="12">'[11]#¡REF'!#REF!</definedName>
    <definedName name="IPP">'[11]#¡REF'!#REF!</definedName>
    <definedName name="IRREGULAR">'[4]Dados de Ouvidoria'!$D$82:$P$93</definedName>
    <definedName name="ITER" localSheetId="12">#REF!</definedName>
    <definedName name="ITER">#REF!</definedName>
    <definedName name="ITER2" localSheetId="12">#REF!</definedName>
    <definedName name="ITER2">#REF!</definedName>
    <definedName name="Janeiro">[4]DadosSeguranc!$E$140:$AB$179</definedName>
    <definedName name="JUL" localSheetId="12">#REF!</definedName>
    <definedName name="JUL">#REF!</definedName>
    <definedName name="k" localSheetId="12">#REF!</definedName>
    <definedName name="k">#REF!</definedName>
    <definedName name="KDJFKD" localSheetId="12" hidden="1">{"'EST.RDOS(INT)'!$A$5:$E$58"}</definedName>
    <definedName name="KDJFKD" hidden="1">{"'EST.RDOS(INT)'!$A$5:$E$58"}</definedName>
    <definedName name="KK">#REF!</definedName>
    <definedName name="KPI_1000DAN">'[5]Otimização Ativos Poste'!$Q$78:$AQ$84</definedName>
    <definedName name="KPI_600DAN">'[5]Otimização Ativos Poste'!$Q$67:$AQ$73</definedName>
    <definedName name="KPI_KVA">'[5]Otimização Ativos Trafo'!$U$74:$AU$80</definedName>
    <definedName name="KPI_KW">'[5]Otimização Ativos Trafo'!$U$63:$AU$69</definedName>
    <definedName name="KPI_POSTE">'[5]Otimização Ativos Poste'!$Q$56:$AQ$62</definedName>
    <definedName name="KPI_TRAFO">'[5]Otimização Ativos Trafo'!$U$52:$AU$58</definedName>
    <definedName name="KPIPERDAS">'[5]F Perdas - KPI DADOS'!$A$21:$N$76</definedName>
    <definedName name="LEASING_1">[11]Hoja1!$A$1:$I$19</definedName>
    <definedName name="LEASING_2">[11]Hoja1!$K$22:$R$43</definedName>
    <definedName name="LETRA" localSheetId="12">#REF!</definedName>
    <definedName name="LETRA">#REF!</definedName>
    <definedName name="LETRAS" localSheetId="12">#REF!</definedName>
    <definedName name="LETRAS">#REF!</definedName>
    <definedName name="LEVE">[4]DadosSeguranc!$G$406:$R$411</definedName>
    <definedName name="libo1" localSheetId="12">#REF!</definedName>
    <definedName name="libo1">#REF!</definedName>
    <definedName name="libor" localSheetId="12">#REF!</definedName>
    <definedName name="libor">#REF!</definedName>
    <definedName name="LIGINF">[4]Dados_Perdas!$C$64:$O$75</definedName>
    <definedName name="LOJAS">'[4]Dados das Lojas'!$D$2:$P$91</definedName>
    <definedName name="luzma" localSheetId="12" hidden="1">{"'EST.RDOS(INT)'!$A$5:$E$58"}</definedName>
    <definedName name="luzma" hidden="1">{"'EST.RDOS(INT)'!$A$5:$E$58"}</definedName>
    <definedName name="MACRO">#REF!</definedName>
    <definedName name="MAIN">#REF!</definedName>
    <definedName name="MANO">'[4]Dados DEC e FEC'!$G$160:$H$223</definedName>
    <definedName name="MAR" localSheetId="12">#REF!</definedName>
    <definedName name="MAR">#REF!</definedName>
    <definedName name="MARGENOPEMEM">'[3]PyG Año 00-01-02'!$A$336</definedName>
    <definedName name="MATERIAL" localSheetId="12">#REF!</definedName>
    <definedName name="MATERIAL">#REF!</definedName>
    <definedName name="Max_Cod">[7]Postes!$J$1</definedName>
    <definedName name="mayo" localSheetId="12">#REF!</definedName>
    <definedName name="mayo">#REF!</definedName>
    <definedName name="ME" localSheetId="12">#REF!</definedName>
    <definedName name="ME">#REF!</definedName>
    <definedName name="MEM" localSheetId="12">#REF!</definedName>
    <definedName name="MEM">#REF!</definedName>
    <definedName name="mes">#REF!</definedName>
    <definedName name="MESESL">#REF!</definedName>
    <definedName name="Meta_">'[5]Dados Faturamento'!$BA$3</definedName>
    <definedName name="META_ABR">'[5]Dados Faturamento'!$C$112:$N$118</definedName>
    <definedName name="META_REFAT">'[5]Dados Faturamento'!$C$82:$N$88</definedName>
    <definedName name="Metas_Perdas">'[5]Dados Perdas RAA'!$B$63:$D$69</definedName>
    <definedName name="METASLOJAS">'[4]Dados das Lojas'!$D$94:$P$108</definedName>
    <definedName name="Metaswork">'[5]Dados Work M'!$AC$5:$AN$8</definedName>
    <definedName name="mgm" localSheetId="12" hidden="1">{"'EST.RDOS(INT)'!$A$5:$E$58"}</definedName>
    <definedName name="mgm" hidden="1">{"'EST.RDOS(INT)'!$A$5:$E$58"}</definedName>
    <definedName name="MINI">#REF!</definedName>
    <definedName name="ML">#REF!</definedName>
    <definedName name="MONEDA">#REF!</definedName>
    <definedName name="MWORK">'[16]Dados Work'!#REF!</definedName>
    <definedName name="NCD">'[5]Estatisticas do Planejamento'!$A$56:$H$75</definedName>
    <definedName name="Necessidades">'[5]Estatisticas do Planejamento'!$A$56:$H$75</definedName>
    <definedName name="NG_D">[13]ANALITICO!$S$1:$S$65536</definedName>
    <definedName name="nombrehoja" localSheetId="12">#REF!</definedName>
    <definedName name="nombrehoja">#REF!</definedName>
    <definedName name="NPROG">[5]Cálculos_DM!$B$52:$O$59</definedName>
    <definedName name="NR_ABC">'[5]Dados Clandestina'!$D$54:$P$56</definedName>
    <definedName name="NR_ACUM">'[5]Dados Clandestina'!$D$79:$J$81</definedName>
    <definedName name="NR_ANHEMBI">'[5]Dados Clandestina'!$D$39:$P$41</definedName>
    <definedName name="NR_CENTRO">'[5]Dados Clandestina'!$D$44:$P$46</definedName>
    <definedName name="NR_ELPA">'[5]Dados Clandestina'!$D$24:$P$26</definedName>
    <definedName name="NR_LESTE">'[5]Dados Clandestina'!$D$49:$P$51</definedName>
    <definedName name="NR_OESTE">'[5]Dados Clandestina'!$D$29:$P$31</definedName>
    <definedName name="NR_SUL">'[5]Dados Clandestina'!$D$34:$P$36</definedName>
    <definedName name="nuevas_financiaciones">'[14]graf indi'!$A$2:$E$10</definedName>
    <definedName name="NUEVAS_OBLIGACIONES_FINANCIERAS">'[11]#¡REF'!$B$40</definedName>
    <definedName name="NUEVO" localSheetId="12">#REF!</definedName>
    <definedName name="NUEVO">#REF!</definedName>
    <definedName name="Nuevo_Financiamiento">'[11]#¡REF'!$B$59</definedName>
    <definedName name="nUnidad" localSheetId="12">[19]Datos!#REF!</definedName>
    <definedName name="nUnidad">[19]Datos!#REF!</definedName>
    <definedName name="ññ" localSheetId="12"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'[3]PyG Año 00-01-02'!#REF!</definedName>
    <definedName name="Otros_Gastos">'[11]#¡REF'!$B$24</definedName>
    <definedName name="Otros_gastos_generales" localSheetId="12">#REF!</definedName>
    <definedName name="Otros_gastos_generales">#REF!</definedName>
    <definedName name="otroslp" localSheetId="12">#REF!</definedName>
    <definedName name="otroslp">#REF!</definedName>
    <definedName name="OUTPUT" localSheetId="12">#REF!</definedName>
    <definedName name="OUTPUT">#REF!</definedName>
    <definedName name="OUTPUTE">#REF!</definedName>
    <definedName name="OUTPUTPR">#REF!</definedName>
    <definedName name="OUTRAS">#REF!</definedName>
    <definedName name="OUTROSKPIS">[4]Dados_Perdas!$C$117:$O$140</definedName>
    <definedName name="P_23" localSheetId="12">#REF!</definedName>
    <definedName name="P_23">#REF!</definedName>
    <definedName name="P_35" localSheetId="12">#REF!</definedName>
    <definedName name="P_35">#REF!</definedName>
    <definedName name="P_36" localSheetId="12">#REF!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[4]Dados_Perdas!$C$33:$O$44</definedName>
    <definedName name="Participación_Ciudadana">'[11]#¡REF'!$B$52</definedName>
    <definedName name="Participación_Subordinadas">'[11]#¡REF'!$B$21</definedName>
    <definedName name="PCLD">'[5]Dados Inadimplência'!$V$55:$AH$61</definedName>
    <definedName name="PCLDCOM">'[4]Dados Inadimplência'!$C$3:$N$22</definedName>
    <definedName name="PCLDMETA">'[5]Dados Inadimplência'!$V$76:$AH$82</definedName>
    <definedName name="PCLDSEM">'[4]Dados Inadimplência'!$C$26:$N$45</definedName>
    <definedName name="PER">[6]ELEGIR!$B$19</definedName>
    <definedName name="Perdas_FBH">'[5]Dados Perdas e BH'!$A$8:$N$14</definedName>
    <definedName name="Perdas_FBH_Metas">'[5]Dados Perdas e BH'!$A$19:$N$25</definedName>
    <definedName name="personal">'[3]aom reg'!$W$13:$AE$19</definedName>
    <definedName name="personalcnd">'[3]aom reg'!$W$118</definedName>
    <definedName name="PICA" localSheetId="12">#REF!</definedName>
    <definedName name="PICA">#REF!</definedName>
    <definedName name="PICA1" localSheetId="12">#REF!</definedName>
    <definedName name="PICA1">#REF!</definedName>
    <definedName name="PLA">'[5]Estatisticas do Planejamento'!$A$34:$H$53</definedName>
    <definedName name="Plan_Rel_Capex">'[5]Dados de relacionamento'!$B$30:$O$37</definedName>
    <definedName name="Plan_Rel_Opex">'[5]Dados de relacionamento'!$B$21:$O$28</definedName>
    <definedName name="Planejado">'[20]Dados de relacionamento'!$B$15:$M$22</definedName>
    <definedName name="PM_ABC">'[5]Plano de Manutenção'!$X$92:$AD$119</definedName>
    <definedName name="PM_ANHEMBI">'[5]Plano de Manutenção'!$X$122:$AD$149</definedName>
    <definedName name="PM_CENTRO">'[5]Plano de Manutenção'!$X$152:$AD$179</definedName>
    <definedName name="PM_ELPA">'[5]Plano de Manutenção'!$X$272:$AD$299</definedName>
    <definedName name="PM_LESTE">'[5]Plano de Manutenção'!$X$182:$AD$209</definedName>
    <definedName name="PM_OESTE">'[5]Plano de Manutenção'!$X$212:$AD$239</definedName>
    <definedName name="PM_SUL">'[5]Plano de Manutenção'!$X$242:$AD$269</definedName>
    <definedName name="PONTOCONEX">'[4]Dados Must'!$C$4:$N$22</definedName>
    <definedName name="PORDIV" localSheetId="12">#REF!</definedName>
    <definedName name="PORDIV">#REF!</definedName>
    <definedName name="PPPP" localSheetId="12">#REF!</definedName>
    <definedName name="PPPP">#REF!</definedName>
    <definedName name="PR_AC">'[5]Dados Segurança'!$B$60:$I$64</definedName>
    <definedName name="PR_LM">'[5]Dados Segurança'!$B$53:$I$57</definedName>
    <definedName name="Prepago_Deuda">'[11]#¡REF'!$B$8</definedName>
    <definedName name="PREST" localSheetId="12">#REF!</definedName>
    <definedName name="PREST">#REF!</definedName>
    <definedName name="PRESTTOT" localSheetId="12">#REF!</definedName>
    <definedName name="PRESTTOT">#REF!</definedName>
    <definedName name="Prima_o_subsidio_de_alimentación" localSheetId="12">#REF!</definedName>
    <definedName name="Prima_o_subsidio_de_alimentación">#REF!</definedName>
    <definedName name="Print_Area_MI">#REF!</definedName>
    <definedName name="PROATIVPC">[4]DadosSeguranc!$D$324:$AC$365</definedName>
    <definedName name="PROATIVPP">[4]DadosSeguranc!$D$278:$AC$319</definedName>
    <definedName name="Procon">'[5]Dados Ouvidoria II'!$C$60:$O$66</definedName>
    <definedName name="PRODAT">'[4]Dados Prod Serv'!$B$9:$N$10</definedName>
    <definedName name="PRODBT">'[4]Dados Prod Serv'!$B$3:$N$4</definedName>
    <definedName name="PROG">[5]Cálculos_DM!$B$42:$O$49</definedName>
    <definedName name="prospfyu" localSheetId="12">#REF!</definedName>
    <definedName name="prospfyu">#REF!</definedName>
    <definedName name="prospindic" localSheetId="12">#REF!</definedName>
    <definedName name="prospindic">#REF!</definedName>
    <definedName name="Provisiones">'[11]#¡REF'!$B$18</definedName>
    <definedName name="PROYC" localSheetId="12">#REF!</definedName>
    <definedName name="PROYC">#REF!</definedName>
    <definedName name="PUBLICO">'[5]Dados Segurança'!$B$80:$I$82</definedName>
    <definedName name="q" localSheetId="12">[21]Hoja1!#REF!</definedName>
    <definedName name="q">[21]Hoja1!#REF!</definedName>
    <definedName name="qq" localSheetId="12" hidden="1">#REF!</definedName>
    <definedName name="qq" hidden="1">#REF!</definedName>
    <definedName name="qryActivs_USDxUnidadesConstructivas" localSheetId="12">#REF!</definedName>
    <definedName name="qryActivs_USDxUnidadesConstructivas">#REF!</definedName>
    <definedName name="qryVentasxOficina" localSheetId="12">#REF!</definedName>
    <definedName name="qryVentasxOficina">#REF!</definedName>
    <definedName name="rangosub">#REF!</definedName>
    <definedName name="RawData">#REF!</definedName>
    <definedName name="Realizado">'[20]Dados de relacionamento'!$B$25:$M$32</definedName>
    <definedName name="RECAUDO">'[11]#¡REF'!$B$45</definedName>
    <definedName name="recaudo_cartera">[3]Gráficas!$A$61:$H$64</definedName>
    <definedName name="Reclamacao">'[10]REFAT_GRUPO-B_ELPA'!$AW$3</definedName>
    <definedName name="RECLAMADO">'[5]Dados Faturamento'!$C$51:$N$57</definedName>
    <definedName name="Ref_Ano">'[5]Dados Faturamento'!$AV$11</definedName>
    <definedName name="Ref_Qtd_Fat">'[5]Dados Faturamento'!$AU$3</definedName>
    <definedName name="Ref_Qtd_Ree">'[5]Dados Faturamento'!$AV$3</definedName>
    <definedName name="Ref_Qtde_ConInt">'[5]Dados Faturamento'!$AY$3</definedName>
    <definedName name="Ref_Unidades">'[5]Dados Faturamento'!$AZ$14</definedName>
    <definedName name="referenc_margen_ebitda">'[3]PyG Año 00-01-02'!$A$278</definedName>
    <definedName name="REITERADAS">'[4]Dados de Ouvidoria'!$D$18:$P$31</definedName>
    <definedName name="REJE_RELIG">'[5]Indicadores Associados (2)'!$AI$19:$AV$46</definedName>
    <definedName name="RELACION_GASTOS_A.O.M">'[11]#¡REF'!#REF!</definedName>
    <definedName name="RELACION_GASTOS_A.O.M___STE">'[11]#¡REF'!$B$34</definedName>
    <definedName name="RELACION_GASTOS_A.O.M_TOTAL">'[11]#¡REF'!#REF!</definedName>
    <definedName name="remuneracicndmem">'[3]aom reg'!$B$23</definedName>
    <definedName name="ren" localSheetId="12">#REF!</definedName>
    <definedName name="ren">#REF!</definedName>
    <definedName name="rent" localSheetId="12">#REF!</definedName>
    <definedName name="rent">#REF!</definedName>
    <definedName name="rentafactores" localSheetId="12">#REF!</definedName>
    <definedName name="rentafactores">#REF!</definedName>
    <definedName name="RENTAL">#REF!</definedName>
    <definedName name="REP">#REF!</definedName>
    <definedName name="rep_Saldo_Bloqueado_Titulos">'[22]rep_Saldo Bloqueado'!$D$1:$H$1</definedName>
    <definedName name="rep_Saldo_Bloqueado_Tudo">'[22]rep_Saldo Bloqueado'!$D$1:$H$159</definedName>
    <definedName name="REPDIV" localSheetId="12">#REF!</definedName>
    <definedName name="REPDIV">#REF!</definedName>
    <definedName name="REPOCALC" localSheetId="12">#REF!</definedName>
    <definedName name="REPOCALC">#REF!</definedName>
    <definedName name="REPOPRO" localSheetId="12">#REF!</definedName>
    <definedName name="REPOPRO">#REF!</definedName>
    <definedName name="REPSUB">#REF!</definedName>
    <definedName name="requeri_de_efecti">'[14]graf indi'!$J$73</definedName>
    <definedName name="RESBCE" localSheetId="12">#REF!</definedName>
    <definedName name="RESBCE">#REF!</definedName>
    <definedName name="RESFYU" localSheetId="12">#REF!</definedName>
    <definedName name="RESFYU">#REF!</definedName>
    <definedName name="RESPYG" localSheetId="12">#REF!</definedName>
    <definedName name="RESPYG">#REF!</definedName>
    <definedName name="RESREL">#REF!</definedName>
    <definedName name="Resultado_no_operacional">'[11]#¡REF'!$B$25</definedName>
    <definedName name="Resumen" localSheetId="12" hidden="1">#REF!</definedName>
    <definedName name="Resumen" hidden="1">#REF!</definedName>
    <definedName name="Resumen_por_Gerencia" localSheetId="12">#REF!</definedName>
    <definedName name="Resumen_por_Gerencia">#REF!</definedName>
    <definedName name="Resumen_PyG" localSheetId="12">#REF!</definedName>
    <definedName name="Resumen_PyG">#REF!</definedName>
    <definedName name="Resumen_Total">#REF!</definedName>
    <definedName name="RESUMO">'[23]NGs. BANCO DADOS'!#REF!</definedName>
    <definedName name="RESUMO_GERAL" localSheetId="12">#REF!</definedName>
    <definedName name="RESUMO_GERAL">#REF!</definedName>
    <definedName name="Retroativa">'[5]Dados Perdas RAA'!$A$9:$N$15</definedName>
    <definedName name="Retroativa_Meta">'[5]Dados Perdas RAA'!$A$87:$N$93</definedName>
    <definedName name="RFP" localSheetId="12">#REF!</definedName>
    <definedName name="RFP">#REF!</definedName>
    <definedName name="RFPC" localSheetId="12">#REF!</definedName>
    <definedName name="RFPC">#REF!</definedName>
    <definedName name="RFTITLE" localSheetId="12">#REF!</definedName>
    <definedName name="RFTITLE">#REF!</definedName>
    <definedName name="RTRETERTERTERTERT">#REF!</definedName>
    <definedName name="RU">'[5]Indicadores Associados (2)'!$C$19:$P$46</definedName>
    <definedName name="Saldo">'[11]#¡REF'!$B$9</definedName>
    <definedName name="Saldo_Bloqueado_Ano">[24]Dados_Saldo_Bloq!#REF!</definedName>
    <definedName name="Saldo_Bloqueado_Bloqueado_Contas">[24]Dados_Saldo_Bloq!#REF!</definedName>
    <definedName name="Saldo_Bloqueado_Bloqueado_Valor">[24]Dados_Saldo_Bloq!#REF!</definedName>
    <definedName name="Saldo_Bloqueado_Mes">[24]Dados_Saldo_Bloq!#REF!</definedName>
    <definedName name="Saldo_Bloqueado_Unidade_Anhembi">[24]Dados_Saldo_Bloq!#REF!</definedName>
    <definedName name="Saldo_Bloqueado_Unidade_Centro">[24]Dados_Saldo_Bloq!#REF!</definedName>
    <definedName name="Saldo_Bloqueado_Unidade_Grande_ABC">[24]Dados_Saldo_Bloq!#REF!</definedName>
    <definedName name="Saldo_Bloqueado_Unidade_Oeste">[24]Dados_Saldo_Bloq!#REF!</definedName>
    <definedName name="Saldo_Bloqueado_Unidade_Portal_Leste_Trabalhadores">[24]Dados_Saldo_Bloq!#REF!</definedName>
    <definedName name="Saldo_Bloqueado_Unidade_Sao_Paulo">[24]Dados_Saldo_Bloq!#REF!</definedName>
    <definedName name="Saldo_Inicial">'[11]#¡REF'!$B$49</definedName>
    <definedName name="saldodeuda" localSheetId="12">#REF!</definedName>
    <definedName name="saldodeuda">#REF!</definedName>
    <definedName name="sasasas" localSheetId="12">#REF!</definedName>
    <definedName name="sasasas">#REF!</definedName>
    <definedName name="SCREEN" localSheetId="12">#REF!</definedName>
    <definedName name="SCREEN">#REF!</definedName>
    <definedName name="SDSDSDSD">#REF!</definedName>
    <definedName name="SEG_CONTR">'[5]Dados Segurança'!$A$39:$Q$44</definedName>
    <definedName name="SEG_PED">'[5]Indicadores Associados (2)'!$S$19:$AF$46</definedName>
    <definedName name="Seg_Pedidor_05">'[5]2º 3º pedidos'!$D$33:$P$39</definedName>
    <definedName name="Seg_Pedidos_04">'[5]2º 3º pedidos'!$D$24:$P$30</definedName>
    <definedName name="SEG_PROP">'[5]Dados Segurança'!$A$32:$Q$37</definedName>
    <definedName name="SEG_PUBL">'[5]Dados Segurança'!$A$46:$Q$49</definedName>
    <definedName name="SEGACPP">[4]DadosSeguranc!$C$140:$AB$183</definedName>
    <definedName name="SEGDIST">[4]DadosSeguranc!$C$139:$AB$179</definedName>
    <definedName name="SEGNATCR">[4]DadosSeguranc!$B$234:$CN$257</definedName>
    <definedName name="SEGNATPR">[4]DadosSeguranc!$B$207:$CN$230</definedName>
    <definedName name="SEGPC">[4]DadosSeguranc!$AF$140:$BE$183</definedName>
    <definedName name="SEGPED">'[4]Dados Call Center'!$C$2:$O$19</definedName>
    <definedName name="SEGPUBL">[4]DadosSeguranc!$B$376:$CA$379</definedName>
    <definedName name="SEGPUBLTIPO">[4]DadosSeguranc!$B$418:$CA$438</definedName>
    <definedName name="SEGTRESPED">'[4]Dados de Ouvidoria'!$D$34:$P$51</definedName>
    <definedName name="SEGUROS_GG" localSheetId="12">#REF!</definedName>
    <definedName name="SEGUROS_GG">#REF!</definedName>
    <definedName name="sensibilidad_deval">'[9]#¡REF'!$C$67:$S$75</definedName>
    <definedName name="sensibilidad_ipc">'[9]#¡REF'!$C$67:$L$71</definedName>
    <definedName name="SENSIBILIDADES" localSheetId="12">#REF!</definedName>
    <definedName name="SENSIBILIDADES">#REF!</definedName>
    <definedName name="Servicio_de_la_Deuda">'[11]#¡REF'!$B$55</definedName>
    <definedName name="SERVICIOS_PERSONALES" localSheetId="12">#REF!</definedName>
    <definedName name="SERVICIOS_PERSONALES">#REF!</definedName>
    <definedName name="SERVIÇOS" localSheetId="12">#REF!</definedName>
    <definedName name="SERVIÇOS">#REF!</definedName>
    <definedName name="SGRAL" localSheetId="12">#REF!</definedName>
    <definedName name="SGRAL">#REF!</definedName>
    <definedName name="SHARED_FORMULA_0">#N/A</definedName>
    <definedName name="SHARED_FORMULA_1">#N/A</definedName>
    <definedName name="SHARED_FORMULA_2">#N/A</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'[9]#¡REF'!$C$45:$C$46</definedName>
    <definedName name="SPOT_JPY">'[9]#¡REF'!$D$45:$D$46</definedName>
    <definedName name="subordinadas">[14]Subordinadas!$A$2:$G$45</definedName>
    <definedName name="SUBT_EXT">[5]Cálculos_DM!$B$22:$O$29</definedName>
    <definedName name="SUBT_INT">[5]Cálculos_DM!$B$32:$O$39</definedName>
    <definedName name="Sueldos_del__Personal" localSheetId="12">#REF!</definedName>
    <definedName name="Sueldos_del__Personal">#REF!</definedName>
    <definedName name="supexpo" localSheetId="12">#REF!</definedName>
    <definedName name="supexpo">#REF!</definedName>
    <definedName name="supimpo" localSheetId="12">#REF!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'[5]Dados Agencias'!$Q$27:$AD$75</definedName>
    <definedName name="TAB_TMA">'[5]Dados Agencias'!$AF$27:$AS$75</definedName>
    <definedName name="Tab_TME">'[5]Dados Agencias'!$B$27:$O$75</definedName>
    <definedName name="TABLA_FWDS">'[9]#¡REF'!$C$87:$I$107</definedName>
    <definedName name="TABLA_FWDS_COPIA">'[9]#¡REF'!$C$64:$I$84</definedName>
    <definedName name="TablaHistorico" hidden="1">'[9]#¡REF'!$A$702:$B$3684</definedName>
    <definedName name="TABLE" localSheetId="12">#REF!</definedName>
    <definedName name="TABLE">#REF!</definedName>
    <definedName name="TABLE_2" localSheetId="12">#REF!</definedName>
    <definedName name="TABLE_2">#REF!</definedName>
    <definedName name="TARIFAS" localSheetId="12">#REF!</definedName>
    <definedName name="TARIFAS">#REF!</definedName>
    <definedName name="TASA">#REF!</definedName>
    <definedName name="TASATOT">#REF!</definedName>
    <definedName name="TCD_META">'[5]Dados Perdas'!$AG$36:$AS$42</definedName>
    <definedName name="TCD_REAL">'[5]Dados Perdas'!$AG$26:$AS$32</definedName>
    <definedName name="TD">[6]ELEGIR!$D$7</definedName>
    <definedName name="TELEC" localSheetId="12">#REF!</definedName>
    <definedName name="TELEC">#REF!</definedName>
    <definedName name="Tempo_Medio_CE">'[5]Dados de relacionamento'!$B$130:$N$136</definedName>
    <definedName name="Tempo_Medio_LN">'[5]Dados de relacionamento'!$B$48:$N$54</definedName>
    <definedName name="Tempo_Medio_RL">'[5]Dados de relacionamento'!$B$73:$N$79</definedName>
    <definedName name="Tempo_Medio_RLU">'[5]Dados de relacionamento'!$B$98:$N$104</definedName>
    <definedName name="Tempo_Medio_SE">'[5]Dados de relacionamento'!$B$152:$N$158</definedName>
    <definedName name="TEMPORAL" localSheetId="12">#REF!</definedName>
    <definedName name="TEMPORAL">#REF!</definedName>
    <definedName name="Ter_Pedidos_04">'[5]2º 3º pedidos'!$D$52:$P$58</definedName>
    <definedName name="Ter_Pedidos_05">'[5]2º 3º pedidos'!$D$61:$P$67</definedName>
    <definedName name="TERCER_PLAN_DE_TRANSMISION" localSheetId="12">#REF!</definedName>
    <definedName name="TERCER_PLAN_DE_TRANSMISION">#REF!</definedName>
    <definedName name="TERCPED">'[4]Dados Call Center'!$S$2:$AE$19</definedName>
    <definedName name="TEST0" localSheetId="12">#REF!</definedName>
    <definedName name="TEST0">#REF!</definedName>
    <definedName name="TEST1" localSheetId="12">#REF!</definedName>
    <definedName name="TEST1">#REF!</definedName>
    <definedName name="TEST2" localSheetId="12">#REF!</definedName>
    <definedName name="TEST2">#REF!</definedName>
    <definedName name="TESTHKEY">#REF!</definedName>
    <definedName name="TESTKEYS">#REF!</definedName>
    <definedName name="TESTVKEY">#REF!</definedName>
    <definedName name="TGTFCONTRAT">[4]DadosSeguranc!$G$70:$S$135</definedName>
    <definedName name="TGTFPROP">[4]DadosSeguranc!$G$2:$S$67</definedName>
    <definedName name="TIME1" localSheetId="12">#REF!</definedName>
    <definedName name="TIME1">#REF!</definedName>
    <definedName name="TIME2" localSheetId="12">#REF!</definedName>
    <definedName name="TIME2">#REF!</definedName>
    <definedName name="TMA">'[4]Dados DEC e FEC'!$D$247:$Q$258</definedName>
    <definedName name="TME">'[4]Dados Ind Com'!$D$16:$P$39</definedName>
    <definedName name="TME_GERAL" localSheetId="12">#REF!</definedName>
    <definedName name="TME_GERAL">#REF!</definedName>
    <definedName name="TME_MEDIA" localSheetId="12">#REF!</definedName>
    <definedName name="TME_MEDIA">#REF!</definedName>
    <definedName name="TME_NEG" localSheetId="12">#REF!</definedName>
    <definedName name="TME_NEG">#REF!</definedName>
    <definedName name="TME_PREF">#REF!</definedName>
    <definedName name="TME_TOI">#REF!</definedName>
    <definedName name="TML">'[4]Dados Ind Com'!$D$95:$P$118</definedName>
    <definedName name="TMR">'[4]Dados Ind Com'!$D$43:$P$66</definedName>
    <definedName name="TMRU">'[4]Dados Ind Com'!$D$69:$P$92</definedName>
    <definedName name="TMS">'[4]Dados Ind Com'!$D$2:$P$13</definedName>
    <definedName name="TNOV">'[4]Dados DEC e FEC'!$D$261:$P$272</definedName>
    <definedName name="TNOVENTA">'[4]Dados DEC e FEC'!$D$261:$Q$272</definedName>
    <definedName name="TOI_META">'[5]Dados Perdas'!$R$36:$AD$42</definedName>
    <definedName name="TOI_REAL">'[5]Dados Perdas'!$R$26:$AD$32</definedName>
    <definedName name="torres">[3]Gráficas!$A$55:$H$57</definedName>
    <definedName name="TOTAL">[5]Cálculos_DM!$B$12:$O$19</definedName>
    <definedName name="TOTAL_CI">'[5]Dados Faturamento'!$C$41:$N$47</definedName>
    <definedName name="TOTAL_FAT">'[5]Dados Faturamento'!$C$21:$N$27</definedName>
    <definedName name="TOTAL_ISA" localSheetId="12">#REF!</definedName>
    <definedName name="TOTAL_ISA">#REF!</definedName>
    <definedName name="TOTAL_RECLAM">'[5]Dados Faturamento'!$C$51:$N$57</definedName>
    <definedName name="TOTAL_REFAT">'[5]Dados Faturamento'!$C$31:$N$37</definedName>
    <definedName name="Totales" localSheetId="12">#REF!,#REF!,#REF!,#REF!,#REF!,#REF!,#REF!,#REF!,#REF!,#REF!,#REF!,#REF!,#REF!,#REF!,#REF!,#REF!,#REF!,#REF!,#REF!,#REF!,#REF!,#REF!,#REF!,#REF!,#REF!,#REF!,#REF!,#REF!,#REF!,#REF!,#REF!,#REF!,#REF!,#REF!,#REF!,#REF!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2">#REF!</definedName>
    <definedName name="transferencias">#REF!</definedName>
    <definedName name="TSFR2" localSheetId="12">#REF!</definedName>
    <definedName name="TSFR2">#REF!</definedName>
    <definedName name="TSFR3" localSheetId="12">#REF!</definedName>
    <definedName name="TSFR3">#REF!</definedName>
    <definedName name="TTE">#REF!</definedName>
    <definedName name="TXARREC">'[4]Dados Inadimplência'!$C$75:$N$92</definedName>
    <definedName name="TXARRECMETA">'[5]Dados Inadimplência'!$V$67:$AH$73</definedName>
    <definedName name="Unidad" localSheetId="12">[19]Datos!#REF!</definedName>
    <definedName name="Unidad">[19]Datos!#REF!</definedName>
    <definedName name="Unidade">'[7]Cadastro Trafos'!$W$3:$W$8</definedName>
    <definedName name="UNO" localSheetId="12">#REF!</definedName>
    <definedName name="UNO">#REF!</definedName>
    <definedName name="UPS" localSheetId="12">'[16]Dados Work'!#REF!</definedName>
    <definedName name="UPS">'[16]Dados Work'!#REF!</definedName>
    <definedName name="UPSOPER07" localSheetId="12">#REF!</definedName>
    <definedName name="UPSOPER07">#REF!</definedName>
    <definedName name="UPSPERD07" localSheetId="12">#REF!</definedName>
    <definedName name="UPSPERD07">#REF!</definedName>
    <definedName name="UPSSUB07" localSheetId="12">#REF!</definedName>
    <definedName name="UPSSUB07">#REF!</definedName>
    <definedName name="UPSUNDER07">#REF!</definedName>
    <definedName name="Utilidad_antes_de_C.M.">'[11]#¡REF'!$B$26</definedName>
    <definedName name="Utilidad_Neta">'[11]#¡REF'!$B$29</definedName>
    <definedName name="Utilidad_Operacional">'[11]#¡REF'!$B$19</definedName>
    <definedName name="v" localSheetId="12">#REF!</definedName>
    <definedName name="v">#REF!</definedName>
    <definedName name="VALOR_DEP" localSheetId="12">#REF!</definedName>
    <definedName name="VALOR_DEP">#REF!</definedName>
    <definedName name="VALUE">'[4]Dados RiscoEnergia'!$F$3:$Q$4</definedName>
    <definedName name="VOL_EUR">'[9]#¡REF'!$C$48</definedName>
    <definedName name="VOL_JPY">'[9]#¡REF'!$D$48</definedName>
    <definedName name="WH" localSheetId="12">#REF!</definedName>
    <definedName name="WH">#REF!</definedName>
    <definedName name="workganho" localSheetId="12">#REF!</definedName>
    <definedName name="workganho">#REF!</definedName>
    <definedName name="WORKSHEET" localSheetId="12">#REF!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85" i="7" l="1"/>
  <c r="P75" i="7"/>
  <c r="P76" i="7" s="1"/>
  <c r="P86" i="7" s="1"/>
  <c r="P66" i="7"/>
  <c r="P53" i="7"/>
  <c r="P54" i="7" s="1"/>
  <c r="P38" i="7"/>
  <c r="P451" i="6" l="1"/>
  <c r="P441" i="6"/>
  <c r="P442" i="6" s="1"/>
  <c r="P452" i="6" s="1"/>
  <c r="P432" i="6"/>
  <c r="P419" i="6"/>
  <c r="P404" i="6"/>
  <c r="P420" i="6" s="1"/>
  <c r="P360" i="6"/>
  <c r="P341" i="6"/>
  <c r="P351" i="6" s="1"/>
  <c r="P328" i="6"/>
  <c r="P313" i="6"/>
  <c r="P329" i="6" s="1"/>
  <c r="P270" i="6"/>
  <c r="P260" i="6"/>
  <c r="P251" i="6"/>
  <c r="P261" i="6" s="1"/>
  <c r="P271" i="6" s="1"/>
  <c r="P238" i="6"/>
  <c r="P223" i="6"/>
  <c r="P239" i="6" s="1"/>
  <c r="P179" i="6"/>
  <c r="P169" i="6"/>
  <c r="P160" i="6"/>
  <c r="P170" i="6" s="1"/>
  <c r="P180" i="6" s="1"/>
  <c r="P147" i="6"/>
  <c r="P132" i="6"/>
  <c r="P148" i="6" s="1"/>
  <c r="P89" i="6"/>
  <c r="P90" i="6" s="1"/>
  <c r="P79" i="6"/>
  <c r="P80" i="6" s="1"/>
  <c r="P70" i="6"/>
  <c r="P57" i="6"/>
  <c r="P42" i="6"/>
  <c r="P58" i="6" s="1"/>
  <c r="O204" i="3"/>
  <c r="G204" i="3"/>
  <c r="O201" i="3"/>
  <c r="N201" i="3"/>
  <c r="N204" i="3" s="1"/>
  <c r="M201" i="3"/>
  <c r="M204" i="3" s="1"/>
  <c r="G201" i="3"/>
  <c r="F201" i="3"/>
  <c r="F204" i="3" s="1"/>
  <c r="E201" i="3"/>
  <c r="E204" i="3" s="1"/>
  <c r="O198" i="3"/>
  <c r="N198" i="3"/>
  <c r="M198" i="3"/>
  <c r="L198" i="3"/>
  <c r="L201" i="3" s="1"/>
  <c r="L204" i="3" s="1"/>
  <c r="K198" i="3"/>
  <c r="K201" i="3" s="1"/>
  <c r="K204" i="3" s="1"/>
  <c r="G198" i="3"/>
  <c r="F198" i="3"/>
  <c r="E198" i="3"/>
  <c r="D198" i="3"/>
  <c r="D201" i="3" s="1"/>
  <c r="D204" i="3" s="1"/>
  <c r="C198" i="3"/>
  <c r="C201" i="3" s="1"/>
  <c r="C204" i="3" s="1"/>
  <c r="P193" i="3"/>
  <c r="P198" i="3" s="1"/>
  <c r="P201" i="3" s="1"/>
  <c r="P204" i="3" s="1"/>
  <c r="O193" i="3"/>
  <c r="N193" i="3"/>
  <c r="M193" i="3"/>
  <c r="L193" i="3"/>
  <c r="K193" i="3"/>
  <c r="J193" i="3"/>
  <c r="J198" i="3" s="1"/>
  <c r="J201" i="3" s="1"/>
  <c r="J204" i="3" s="1"/>
  <c r="I193" i="3"/>
  <c r="I198" i="3" s="1"/>
  <c r="I201" i="3" s="1"/>
  <c r="I204" i="3" s="1"/>
  <c r="H193" i="3"/>
  <c r="H198" i="3" s="1"/>
  <c r="H201" i="3" s="1"/>
  <c r="H204" i="3" s="1"/>
  <c r="G193" i="3"/>
  <c r="F193" i="3"/>
  <c r="E193" i="3"/>
  <c r="D193" i="3"/>
  <c r="C193" i="3"/>
  <c r="P361" i="6" l="1"/>
  <c r="P25" i="3"/>
  <c r="P22" i="3"/>
  <c r="P19" i="3"/>
  <c r="P18" i="3"/>
  <c r="P17" i="3"/>
  <c r="P14" i="3"/>
  <c r="P15" i="3" s="1"/>
  <c r="P20" i="3" s="1"/>
  <c r="P23" i="3" s="1"/>
  <c r="P26" i="3" s="1"/>
  <c r="P13" i="3"/>
  <c r="P12" i="3"/>
  <c r="P11" i="3"/>
  <c r="P10" i="3"/>
  <c r="P9" i="3"/>
  <c r="P8" i="3"/>
  <c r="P34" i="2"/>
  <c r="P31" i="2"/>
  <c r="P28" i="2"/>
  <c r="P25" i="2"/>
  <c r="P24" i="2"/>
  <c r="P23" i="2"/>
  <c r="P19" i="2"/>
  <c r="P18" i="2"/>
  <c r="P17" i="2"/>
  <c r="P16" i="2"/>
  <c r="P15" i="2"/>
  <c r="P14" i="2"/>
  <c r="P13" i="2"/>
  <c r="P12" i="2"/>
  <c r="P20" i="2" s="1"/>
  <c r="P10" i="2"/>
  <c r="P21" i="2" s="1"/>
  <c r="P26" i="2" s="1"/>
  <c r="P29" i="2" s="1"/>
  <c r="P32" i="2" s="1"/>
  <c r="P35" i="2" s="1"/>
  <c r="P9" i="2"/>
  <c r="P8" i="2"/>
  <c r="P247" i="20" l="1"/>
  <c r="O247" i="20"/>
  <c r="H247" i="20"/>
  <c r="G247" i="20"/>
  <c r="P246" i="20"/>
  <c r="O246" i="20"/>
  <c r="N246" i="20"/>
  <c r="N247" i="20" s="1"/>
  <c r="M246" i="20"/>
  <c r="M247" i="20" s="1"/>
  <c r="L246" i="20"/>
  <c r="L247" i="20" s="1"/>
  <c r="K246" i="20"/>
  <c r="K247" i="20" s="1"/>
  <c r="J246" i="20"/>
  <c r="J247" i="20" s="1"/>
  <c r="I246" i="20"/>
  <c r="H246" i="20"/>
  <c r="G246" i="20"/>
  <c r="F246" i="20"/>
  <c r="F247" i="20" s="1"/>
  <c r="E246" i="20"/>
  <c r="E247" i="20" s="1"/>
  <c r="D246" i="20"/>
  <c r="D247" i="20" s="1"/>
  <c r="C246" i="20"/>
  <c r="C247" i="20" s="1"/>
  <c r="P232" i="20"/>
  <c r="O232" i="20"/>
  <c r="N232" i="20"/>
  <c r="M232" i="20"/>
  <c r="L232" i="20"/>
  <c r="K232" i="20"/>
  <c r="J232" i="20"/>
  <c r="I232" i="20"/>
  <c r="I247" i="20" s="1"/>
  <c r="H232" i="20"/>
  <c r="G232" i="20"/>
  <c r="F232" i="20"/>
  <c r="E232" i="20"/>
  <c r="D232" i="20"/>
  <c r="C232" i="20"/>
  <c r="P215" i="20"/>
  <c r="O215" i="20"/>
  <c r="N215" i="20"/>
  <c r="M215" i="20"/>
  <c r="L215" i="20"/>
  <c r="K215" i="20"/>
  <c r="J215" i="20"/>
  <c r="I215" i="20"/>
  <c r="H215" i="20"/>
  <c r="G215" i="20"/>
  <c r="F215" i="20"/>
  <c r="E215" i="20"/>
  <c r="D215" i="20"/>
  <c r="C215" i="20"/>
  <c r="P197" i="20"/>
  <c r="O197" i="20"/>
  <c r="H197" i="20"/>
  <c r="G197" i="20"/>
  <c r="P196" i="20"/>
  <c r="O196" i="20"/>
  <c r="N196" i="20"/>
  <c r="N197" i="20" s="1"/>
  <c r="M196" i="20"/>
  <c r="M197" i="20" s="1"/>
  <c r="L196" i="20"/>
  <c r="L197" i="20" s="1"/>
  <c r="K196" i="20"/>
  <c r="K197" i="20" s="1"/>
  <c r="J196" i="20"/>
  <c r="J197" i="20" s="1"/>
  <c r="I196" i="20"/>
  <c r="H196" i="20"/>
  <c r="G196" i="20"/>
  <c r="F196" i="20"/>
  <c r="F197" i="20" s="1"/>
  <c r="E196" i="20"/>
  <c r="E197" i="20" s="1"/>
  <c r="D196" i="20"/>
  <c r="D197" i="20" s="1"/>
  <c r="C196" i="20"/>
  <c r="C197" i="20" s="1"/>
  <c r="P192" i="20"/>
  <c r="O192" i="20"/>
  <c r="N192" i="20"/>
  <c r="M192" i="20"/>
  <c r="L192" i="20"/>
  <c r="K192" i="20"/>
  <c r="J192" i="20"/>
  <c r="I192" i="20"/>
  <c r="H192" i="20"/>
  <c r="G192" i="20"/>
  <c r="F192" i="20"/>
  <c r="E192" i="20"/>
  <c r="D192" i="20"/>
  <c r="C192" i="20"/>
  <c r="P179" i="20"/>
  <c r="O179" i="20"/>
  <c r="N179" i="20"/>
  <c r="M179" i="20"/>
  <c r="L179" i="20"/>
  <c r="K179" i="20"/>
  <c r="J179" i="20"/>
  <c r="I179" i="20"/>
  <c r="I197" i="20" s="1"/>
  <c r="H179" i="20"/>
  <c r="G179" i="20"/>
  <c r="F179" i="20"/>
  <c r="E179" i="20"/>
  <c r="D179" i="20"/>
  <c r="C179" i="20"/>
  <c r="P153" i="20"/>
  <c r="O153" i="20"/>
  <c r="N153" i="20"/>
  <c r="M153" i="20"/>
  <c r="L153" i="20"/>
  <c r="K153" i="20"/>
  <c r="J153" i="20"/>
  <c r="I153" i="20"/>
  <c r="H153" i="20"/>
  <c r="G153" i="20"/>
  <c r="F153" i="20"/>
  <c r="E153" i="20"/>
  <c r="D153" i="20"/>
  <c r="C153" i="20"/>
  <c r="P143" i="20"/>
  <c r="O143" i="20"/>
  <c r="N143" i="20"/>
  <c r="M143" i="20"/>
  <c r="L143" i="20"/>
  <c r="K143" i="20"/>
  <c r="J143" i="20"/>
  <c r="I143" i="20"/>
  <c r="H143" i="20"/>
  <c r="G143" i="20"/>
  <c r="F143" i="20"/>
  <c r="D143" i="20"/>
  <c r="C143" i="20"/>
  <c r="K142" i="20"/>
  <c r="K149" i="20" s="1"/>
  <c r="K152" i="20" s="1"/>
  <c r="K156" i="20" s="1"/>
  <c r="K158" i="20" s="1"/>
  <c r="J142" i="20"/>
  <c r="J149" i="20" s="1"/>
  <c r="J152" i="20" s="1"/>
  <c r="J156" i="20" s="1"/>
  <c r="J158" i="20" s="1"/>
  <c r="C142" i="20"/>
  <c r="C149" i="20" s="1"/>
  <c r="C152" i="20" s="1"/>
  <c r="C156" i="20" s="1"/>
  <c r="C158" i="20" s="1"/>
  <c r="P136" i="20"/>
  <c r="O136" i="20"/>
  <c r="N136" i="20"/>
  <c r="M136" i="20"/>
  <c r="L136" i="20"/>
  <c r="K136" i="20"/>
  <c r="J136" i="20"/>
  <c r="I136" i="20"/>
  <c r="I142" i="20" s="1"/>
  <c r="I149" i="20" s="1"/>
  <c r="I152" i="20" s="1"/>
  <c r="I156" i="20" s="1"/>
  <c r="I158" i="20" s="1"/>
  <c r="H136" i="20"/>
  <c r="G136" i="20"/>
  <c r="F136" i="20"/>
  <c r="E136" i="20"/>
  <c r="D136" i="20"/>
  <c r="C136" i="20"/>
  <c r="P135" i="20"/>
  <c r="P142" i="20" s="1"/>
  <c r="P149" i="20" s="1"/>
  <c r="P152" i="20" s="1"/>
  <c r="P156" i="20" s="1"/>
  <c r="P158" i="20" s="1"/>
  <c r="O135" i="20"/>
  <c r="O142" i="20" s="1"/>
  <c r="O149" i="20" s="1"/>
  <c r="O152" i="20" s="1"/>
  <c r="O156" i="20" s="1"/>
  <c r="O158" i="20" s="1"/>
  <c r="N135" i="20"/>
  <c r="N142" i="20" s="1"/>
  <c r="N149" i="20" s="1"/>
  <c r="N152" i="20" s="1"/>
  <c r="N156" i="20" s="1"/>
  <c r="N158" i="20" s="1"/>
  <c r="M135" i="20"/>
  <c r="M142" i="20" s="1"/>
  <c r="M149" i="20" s="1"/>
  <c r="M152" i="20" s="1"/>
  <c r="M156" i="20" s="1"/>
  <c r="M158" i="20" s="1"/>
  <c r="L135" i="20"/>
  <c r="L142" i="20" s="1"/>
  <c r="L149" i="20" s="1"/>
  <c r="L152" i="20" s="1"/>
  <c r="L156" i="20" s="1"/>
  <c r="L158" i="20" s="1"/>
  <c r="K135" i="20"/>
  <c r="J135" i="20"/>
  <c r="I135" i="20"/>
  <c r="H135" i="20"/>
  <c r="H142" i="20" s="1"/>
  <c r="H149" i="20" s="1"/>
  <c r="H152" i="20" s="1"/>
  <c r="H156" i="20" s="1"/>
  <c r="H158" i="20" s="1"/>
  <c r="G135" i="20"/>
  <c r="G142" i="20" s="1"/>
  <c r="G149" i="20" s="1"/>
  <c r="G152" i="20" s="1"/>
  <c r="G156" i="20" s="1"/>
  <c r="G158" i="20" s="1"/>
  <c r="F135" i="20"/>
  <c r="F142" i="20" s="1"/>
  <c r="F149" i="20" s="1"/>
  <c r="F152" i="20" s="1"/>
  <c r="F156" i="20" s="1"/>
  <c r="F158" i="20" s="1"/>
  <c r="E135" i="20"/>
  <c r="E142" i="20" s="1"/>
  <c r="E149" i="20" s="1"/>
  <c r="E152" i="20" s="1"/>
  <c r="E156" i="20" s="1"/>
  <c r="E158" i="20" s="1"/>
  <c r="D135" i="20"/>
  <c r="D142" i="20" s="1"/>
  <c r="D149" i="20" s="1"/>
  <c r="D152" i="20" s="1"/>
  <c r="D156" i="20" s="1"/>
  <c r="D158" i="20" s="1"/>
  <c r="C135" i="20"/>
  <c r="P131" i="20"/>
  <c r="O131" i="20"/>
  <c r="N131" i="20"/>
  <c r="M131" i="20"/>
  <c r="L131" i="20"/>
  <c r="K131" i="20"/>
  <c r="J131" i="20"/>
  <c r="I131" i="20"/>
  <c r="H131" i="20"/>
  <c r="G131" i="20"/>
  <c r="F131" i="20"/>
  <c r="E131" i="20"/>
  <c r="P123" i="20"/>
  <c r="I123" i="20"/>
  <c r="H123" i="20"/>
  <c r="P121" i="20"/>
  <c r="O121" i="20"/>
  <c r="O123" i="20" s="1"/>
  <c r="N121" i="20"/>
  <c r="N123" i="20" s="1"/>
  <c r="M121" i="20"/>
  <c r="M123" i="20" s="1"/>
  <c r="L121" i="20"/>
  <c r="L123" i="20" s="1"/>
  <c r="K121" i="20"/>
  <c r="J121" i="20"/>
  <c r="I121" i="20"/>
  <c r="H121" i="20"/>
  <c r="G121" i="20"/>
  <c r="G123" i="20" s="1"/>
  <c r="F121" i="20"/>
  <c r="F123" i="20" s="1"/>
  <c r="E121" i="20"/>
  <c r="E123" i="20" s="1"/>
  <c r="D121" i="20"/>
  <c r="D123" i="20" s="1"/>
  <c r="C121" i="20"/>
  <c r="P109" i="20"/>
  <c r="O109" i="20"/>
  <c r="N109" i="20"/>
  <c r="M109" i="20"/>
  <c r="L109" i="20"/>
  <c r="K109" i="20"/>
  <c r="K123" i="20" s="1"/>
  <c r="J109" i="20"/>
  <c r="J123" i="20" s="1"/>
  <c r="I109" i="20"/>
  <c r="H109" i="20"/>
  <c r="G109" i="20"/>
  <c r="F109" i="20"/>
  <c r="E109" i="20"/>
  <c r="D109" i="20"/>
  <c r="C109" i="20"/>
  <c r="C123" i="20" s="1"/>
  <c r="P95" i="20"/>
  <c r="O95" i="20"/>
  <c r="N95" i="20"/>
  <c r="M95" i="20"/>
  <c r="L95" i="20"/>
  <c r="K95" i="20"/>
  <c r="J95" i="20"/>
  <c r="I95" i="20"/>
  <c r="H95" i="20"/>
  <c r="G95" i="20"/>
  <c r="F95" i="20"/>
  <c r="E95" i="20"/>
  <c r="D95" i="20"/>
  <c r="C95" i="20"/>
  <c r="P77" i="20"/>
  <c r="I77" i="20"/>
  <c r="H77" i="20"/>
  <c r="P76" i="20"/>
  <c r="O76" i="20"/>
  <c r="O77" i="20" s="1"/>
  <c r="N76" i="20"/>
  <c r="N77" i="20" s="1"/>
  <c r="M76" i="20"/>
  <c r="M77" i="20" s="1"/>
  <c r="L76" i="20"/>
  <c r="L77" i="20" s="1"/>
  <c r="K76" i="20"/>
  <c r="J76" i="20"/>
  <c r="J77" i="20" s="1"/>
  <c r="I76" i="20"/>
  <c r="H76" i="20"/>
  <c r="G76" i="20"/>
  <c r="G77" i="20" s="1"/>
  <c r="F76" i="20"/>
  <c r="F77" i="20" s="1"/>
  <c r="E76" i="20"/>
  <c r="E77" i="20" s="1"/>
  <c r="D76" i="20"/>
  <c r="D77" i="20" s="1"/>
  <c r="C76" i="20"/>
  <c r="P60" i="20"/>
  <c r="O60" i="20"/>
  <c r="N60" i="20"/>
  <c r="M60" i="20"/>
  <c r="L60" i="20"/>
  <c r="K60" i="20"/>
  <c r="K77" i="20" s="1"/>
  <c r="J60" i="20"/>
  <c r="I60" i="20"/>
  <c r="H60" i="20"/>
  <c r="G60" i="20"/>
  <c r="F60" i="20"/>
  <c r="E60" i="20"/>
  <c r="D60" i="20"/>
  <c r="C60" i="20"/>
  <c r="C77" i="20" s="1"/>
  <c r="P34" i="20"/>
  <c r="O34" i="20"/>
  <c r="N34" i="20"/>
  <c r="M34" i="20"/>
  <c r="L34" i="20"/>
  <c r="K34" i="20"/>
  <c r="J34" i="20"/>
  <c r="I34" i="20"/>
  <c r="H34" i="20"/>
  <c r="G34" i="20"/>
  <c r="F34" i="20"/>
  <c r="E34" i="20"/>
  <c r="D34" i="20"/>
  <c r="C34" i="20"/>
  <c r="P24" i="20"/>
  <c r="O24" i="20"/>
  <c r="N24" i="20"/>
  <c r="M24" i="20"/>
  <c r="L24" i="20"/>
  <c r="K24" i="20"/>
  <c r="J24" i="20"/>
  <c r="I24" i="20"/>
  <c r="H24" i="20"/>
  <c r="G24" i="20"/>
  <c r="F24" i="20"/>
  <c r="E24" i="20"/>
  <c r="D24" i="20"/>
  <c r="C24" i="20"/>
  <c r="O23" i="20"/>
  <c r="O30" i="20" s="1"/>
  <c r="O33" i="20" s="1"/>
  <c r="O38" i="20" s="1"/>
  <c r="O40" i="20" s="1"/>
  <c r="N23" i="20"/>
  <c r="N30" i="20" s="1"/>
  <c r="N33" i="20" s="1"/>
  <c r="N38" i="20" s="1"/>
  <c r="N40" i="20" s="1"/>
  <c r="G23" i="20"/>
  <c r="G30" i="20" s="1"/>
  <c r="G33" i="20" s="1"/>
  <c r="G38" i="20" s="1"/>
  <c r="G40" i="20" s="1"/>
  <c r="F23" i="20"/>
  <c r="F30" i="20" s="1"/>
  <c r="F33" i="20" s="1"/>
  <c r="F38" i="20" s="1"/>
  <c r="F40" i="20" s="1"/>
  <c r="P16" i="20"/>
  <c r="O16" i="20"/>
  <c r="N16" i="20"/>
  <c r="M16" i="20"/>
  <c r="M23" i="20" s="1"/>
  <c r="M30" i="20" s="1"/>
  <c r="M33" i="20" s="1"/>
  <c r="M38" i="20" s="1"/>
  <c r="M40" i="20" s="1"/>
  <c r="L16" i="20"/>
  <c r="K16" i="20"/>
  <c r="J16" i="20"/>
  <c r="I16" i="20"/>
  <c r="H16" i="20"/>
  <c r="G16" i="20"/>
  <c r="F16" i="20"/>
  <c r="E16" i="20"/>
  <c r="E23" i="20" s="1"/>
  <c r="E30" i="20" s="1"/>
  <c r="E33" i="20" s="1"/>
  <c r="E38" i="20" s="1"/>
  <c r="E40" i="20" s="1"/>
  <c r="D16" i="20"/>
  <c r="C16" i="20"/>
  <c r="P15" i="20"/>
  <c r="P23" i="20" s="1"/>
  <c r="P30" i="20" s="1"/>
  <c r="P33" i="20" s="1"/>
  <c r="P38" i="20" s="1"/>
  <c r="P40" i="20" s="1"/>
  <c r="O15" i="20"/>
  <c r="N15" i="20"/>
  <c r="M15" i="20"/>
  <c r="L15" i="20"/>
  <c r="L23" i="20" s="1"/>
  <c r="L30" i="20" s="1"/>
  <c r="L33" i="20" s="1"/>
  <c r="L38" i="20" s="1"/>
  <c r="L40" i="20" s="1"/>
  <c r="K15" i="20"/>
  <c r="K23" i="20" s="1"/>
  <c r="K30" i="20" s="1"/>
  <c r="K33" i="20" s="1"/>
  <c r="K38" i="20" s="1"/>
  <c r="K40" i="20" s="1"/>
  <c r="J15" i="20"/>
  <c r="J23" i="20" s="1"/>
  <c r="J30" i="20" s="1"/>
  <c r="J33" i="20" s="1"/>
  <c r="J38" i="20" s="1"/>
  <c r="J40" i="20" s="1"/>
  <c r="I15" i="20"/>
  <c r="I23" i="20" s="1"/>
  <c r="I30" i="20" s="1"/>
  <c r="I33" i="20" s="1"/>
  <c r="I38" i="20" s="1"/>
  <c r="I40" i="20" s="1"/>
  <c r="H15" i="20"/>
  <c r="H23" i="20" s="1"/>
  <c r="H30" i="20" s="1"/>
  <c r="H33" i="20" s="1"/>
  <c r="H38" i="20" s="1"/>
  <c r="H40" i="20" s="1"/>
  <c r="G15" i="20"/>
  <c r="F15" i="20"/>
  <c r="E15" i="20"/>
  <c r="D15" i="20"/>
  <c r="D23" i="20" s="1"/>
  <c r="D30" i="20" s="1"/>
  <c r="D33" i="20" s="1"/>
  <c r="D38" i="20" s="1"/>
  <c r="D40" i="20" s="1"/>
  <c r="C15" i="20"/>
  <c r="C23" i="20" s="1"/>
  <c r="C30" i="20" s="1"/>
  <c r="C33" i="20" s="1"/>
  <c r="C38" i="20" s="1"/>
  <c r="C40" i="20" s="1"/>
  <c r="P8" i="20"/>
  <c r="O8" i="20"/>
  <c r="L8" i="20"/>
  <c r="K8" i="20"/>
  <c r="P87" i="3" l="1"/>
  <c r="P78" i="3"/>
  <c r="P88" i="3" s="1"/>
  <c r="P89" i="3" s="1"/>
  <c r="P77" i="3"/>
  <c r="P68" i="3"/>
  <c r="P57" i="3"/>
  <c r="P56" i="3"/>
  <c r="P41" i="3"/>
  <c r="P101" i="2" l="1"/>
  <c r="P103" i="2" s="1"/>
  <c r="P91" i="2"/>
  <c r="P81" i="2"/>
  <c r="P92" i="2" s="1"/>
  <c r="P104" i="2" s="1"/>
  <c r="P105" i="2" s="1"/>
  <c r="P68" i="2"/>
  <c r="P69" i="2" s="1"/>
  <c r="P51" i="2"/>
  <c r="P248" i="5" l="1"/>
  <c r="P239" i="5"/>
  <c r="P233" i="5"/>
  <c r="P240" i="5" s="1"/>
  <c r="P249" i="5" s="1"/>
  <c r="P218" i="5"/>
  <c r="P211" i="5"/>
  <c r="P219" i="5" s="1"/>
  <c r="P183" i="5"/>
  <c r="P184" i="5" s="1"/>
  <c r="P189" i="5" s="1"/>
  <c r="P192" i="5" s="1"/>
  <c r="P195" i="5" s="1"/>
  <c r="P165" i="5"/>
  <c r="P156" i="5"/>
  <c r="P149" i="5"/>
  <c r="P157" i="5" s="1"/>
  <c r="P166" i="5" s="1"/>
  <c r="P146" i="5"/>
  <c r="P138" i="5"/>
  <c r="P130" i="5"/>
  <c r="P139" i="5" s="1"/>
  <c r="P103" i="5"/>
  <c r="P97" i="5"/>
  <c r="P85" i="5"/>
  <c r="P75" i="5"/>
  <c r="P68" i="5"/>
  <c r="P76" i="5" s="1"/>
  <c r="P58" i="5"/>
  <c r="P47" i="5"/>
  <c r="P21" i="5"/>
  <c r="P16" i="5"/>
  <c r="P10" i="5"/>
  <c r="P17" i="5" s="1"/>
  <c r="P22" i="5" s="1"/>
  <c r="P25" i="5" s="1"/>
  <c r="P28" i="5" s="1"/>
  <c r="P104" i="5" l="1"/>
  <c r="P109" i="5" s="1"/>
  <c r="P112" i="5" s="1"/>
  <c r="P115" i="5" s="1"/>
  <c r="P59" i="5"/>
  <c r="P86" i="5"/>
  <c r="G41" i="8" l="1"/>
  <c r="F41" i="8"/>
  <c r="E41" i="8"/>
  <c r="D41" i="8"/>
  <c r="C41" i="8"/>
  <c r="M5" i="10" l="1"/>
  <c r="N125" i="10"/>
  <c r="M125" i="10"/>
  <c r="N74" i="10"/>
  <c r="M74" i="10"/>
  <c r="N56" i="10"/>
  <c r="M56" i="10"/>
  <c r="N5" i="10"/>
  <c r="N208" i="10" s="1"/>
  <c r="M208" i="10"/>
  <c r="O27" i="6" l="1"/>
  <c r="O24" i="6"/>
  <c r="O21" i="6"/>
  <c r="O19" i="6"/>
  <c r="O15" i="6"/>
  <c r="O16" i="6" s="1"/>
  <c r="O14" i="6"/>
  <c r="O13" i="6"/>
  <c r="O12" i="6"/>
  <c r="O9" i="6"/>
  <c r="O10" i="6" s="1"/>
  <c r="O8" i="6"/>
  <c r="O17" i="6" l="1"/>
  <c r="O22" i="6" s="1"/>
  <c r="O25" i="6" s="1"/>
  <c r="O28" i="6" s="1"/>
  <c r="N377" i="6" l="1"/>
  <c r="N378" i="6" s="1"/>
  <c r="N383" i="6" s="1"/>
  <c r="N386" i="6" s="1"/>
  <c r="N389" i="6" s="1"/>
  <c r="M377" i="6"/>
  <c r="M378" i="6" s="1"/>
  <c r="M383" i="6" s="1"/>
  <c r="M386" i="6" s="1"/>
  <c r="M389" i="6" s="1"/>
  <c r="L377" i="6"/>
  <c r="L378" i="6" s="1"/>
  <c r="L383" i="6" s="1"/>
  <c r="L386" i="6" s="1"/>
  <c r="L389" i="6" s="1"/>
  <c r="K377" i="6"/>
  <c r="K378" i="6" s="1"/>
  <c r="K383" i="6" s="1"/>
  <c r="K386" i="6" s="1"/>
  <c r="K389" i="6" s="1"/>
  <c r="J377" i="6"/>
  <c r="I377" i="6"/>
  <c r="H377" i="6"/>
  <c r="H378" i="6" s="1"/>
  <c r="H383" i="6" s="1"/>
  <c r="H386" i="6" s="1"/>
  <c r="H389" i="6" s="1"/>
  <c r="G377" i="6"/>
  <c r="F377" i="6"/>
  <c r="F378" i="6" s="1"/>
  <c r="F383" i="6" s="1"/>
  <c r="F386" i="6" s="1"/>
  <c r="F389" i="6" s="1"/>
  <c r="E377" i="6"/>
  <c r="E378" i="6" s="1"/>
  <c r="E383" i="6" s="1"/>
  <c r="E386" i="6" s="1"/>
  <c r="E389" i="6" s="1"/>
  <c r="D377" i="6"/>
  <c r="D378" i="6" s="1"/>
  <c r="D383" i="6" s="1"/>
  <c r="D386" i="6" s="1"/>
  <c r="D389" i="6" s="1"/>
  <c r="C377" i="6"/>
  <c r="C378" i="6" s="1"/>
  <c r="C383" i="6" s="1"/>
  <c r="C386" i="6" s="1"/>
  <c r="C389" i="6" s="1"/>
  <c r="N371" i="6"/>
  <c r="M371" i="6"/>
  <c r="L371" i="6"/>
  <c r="K371" i="6"/>
  <c r="J371" i="6"/>
  <c r="I371" i="6"/>
  <c r="H371" i="6"/>
  <c r="G371" i="6"/>
  <c r="F371" i="6"/>
  <c r="E371" i="6"/>
  <c r="D371" i="6"/>
  <c r="C371" i="6"/>
  <c r="N360" i="6"/>
  <c r="M360" i="6"/>
  <c r="L360" i="6"/>
  <c r="K360" i="6"/>
  <c r="J360" i="6"/>
  <c r="I360" i="6"/>
  <c r="H360" i="6"/>
  <c r="G360" i="6"/>
  <c r="F360" i="6"/>
  <c r="E360" i="6"/>
  <c r="D360" i="6"/>
  <c r="C360" i="6"/>
  <c r="N350" i="6"/>
  <c r="M350" i="6"/>
  <c r="L350" i="6"/>
  <c r="K350" i="6"/>
  <c r="J350" i="6"/>
  <c r="I350" i="6"/>
  <c r="H350" i="6"/>
  <c r="G350" i="6"/>
  <c r="F350" i="6"/>
  <c r="E350" i="6"/>
  <c r="D350" i="6"/>
  <c r="C350" i="6"/>
  <c r="N341" i="6"/>
  <c r="M341" i="6"/>
  <c r="L341" i="6"/>
  <c r="L351" i="6" s="1"/>
  <c r="L361" i="6" s="1"/>
  <c r="K341" i="6"/>
  <c r="J341" i="6"/>
  <c r="J351" i="6" s="1"/>
  <c r="J361" i="6" s="1"/>
  <c r="I341" i="6"/>
  <c r="I351" i="6" s="1"/>
  <c r="I361" i="6" s="1"/>
  <c r="H341" i="6"/>
  <c r="H351" i="6" s="1"/>
  <c r="H361" i="6" s="1"/>
  <c r="G341" i="6"/>
  <c r="G351" i="6" s="1"/>
  <c r="F341" i="6"/>
  <c r="E341" i="6"/>
  <c r="D341" i="6"/>
  <c r="D351" i="6" s="1"/>
  <c r="D361" i="6" s="1"/>
  <c r="C341" i="6"/>
  <c r="N328" i="6"/>
  <c r="M328" i="6"/>
  <c r="L328" i="6"/>
  <c r="K328" i="6"/>
  <c r="J328" i="6"/>
  <c r="I328" i="6"/>
  <c r="H328" i="6"/>
  <c r="H329" i="6" s="1"/>
  <c r="G328" i="6"/>
  <c r="F328" i="6"/>
  <c r="E328" i="6"/>
  <c r="D328" i="6"/>
  <c r="C328" i="6"/>
  <c r="N313" i="6"/>
  <c r="M313" i="6"/>
  <c r="L313" i="6"/>
  <c r="L329" i="6" s="1"/>
  <c r="K313" i="6"/>
  <c r="K329" i="6" s="1"/>
  <c r="J313" i="6"/>
  <c r="J329" i="6" s="1"/>
  <c r="I313" i="6"/>
  <c r="I329" i="6" s="1"/>
  <c r="H313" i="6"/>
  <c r="G313" i="6"/>
  <c r="F313" i="6"/>
  <c r="E313" i="6"/>
  <c r="D308" i="6"/>
  <c r="D313" i="6" s="1"/>
  <c r="D329" i="6" s="1"/>
  <c r="C308" i="6"/>
  <c r="C313" i="6" s="1"/>
  <c r="C329" i="6" s="1"/>
  <c r="L287" i="6"/>
  <c r="K287" i="6"/>
  <c r="K288" i="6" s="1"/>
  <c r="K293" i="6" s="1"/>
  <c r="K296" i="6" s="1"/>
  <c r="K299" i="6" s="1"/>
  <c r="J287" i="6"/>
  <c r="J288" i="6" s="1"/>
  <c r="J293" i="6" s="1"/>
  <c r="J296" i="6" s="1"/>
  <c r="J299" i="6" s="1"/>
  <c r="I287" i="6"/>
  <c r="H287" i="6"/>
  <c r="G287" i="6"/>
  <c r="F287" i="6"/>
  <c r="E287" i="6"/>
  <c r="E288" i="6" s="1"/>
  <c r="E293" i="6" s="1"/>
  <c r="E296" i="6" s="1"/>
  <c r="E299" i="6" s="1"/>
  <c r="D287" i="6"/>
  <c r="C287" i="6"/>
  <c r="C288" i="6" s="1"/>
  <c r="C293" i="6" s="1"/>
  <c r="C296" i="6" s="1"/>
  <c r="C299" i="6" s="1"/>
  <c r="L281" i="6"/>
  <c r="K281" i="6"/>
  <c r="J281" i="6"/>
  <c r="I281" i="6"/>
  <c r="H281" i="6"/>
  <c r="G281" i="6"/>
  <c r="F281" i="6"/>
  <c r="E281" i="6"/>
  <c r="D281" i="6"/>
  <c r="C281" i="6"/>
  <c r="N270" i="6"/>
  <c r="M270" i="6"/>
  <c r="L270" i="6"/>
  <c r="K270" i="6"/>
  <c r="J270" i="6"/>
  <c r="I270" i="6"/>
  <c r="H270" i="6"/>
  <c r="G270" i="6"/>
  <c r="F270" i="6"/>
  <c r="E270" i="6"/>
  <c r="D270" i="6"/>
  <c r="C270" i="6"/>
  <c r="N260" i="6"/>
  <c r="M260" i="6"/>
  <c r="L260" i="6"/>
  <c r="K260" i="6"/>
  <c r="J260" i="6"/>
  <c r="I260" i="6"/>
  <c r="H260" i="6"/>
  <c r="G260" i="6"/>
  <c r="F260" i="6"/>
  <c r="E260" i="6"/>
  <c r="D260" i="6"/>
  <c r="C260" i="6"/>
  <c r="N251" i="6"/>
  <c r="M251" i="6"/>
  <c r="L251" i="6"/>
  <c r="L261" i="6" s="1"/>
  <c r="L271" i="6" s="1"/>
  <c r="K251" i="6"/>
  <c r="K261" i="6" s="1"/>
  <c r="K271" i="6" s="1"/>
  <c r="J251" i="6"/>
  <c r="J261" i="6" s="1"/>
  <c r="J271" i="6" s="1"/>
  <c r="I251" i="6"/>
  <c r="I261" i="6" s="1"/>
  <c r="I271" i="6" s="1"/>
  <c r="H251" i="6"/>
  <c r="G251" i="6"/>
  <c r="F251" i="6"/>
  <c r="E251" i="6"/>
  <c r="D251" i="6"/>
  <c r="D261" i="6" s="1"/>
  <c r="D271" i="6" s="1"/>
  <c r="C251" i="6"/>
  <c r="C261" i="6" s="1"/>
  <c r="C271" i="6" s="1"/>
  <c r="N239" i="6"/>
  <c r="N238" i="6"/>
  <c r="M238" i="6"/>
  <c r="L238" i="6"/>
  <c r="K238" i="6"/>
  <c r="J238" i="6"/>
  <c r="I238" i="6"/>
  <c r="H238" i="6"/>
  <c r="G238" i="6"/>
  <c r="F238" i="6"/>
  <c r="E238" i="6"/>
  <c r="D238" i="6"/>
  <c r="C238" i="6"/>
  <c r="N223" i="6"/>
  <c r="M223" i="6"/>
  <c r="M239" i="6" s="1"/>
  <c r="L223" i="6"/>
  <c r="L239" i="6" s="1"/>
  <c r="K223" i="6"/>
  <c r="K239" i="6" s="1"/>
  <c r="J223" i="6"/>
  <c r="I223" i="6"/>
  <c r="H223" i="6"/>
  <c r="G223" i="6"/>
  <c r="F223" i="6"/>
  <c r="F239" i="6" s="1"/>
  <c r="E223" i="6"/>
  <c r="E239" i="6" s="1"/>
  <c r="C223" i="6"/>
  <c r="C239" i="6" s="1"/>
  <c r="D218" i="6"/>
  <c r="D223" i="6" s="1"/>
  <c r="D239" i="6" s="1"/>
  <c r="N179" i="6"/>
  <c r="M179" i="6"/>
  <c r="L179" i="6"/>
  <c r="K179" i="6"/>
  <c r="J179" i="6"/>
  <c r="I179" i="6"/>
  <c r="H179" i="6"/>
  <c r="G179" i="6"/>
  <c r="F179" i="6"/>
  <c r="E179" i="6"/>
  <c r="D179" i="6"/>
  <c r="C179" i="6"/>
  <c r="N169" i="6"/>
  <c r="M169" i="6"/>
  <c r="L169" i="6"/>
  <c r="K169" i="6"/>
  <c r="J169" i="6"/>
  <c r="I169" i="6"/>
  <c r="H169" i="6"/>
  <c r="G169" i="6"/>
  <c r="F169" i="6"/>
  <c r="E169" i="6"/>
  <c r="D169" i="6"/>
  <c r="C169" i="6"/>
  <c r="N160" i="6"/>
  <c r="M160" i="6"/>
  <c r="L160" i="6"/>
  <c r="K160" i="6"/>
  <c r="K170" i="6" s="1"/>
  <c r="K180" i="6" s="1"/>
  <c r="K181" i="6" s="1"/>
  <c r="J160" i="6"/>
  <c r="J170" i="6" s="1"/>
  <c r="J180" i="6" s="1"/>
  <c r="I160" i="6"/>
  <c r="I170" i="6" s="1"/>
  <c r="I180" i="6" s="1"/>
  <c r="H160" i="6"/>
  <c r="H170" i="6" s="1"/>
  <c r="H180" i="6" s="1"/>
  <c r="G160" i="6"/>
  <c r="F160" i="6"/>
  <c r="E160" i="6"/>
  <c r="D160" i="6"/>
  <c r="C160" i="6"/>
  <c r="C170" i="6" s="1"/>
  <c r="C180" i="6" s="1"/>
  <c r="N147" i="6"/>
  <c r="M147" i="6"/>
  <c r="L147" i="6"/>
  <c r="K147" i="6"/>
  <c r="J147" i="6"/>
  <c r="I147" i="6"/>
  <c r="H147" i="6"/>
  <c r="G147" i="6"/>
  <c r="F147" i="6"/>
  <c r="E147" i="6"/>
  <c r="D147" i="6"/>
  <c r="C147" i="6"/>
  <c r="N132" i="6"/>
  <c r="M132" i="6"/>
  <c r="L132" i="6"/>
  <c r="K132" i="6"/>
  <c r="K148" i="6" s="1"/>
  <c r="J132" i="6"/>
  <c r="J148" i="6" s="1"/>
  <c r="I132" i="6"/>
  <c r="I148" i="6" s="1"/>
  <c r="H132" i="6"/>
  <c r="H148" i="6" s="1"/>
  <c r="G132" i="6"/>
  <c r="F132" i="6"/>
  <c r="E132" i="6"/>
  <c r="D132" i="6"/>
  <c r="C132" i="6"/>
  <c r="C148" i="6" s="1"/>
  <c r="M109" i="6"/>
  <c r="I109" i="6"/>
  <c r="E109" i="6"/>
  <c r="D109" i="6"/>
  <c r="C109" i="6"/>
  <c r="M106" i="6"/>
  <c r="L106" i="6"/>
  <c r="K106" i="6"/>
  <c r="J106" i="6"/>
  <c r="J107" i="6" s="1"/>
  <c r="I106" i="6"/>
  <c r="H106" i="6"/>
  <c r="H107" i="6" s="1"/>
  <c r="G106" i="6"/>
  <c r="F106" i="6"/>
  <c r="E106" i="6"/>
  <c r="D106" i="6"/>
  <c r="C106" i="6"/>
  <c r="M100" i="6"/>
  <c r="M107" i="6" s="1"/>
  <c r="M112" i="6" s="1"/>
  <c r="M115" i="6" s="1"/>
  <c r="M118" i="6" s="1"/>
  <c r="L100" i="6"/>
  <c r="K100" i="6"/>
  <c r="J100" i="6"/>
  <c r="I100" i="6"/>
  <c r="H100" i="6"/>
  <c r="G100" i="6"/>
  <c r="F100" i="6"/>
  <c r="E100" i="6"/>
  <c r="E107" i="6" s="1"/>
  <c r="E112" i="6" s="1"/>
  <c r="E115" i="6" s="1"/>
  <c r="E118" i="6" s="1"/>
  <c r="D100" i="6"/>
  <c r="C100" i="6"/>
  <c r="N89" i="6"/>
  <c r="M89" i="6"/>
  <c r="L89" i="6"/>
  <c r="K89" i="6"/>
  <c r="J89" i="6"/>
  <c r="I89" i="6"/>
  <c r="H89" i="6"/>
  <c r="G89" i="6"/>
  <c r="F89" i="6"/>
  <c r="E89" i="6"/>
  <c r="D89" i="6"/>
  <c r="C89" i="6"/>
  <c r="N79" i="6"/>
  <c r="M79" i="6"/>
  <c r="L79" i="6"/>
  <c r="K79" i="6"/>
  <c r="J79" i="6"/>
  <c r="I79" i="6"/>
  <c r="H79" i="6"/>
  <c r="G79" i="6"/>
  <c r="F79" i="6"/>
  <c r="E79" i="6"/>
  <c r="D79" i="6"/>
  <c r="C79" i="6"/>
  <c r="N70" i="6"/>
  <c r="M70" i="6"/>
  <c r="L70" i="6"/>
  <c r="K70" i="6"/>
  <c r="J70" i="6"/>
  <c r="J80" i="6" s="1"/>
  <c r="J90" i="6" s="1"/>
  <c r="I70" i="6"/>
  <c r="I80" i="6" s="1"/>
  <c r="I90" i="6" s="1"/>
  <c r="H70" i="6"/>
  <c r="H80" i="6" s="1"/>
  <c r="H90" i="6" s="1"/>
  <c r="G70" i="6"/>
  <c r="G80" i="6" s="1"/>
  <c r="G90" i="6" s="1"/>
  <c r="F70" i="6"/>
  <c r="E70" i="6"/>
  <c r="D70" i="6"/>
  <c r="C70" i="6"/>
  <c r="N57" i="6"/>
  <c r="M57" i="6"/>
  <c r="L57" i="6"/>
  <c r="K57" i="6"/>
  <c r="J57" i="6"/>
  <c r="I57" i="6"/>
  <c r="H57" i="6"/>
  <c r="G57" i="6"/>
  <c r="F57" i="6"/>
  <c r="E57" i="6"/>
  <c r="D57" i="6"/>
  <c r="C57" i="6"/>
  <c r="N42" i="6"/>
  <c r="M42" i="6"/>
  <c r="L42" i="6"/>
  <c r="K42" i="6"/>
  <c r="J42" i="6"/>
  <c r="J58" i="6" s="1"/>
  <c r="I42" i="6"/>
  <c r="I58" i="6" s="1"/>
  <c r="H42" i="6"/>
  <c r="H58" i="6" s="1"/>
  <c r="G42" i="6"/>
  <c r="G58" i="6" s="1"/>
  <c r="F42" i="6"/>
  <c r="E42" i="6"/>
  <c r="D42" i="6"/>
  <c r="C37" i="6"/>
  <c r="C42" i="6" s="1"/>
  <c r="C58" i="6" s="1"/>
  <c r="N85" i="7"/>
  <c r="M85" i="7"/>
  <c r="L85" i="7"/>
  <c r="K85" i="7"/>
  <c r="J85" i="7"/>
  <c r="I85" i="7"/>
  <c r="H85" i="7"/>
  <c r="G85" i="7"/>
  <c r="F85" i="7"/>
  <c r="E85" i="7"/>
  <c r="D85" i="7"/>
  <c r="C85" i="7"/>
  <c r="N75" i="7"/>
  <c r="M75" i="7"/>
  <c r="L75" i="7"/>
  <c r="K75" i="7"/>
  <c r="J75" i="7"/>
  <c r="I75" i="7"/>
  <c r="H75" i="7"/>
  <c r="G75" i="7"/>
  <c r="F75" i="7"/>
  <c r="E75" i="7"/>
  <c r="D75" i="7"/>
  <c r="C75" i="7"/>
  <c r="N66" i="7"/>
  <c r="N76" i="7" s="1"/>
  <c r="N86" i="7" s="1"/>
  <c r="M66" i="7"/>
  <c r="M76" i="7" s="1"/>
  <c r="M86" i="7" s="1"/>
  <c r="L66" i="7"/>
  <c r="L76" i="7" s="1"/>
  <c r="L86" i="7" s="1"/>
  <c r="K66" i="7"/>
  <c r="J66" i="7"/>
  <c r="I66" i="7"/>
  <c r="H66" i="7"/>
  <c r="G66" i="7"/>
  <c r="G76" i="7" s="1"/>
  <c r="G86" i="7" s="1"/>
  <c r="F66" i="7"/>
  <c r="F76" i="7" s="1"/>
  <c r="F86" i="7" s="1"/>
  <c r="E66" i="7"/>
  <c r="E76" i="7" s="1"/>
  <c r="E86" i="7" s="1"/>
  <c r="D66" i="7"/>
  <c r="D76" i="7" s="1"/>
  <c r="D86" i="7" s="1"/>
  <c r="C66" i="7"/>
  <c r="N53" i="7"/>
  <c r="M53" i="7"/>
  <c r="L53" i="7"/>
  <c r="K53" i="7"/>
  <c r="J53" i="7"/>
  <c r="I53" i="7"/>
  <c r="H53" i="7"/>
  <c r="G53" i="7"/>
  <c r="F53" i="7"/>
  <c r="E53" i="7"/>
  <c r="D53" i="7"/>
  <c r="C53" i="7"/>
  <c r="N38" i="7"/>
  <c r="N54" i="7" s="1"/>
  <c r="M38" i="7"/>
  <c r="M54" i="7" s="1"/>
  <c r="L38" i="7"/>
  <c r="L54" i="7" s="1"/>
  <c r="K38" i="7"/>
  <c r="J38" i="7"/>
  <c r="I38" i="7"/>
  <c r="H38" i="7"/>
  <c r="G38" i="7"/>
  <c r="G54" i="7" s="1"/>
  <c r="F38" i="7"/>
  <c r="F54" i="7" s="1"/>
  <c r="E38" i="7"/>
  <c r="E54" i="7" s="1"/>
  <c r="D38" i="7"/>
  <c r="D54" i="7" s="1"/>
  <c r="C38" i="7"/>
  <c r="C239" i="5"/>
  <c r="H233" i="5"/>
  <c r="L233" i="5"/>
  <c r="K233" i="5"/>
  <c r="J233" i="5"/>
  <c r="I233" i="5"/>
  <c r="D233" i="5"/>
  <c r="C233" i="5"/>
  <c r="M218" i="5"/>
  <c r="L218" i="5"/>
  <c r="K218" i="5"/>
  <c r="J218" i="5"/>
  <c r="E218" i="5"/>
  <c r="D218" i="5"/>
  <c r="C218" i="5"/>
  <c r="N211" i="5"/>
  <c r="I211" i="5"/>
  <c r="H211" i="5"/>
  <c r="G211" i="5"/>
  <c r="F211" i="5"/>
  <c r="H191" i="5"/>
  <c r="N183" i="5"/>
  <c r="M183" i="5"/>
  <c r="L183" i="5"/>
  <c r="K183" i="5"/>
  <c r="J183" i="5"/>
  <c r="I183" i="5"/>
  <c r="H183" i="5"/>
  <c r="G183" i="5"/>
  <c r="F183" i="5"/>
  <c r="E183" i="5"/>
  <c r="D183" i="5"/>
  <c r="C183" i="5"/>
  <c r="N177" i="5"/>
  <c r="M177" i="5"/>
  <c r="M184" i="5" s="1"/>
  <c r="M189" i="5" s="1"/>
  <c r="M192" i="5" s="1"/>
  <c r="M195" i="5" s="1"/>
  <c r="L177" i="5"/>
  <c r="L184" i="5" s="1"/>
  <c r="L189" i="5" s="1"/>
  <c r="L192" i="5" s="1"/>
  <c r="L195" i="5" s="1"/>
  <c r="K177" i="5"/>
  <c r="J177" i="5"/>
  <c r="I177" i="5"/>
  <c r="H177" i="5"/>
  <c r="G177" i="5"/>
  <c r="G184" i="5" s="1"/>
  <c r="G189" i="5" s="1"/>
  <c r="G192" i="5" s="1"/>
  <c r="G195" i="5" s="1"/>
  <c r="F177" i="5"/>
  <c r="E177" i="5"/>
  <c r="E184" i="5" s="1"/>
  <c r="E189" i="5" s="1"/>
  <c r="E192" i="5" s="1"/>
  <c r="E195" i="5" s="1"/>
  <c r="D177" i="5"/>
  <c r="D184" i="5" s="1"/>
  <c r="D189" i="5" s="1"/>
  <c r="C177" i="5"/>
  <c r="N167" i="5"/>
  <c r="M167" i="5"/>
  <c r="L167" i="5"/>
  <c r="K167" i="5"/>
  <c r="J167" i="5"/>
  <c r="I167" i="5"/>
  <c r="H167" i="5"/>
  <c r="G167" i="5"/>
  <c r="F167" i="5"/>
  <c r="E167" i="5"/>
  <c r="D167" i="5"/>
  <c r="C167" i="5"/>
  <c r="L111" i="5"/>
  <c r="N108" i="5"/>
  <c r="M108" i="5"/>
  <c r="H108" i="5"/>
  <c r="N103" i="5"/>
  <c r="M103" i="5"/>
  <c r="L103" i="5"/>
  <c r="K103" i="5"/>
  <c r="J103" i="5"/>
  <c r="I103" i="5"/>
  <c r="H103" i="5"/>
  <c r="H104" i="5" s="1"/>
  <c r="H109" i="5" s="1"/>
  <c r="H112" i="5" s="1"/>
  <c r="H115" i="5" s="1"/>
  <c r="G103" i="5"/>
  <c r="F103" i="5"/>
  <c r="E103" i="5"/>
  <c r="C103" i="5"/>
  <c r="D102" i="5"/>
  <c r="D103" i="5" s="1"/>
  <c r="N97" i="5"/>
  <c r="M97" i="5"/>
  <c r="M104" i="5" s="1"/>
  <c r="L97" i="5"/>
  <c r="K97" i="5"/>
  <c r="J97" i="5"/>
  <c r="I97" i="5"/>
  <c r="H97" i="5"/>
  <c r="G97" i="5"/>
  <c r="G104" i="5" s="1"/>
  <c r="G109" i="5" s="1"/>
  <c r="G112" i="5" s="1"/>
  <c r="G115" i="5" s="1"/>
  <c r="F97" i="5"/>
  <c r="E97" i="5"/>
  <c r="E104" i="5" s="1"/>
  <c r="E109" i="5" s="1"/>
  <c r="E112" i="5" s="1"/>
  <c r="E115" i="5" s="1"/>
  <c r="D97" i="5"/>
  <c r="C97" i="5"/>
  <c r="C104" i="5" s="1"/>
  <c r="C109" i="5" s="1"/>
  <c r="C112" i="5" s="1"/>
  <c r="C115" i="5" s="1"/>
  <c r="N87" i="5"/>
  <c r="M87" i="5"/>
  <c r="L87" i="5"/>
  <c r="K87" i="5"/>
  <c r="J87" i="5"/>
  <c r="I87" i="5"/>
  <c r="H87" i="5"/>
  <c r="G87" i="5"/>
  <c r="F87" i="5"/>
  <c r="E87" i="5"/>
  <c r="D87" i="5"/>
  <c r="C87" i="5"/>
  <c r="M24" i="5"/>
  <c r="L24" i="5"/>
  <c r="J24" i="5"/>
  <c r="N16" i="5"/>
  <c r="M16" i="5"/>
  <c r="K16" i="5"/>
  <c r="J16" i="5"/>
  <c r="I16" i="5"/>
  <c r="H16" i="5"/>
  <c r="G16" i="5"/>
  <c r="F16" i="5"/>
  <c r="F17" i="5" s="1"/>
  <c r="F22" i="5" s="1"/>
  <c r="F25" i="5" s="1"/>
  <c r="F28" i="5" s="1"/>
  <c r="E16" i="5"/>
  <c r="D16" i="5"/>
  <c r="C16" i="5"/>
  <c r="L15" i="5"/>
  <c r="L16" i="5" s="1"/>
  <c r="N10" i="5"/>
  <c r="M10" i="5"/>
  <c r="L10" i="5"/>
  <c r="K10" i="5"/>
  <c r="K17" i="5" s="1"/>
  <c r="K22" i="5" s="1"/>
  <c r="K25" i="5" s="1"/>
  <c r="K28" i="5" s="1"/>
  <c r="J10" i="5"/>
  <c r="I10" i="5"/>
  <c r="I17" i="5" s="1"/>
  <c r="I22" i="5" s="1"/>
  <c r="I25" i="5" s="1"/>
  <c r="I28" i="5" s="1"/>
  <c r="H10" i="5"/>
  <c r="G10" i="5"/>
  <c r="F10" i="5"/>
  <c r="E10" i="5"/>
  <c r="E17" i="5" s="1"/>
  <c r="E22" i="5" s="1"/>
  <c r="E25" i="5" s="1"/>
  <c r="E28" i="5" s="1"/>
  <c r="D10" i="5"/>
  <c r="C10" i="5"/>
  <c r="C17" i="5" s="1"/>
  <c r="C22" i="5" s="1"/>
  <c r="C25" i="5" s="1"/>
  <c r="C28" i="5" s="1"/>
  <c r="C88" i="5" s="1"/>
  <c r="N269" i="3"/>
  <c r="M269" i="3"/>
  <c r="L269" i="3"/>
  <c r="K269" i="3"/>
  <c r="J269" i="3"/>
  <c r="I269" i="3"/>
  <c r="H269" i="3"/>
  <c r="G269" i="3"/>
  <c r="F269" i="3"/>
  <c r="E269" i="3"/>
  <c r="D269" i="3"/>
  <c r="C269" i="3"/>
  <c r="N266" i="3"/>
  <c r="M266" i="3"/>
  <c r="L266" i="3"/>
  <c r="K266" i="3"/>
  <c r="J266" i="3"/>
  <c r="I266" i="3"/>
  <c r="H266" i="3"/>
  <c r="G266" i="3"/>
  <c r="F266" i="3"/>
  <c r="E266" i="3"/>
  <c r="D266" i="3"/>
  <c r="C266" i="3"/>
  <c r="M256" i="3"/>
  <c r="I256" i="3"/>
  <c r="F256" i="3"/>
  <c r="N255" i="3"/>
  <c r="N256" i="3" s="1"/>
  <c r="E255" i="3"/>
  <c r="E256" i="3" s="1"/>
  <c r="L254" i="3"/>
  <c r="K254" i="3"/>
  <c r="K256" i="3" s="1"/>
  <c r="J254" i="3"/>
  <c r="J256" i="3" s="1"/>
  <c r="G254" i="3"/>
  <c r="G256" i="3" s="1"/>
  <c r="L249" i="3"/>
  <c r="H249" i="3"/>
  <c r="H256" i="3" s="1"/>
  <c r="D249" i="3"/>
  <c r="D256" i="3" s="1"/>
  <c r="C249" i="3"/>
  <c r="C256" i="3" s="1"/>
  <c r="N247" i="3"/>
  <c r="N257" i="3" s="1"/>
  <c r="N267" i="3" s="1"/>
  <c r="M247" i="3"/>
  <c r="K247" i="3"/>
  <c r="J247" i="3"/>
  <c r="I247" i="3"/>
  <c r="I257" i="3" s="1"/>
  <c r="I267" i="3" s="1"/>
  <c r="G247" i="3"/>
  <c r="F247" i="3"/>
  <c r="F257" i="3" s="1"/>
  <c r="F267" i="3" s="1"/>
  <c r="E247" i="3"/>
  <c r="L239" i="3"/>
  <c r="L247" i="3" s="1"/>
  <c r="H239" i="3"/>
  <c r="H247" i="3" s="1"/>
  <c r="H257" i="3" s="1"/>
  <c r="H267" i="3" s="1"/>
  <c r="D239" i="3"/>
  <c r="D247" i="3" s="1"/>
  <c r="D257" i="3" s="1"/>
  <c r="C239" i="3"/>
  <c r="C247" i="3" s="1"/>
  <c r="N234" i="3"/>
  <c r="M234" i="3"/>
  <c r="L234" i="3"/>
  <c r="K234" i="3"/>
  <c r="J234" i="3"/>
  <c r="I234" i="3"/>
  <c r="H234" i="3"/>
  <c r="G234" i="3"/>
  <c r="F234" i="3"/>
  <c r="E234" i="3"/>
  <c r="D234" i="3"/>
  <c r="C234" i="3"/>
  <c r="N218" i="3"/>
  <c r="N235" i="3" s="1"/>
  <c r="M218" i="3"/>
  <c r="M235" i="3" s="1"/>
  <c r="K218" i="3"/>
  <c r="J218" i="3"/>
  <c r="J235" i="3" s="1"/>
  <c r="I218" i="3"/>
  <c r="H218" i="3"/>
  <c r="H235" i="3" s="1"/>
  <c r="G218" i="3"/>
  <c r="G235" i="3" s="1"/>
  <c r="F218" i="3"/>
  <c r="F235" i="3" s="1"/>
  <c r="E218" i="3"/>
  <c r="E235" i="3" s="1"/>
  <c r="D218" i="3"/>
  <c r="D235" i="3" s="1"/>
  <c r="C218" i="3"/>
  <c r="L214" i="3"/>
  <c r="L218" i="3" s="1"/>
  <c r="L235" i="3" s="1"/>
  <c r="N181" i="3"/>
  <c r="M181" i="3"/>
  <c r="L181" i="3"/>
  <c r="K181" i="3"/>
  <c r="J181" i="3"/>
  <c r="I181" i="3"/>
  <c r="H181" i="3"/>
  <c r="G181" i="3"/>
  <c r="F181" i="3"/>
  <c r="E181" i="3"/>
  <c r="D181" i="3"/>
  <c r="C181" i="3"/>
  <c r="N180" i="3"/>
  <c r="M180" i="3"/>
  <c r="L180" i="3"/>
  <c r="K180" i="3"/>
  <c r="J180" i="3"/>
  <c r="I180" i="3"/>
  <c r="H180" i="3"/>
  <c r="G180" i="3"/>
  <c r="F180" i="3"/>
  <c r="E180" i="3"/>
  <c r="D180" i="3"/>
  <c r="C180" i="3"/>
  <c r="N90" i="3"/>
  <c r="M90" i="3"/>
  <c r="L90" i="3"/>
  <c r="K90" i="3"/>
  <c r="J90" i="3"/>
  <c r="I90" i="3"/>
  <c r="H90" i="3"/>
  <c r="G90" i="3"/>
  <c r="F90" i="3"/>
  <c r="E90" i="3"/>
  <c r="D90" i="3"/>
  <c r="C90" i="3"/>
  <c r="N89" i="3"/>
  <c r="M89" i="3"/>
  <c r="L89" i="3"/>
  <c r="H89" i="3"/>
  <c r="G89" i="3"/>
  <c r="F89" i="3"/>
  <c r="E89" i="3"/>
  <c r="D89" i="3"/>
  <c r="C89" i="3"/>
  <c r="J88" i="3"/>
  <c r="K87" i="3"/>
  <c r="K88" i="3" s="1"/>
  <c r="J87" i="3"/>
  <c r="I87" i="3"/>
  <c r="I88" i="3" s="1"/>
  <c r="K56" i="3"/>
  <c r="K57" i="3" s="1"/>
  <c r="K89" i="3" s="1"/>
  <c r="J56" i="3"/>
  <c r="J57" i="3" s="1"/>
  <c r="J89" i="3" s="1"/>
  <c r="I56" i="3"/>
  <c r="I57" i="3" s="1"/>
  <c r="I89" i="3" s="1"/>
  <c r="N106" i="2"/>
  <c r="M106" i="2"/>
  <c r="L106" i="2"/>
  <c r="K106" i="2"/>
  <c r="J106" i="2"/>
  <c r="I106" i="2"/>
  <c r="H106" i="2"/>
  <c r="G106" i="2"/>
  <c r="F106" i="2"/>
  <c r="E106" i="2"/>
  <c r="D106" i="2"/>
  <c r="C106" i="2"/>
  <c r="N105" i="2"/>
  <c r="M105" i="2"/>
  <c r="L105" i="2"/>
  <c r="K105" i="2"/>
  <c r="J105" i="2"/>
  <c r="I105" i="2"/>
  <c r="H105" i="2"/>
  <c r="G105" i="2"/>
  <c r="F105" i="2"/>
  <c r="E105" i="2"/>
  <c r="D105" i="2"/>
  <c r="C105" i="2"/>
  <c r="M17" i="5" l="1"/>
  <c r="M22" i="5" s="1"/>
  <c r="M25" i="5" s="1"/>
  <c r="M28" i="5" s="1"/>
  <c r="H17" i="5"/>
  <c r="H22" i="5" s="1"/>
  <c r="H25" i="5" s="1"/>
  <c r="H28" i="5" s="1"/>
  <c r="H88" i="5" s="1"/>
  <c r="F184" i="5"/>
  <c r="F189" i="5" s="1"/>
  <c r="F192" i="5" s="1"/>
  <c r="F195" i="5" s="1"/>
  <c r="J104" i="5"/>
  <c r="J109" i="5" s="1"/>
  <c r="J112" i="5" s="1"/>
  <c r="J115" i="5" s="1"/>
  <c r="N184" i="5"/>
  <c r="N189" i="5" s="1"/>
  <c r="N192" i="5" s="1"/>
  <c r="N195" i="5" s="1"/>
  <c r="N17" i="5"/>
  <c r="N22" i="5" s="1"/>
  <c r="N25" i="5" s="1"/>
  <c r="N28" i="5" s="1"/>
  <c r="K104" i="5"/>
  <c r="K109" i="5" s="1"/>
  <c r="K112" i="5" s="1"/>
  <c r="K115" i="5" s="1"/>
  <c r="C184" i="5"/>
  <c r="C189" i="5" s="1"/>
  <c r="K184" i="5"/>
  <c r="K189" i="5" s="1"/>
  <c r="K192" i="5" s="1"/>
  <c r="K195" i="5" s="1"/>
  <c r="J211" i="5"/>
  <c r="J219" i="5" s="1"/>
  <c r="F218" i="5"/>
  <c r="N218" i="5"/>
  <c r="E233" i="5"/>
  <c r="M233" i="5"/>
  <c r="N268" i="3"/>
  <c r="M257" i="3"/>
  <c r="M267" i="3" s="1"/>
  <c r="M109" i="5"/>
  <c r="M112" i="5" s="1"/>
  <c r="M115" i="5" s="1"/>
  <c r="C240" i="5"/>
  <c r="F288" i="6"/>
  <c r="F293" i="6" s="1"/>
  <c r="F296" i="6" s="1"/>
  <c r="F299" i="6" s="1"/>
  <c r="D104" i="5"/>
  <c r="D109" i="5" s="1"/>
  <c r="D112" i="5" s="1"/>
  <c r="D115" i="5" s="1"/>
  <c r="H54" i="7"/>
  <c r="H76" i="7"/>
  <c r="H86" i="7" s="1"/>
  <c r="K58" i="6"/>
  <c r="C80" i="6"/>
  <c r="C90" i="6" s="1"/>
  <c r="K80" i="6"/>
  <c r="K90" i="6" s="1"/>
  <c r="G107" i="6"/>
  <c r="D107" i="6"/>
  <c r="D112" i="6" s="1"/>
  <c r="D115" i="6" s="1"/>
  <c r="D118" i="6" s="1"/>
  <c r="L107" i="6"/>
  <c r="D148" i="6"/>
  <c r="D181" i="6" s="1"/>
  <c r="L148" i="6"/>
  <c r="D170" i="6"/>
  <c r="D180" i="6" s="1"/>
  <c r="L170" i="6"/>
  <c r="L180" i="6" s="1"/>
  <c r="G239" i="6"/>
  <c r="E261" i="6"/>
  <c r="E271" i="6" s="1"/>
  <c r="M261" i="6"/>
  <c r="M271" i="6" s="1"/>
  <c r="G288" i="6"/>
  <c r="G293" i="6" s="1"/>
  <c r="G296" i="6" s="1"/>
  <c r="G299" i="6" s="1"/>
  <c r="E329" i="6"/>
  <c r="M329" i="6"/>
  <c r="C351" i="6"/>
  <c r="C361" i="6" s="1"/>
  <c r="K351" i="6"/>
  <c r="K361" i="6" s="1"/>
  <c r="G378" i="6"/>
  <c r="G383" i="6" s="1"/>
  <c r="G386" i="6" s="1"/>
  <c r="G389" i="6" s="1"/>
  <c r="G17" i="5"/>
  <c r="G22" i="5" s="1"/>
  <c r="G25" i="5" s="1"/>
  <c r="G28" i="5" s="1"/>
  <c r="G88" i="5" s="1"/>
  <c r="L17" i="5"/>
  <c r="L22" i="5" s="1"/>
  <c r="L25" i="5" s="1"/>
  <c r="L28" i="5" s="1"/>
  <c r="J17" i="5"/>
  <c r="J22" i="5" s="1"/>
  <c r="J25" i="5" s="1"/>
  <c r="J28" i="5" s="1"/>
  <c r="K88" i="5" s="1"/>
  <c r="L104" i="5"/>
  <c r="L109" i="5" s="1"/>
  <c r="L112" i="5" s="1"/>
  <c r="L115" i="5" s="1"/>
  <c r="H184" i="5"/>
  <c r="H189" i="5" s="1"/>
  <c r="H192" i="5" s="1"/>
  <c r="H195" i="5" s="1"/>
  <c r="C211" i="5"/>
  <c r="C219" i="5" s="1"/>
  <c r="K211" i="5"/>
  <c r="G218" i="5"/>
  <c r="G219" i="5" s="1"/>
  <c r="F233" i="5"/>
  <c r="N233" i="5"/>
  <c r="I54" i="7"/>
  <c r="I76" i="7"/>
  <c r="I86" i="7" s="1"/>
  <c r="D58" i="6"/>
  <c r="L58" i="6"/>
  <c r="D80" i="6"/>
  <c r="D90" i="6" s="1"/>
  <c r="L80" i="6"/>
  <c r="L90" i="6" s="1"/>
  <c r="E148" i="6"/>
  <c r="M148" i="6"/>
  <c r="M181" i="6" s="1"/>
  <c r="E170" i="6"/>
  <c r="E180" i="6" s="1"/>
  <c r="E181" i="6" s="1"/>
  <c r="M170" i="6"/>
  <c r="M180" i="6" s="1"/>
  <c r="H239" i="6"/>
  <c r="F261" i="6"/>
  <c r="F271" i="6" s="1"/>
  <c r="N261" i="6"/>
  <c r="N271" i="6" s="1"/>
  <c r="F329" i="6"/>
  <c r="N329" i="6"/>
  <c r="I235" i="3"/>
  <c r="I268" i="3" s="1"/>
  <c r="I104" i="5"/>
  <c r="I109" i="5" s="1"/>
  <c r="I112" i="5" s="1"/>
  <c r="I115" i="5" s="1"/>
  <c r="I184" i="5"/>
  <c r="I189" i="5" s="1"/>
  <c r="I192" i="5" s="1"/>
  <c r="I195" i="5" s="1"/>
  <c r="D211" i="5"/>
  <c r="D219" i="5" s="1"/>
  <c r="L211" i="5"/>
  <c r="L219" i="5" s="1"/>
  <c r="H218" i="5"/>
  <c r="H219" i="5" s="1"/>
  <c r="G233" i="5"/>
  <c r="J54" i="7"/>
  <c r="J76" i="7"/>
  <c r="J86" i="7" s="1"/>
  <c r="E58" i="6"/>
  <c r="M58" i="6"/>
  <c r="E80" i="6"/>
  <c r="E90" i="6" s="1"/>
  <c r="M80" i="6"/>
  <c r="M90" i="6" s="1"/>
  <c r="I107" i="6"/>
  <c r="I112" i="6" s="1"/>
  <c r="I114" i="6" s="1"/>
  <c r="L114" i="6" s="1"/>
  <c r="F107" i="6"/>
  <c r="F148" i="6"/>
  <c r="N148" i="6"/>
  <c r="F170" i="6"/>
  <c r="F180" i="6" s="1"/>
  <c r="F181" i="6" s="1"/>
  <c r="N170" i="6"/>
  <c r="N180" i="6" s="1"/>
  <c r="N181" i="6" s="1"/>
  <c r="I239" i="6"/>
  <c r="G261" i="6"/>
  <c r="G271" i="6" s="1"/>
  <c r="I288" i="6"/>
  <c r="I293" i="6" s="1"/>
  <c r="I296" i="6" s="1"/>
  <c r="I299" i="6" s="1"/>
  <c r="G329" i="6"/>
  <c r="E351" i="6"/>
  <c r="E361" i="6" s="1"/>
  <c r="M351" i="6"/>
  <c r="M361" i="6" s="1"/>
  <c r="I378" i="6"/>
  <c r="I383" i="6" s="1"/>
  <c r="I386" i="6" s="1"/>
  <c r="I389" i="6" s="1"/>
  <c r="L256" i="3"/>
  <c r="L257" i="3" s="1"/>
  <c r="D17" i="5"/>
  <c r="D22" i="5" s="1"/>
  <c r="D25" i="5" s="1"/>
  <c r="D28" i="5" s="1"/>
  <c r="D88" i="5" s="1"/>
  <c r="F104" i="5"/>
  <c r="F109" i="5" s="1"/>
  <c r="F112" i="5" s="1"/>
  <c r="F115" i="5" s="1"/>
  <c r="N104" i="5"/>
  <c r="N109" i="5" s="1"/>
  <c r="N112" i="5" s="1"/>
  <c r="N115" i="5" s="1"/>
  <c r="J184" i="5"/>
  <c r="J189" i="5" s="1"/>
  <c r="J192" i="5" s="1"/>
  <c r="J195" i="5" s="1"/>
  <c r="E211" i="5"/>
  <c r="E219" i="5" s="1"/>
  <c r="M211" i="5"/>
  <c r="M219" i="5" s="1"/>
  <c r="I218" i="5"/>
  <c r="I219" i="5" s="1"/>
  <c r="C54" i="7"/>
  <c r="K54" i="7"/>
  <c r="C76" i="7"/>
  <c r="C86" i="7" s="1"/>
  <c r="K76" i="7"/>
  <c r="K86" i="7" s="1"/>
  <c r="F58" i="6"/>
  <c r="N58" i="6"/>
  <c r="F80" i="6"/>
  <c r="F90" i="6" s="1"/>
  <c r="N80" i="6"/>
  <c r="N90" i="6" s="1"/>
  <c r="G148" i="6"/>
  <c r="G170" i="6"/>
  <c r="G180" i="6" s="1"/>
  <c r="J239" i="6"/>
  <c r="H261" i="6"/>
  <c r="H271" i="6" s="1"/>
  <c r="F351" i="6"/>
  <c r="F361" i="6" s="1"/>
  <c r="N351" i="6"/>
  <c r="N361" i="6" s="1"/>
  <c r="J378" i="6"/>
  <c r="J383" i="6" s="1"/>
  <c r="J386" i="6" s="1"/>
  <c r="J389" i="6" s="1"/>
  <c r="C235" i="3"/>
  <c r="K235" i="3"/>
  <c r="D267" i="3"/>
  <c r="J257" i="3"/>
  <c r="J267" i="3" s="1"/>
  <c r="C107" i="6"/>
  <c r="C112" i="6" s="1"/>
  <c r="C115" i="6" s="1"/>
  <c r="C118" i="6" s="1"/>
  <c r="K107" i="6"/>
  <c r="G361" i="6"/>
  <c r="K219" i="5"/>
  <c r="D268" i="3"/>
  <c r="F268" i="3"/>
  <c r="H268" i="3"/>
  <c r="J268" i="3"/>
  <c r="M268" i="3"/>
  <c r="C257" i="3"/>
  <c r="C267" i="3" s="1"/>
  <c r="E257" i="3"/>
  <c r="E267" i="3" s="1"/>
  <c r="G257" i="3"/>
  <c r="G267" i="3" s="1"/>
  <c r="K257" i="3"/>
  <c r="K267" i="3" s="1"/>
  <c r="F88" i="5"/>
  <c r="E88" i="5"/>
  <c r="J88" i="5"/>
  <c r="I88" i="5"/>
  <c r="N88" i="5"/>
  <c r="M88" i="5"/>
  <c r="C192" i="5"/>
  <c r="C195" i="5" s="1"/>
  <c r="C172" i="5"/>
  <c r="K109" i="6"/>
  <c r="K112" i="6"/>
  <c r="K115" i="6" s="1"/>
  <c r="K118" i="6" s="1"/>
  <c r="H181" i="6"/>
  <c r="J181" i="6"/>
  <c r="L181" i="6"/>
  <c r="D172" i="5"/>
  <c r="D192" i="5"/>
  <c r="D195" i="5" s="1"/>
  <c r="F219" i="5"/>
  <c r="N219" i="5"/>
  <c r="F112" i="6"/>
  <c r="F115" i="6" s="1"/>
  <c r="F118" i="6" s="1"/>
  <c r="J112" i="6"/>
  <c r="J115" i="6" s="1"/>
  <c r="J118" i="6" s="1"/>
  <c r="H109" i="6"/>
  <c r="H112" i="6" s="1"/>
  <c r="H115" i="6" s="1"/>
  <c r="H118" i="6" s="1"/>
  <c r="J109" i="6"/>
  <c r="D288" i="6"/>
  <c r="D293" i="6" s="1"/>
  <c r="D296" i="6" s="1"/>
  <c r="D299" i="6" s="1"/>
  <c r="H288" i="6"/>
  <c r="H293" i="6" s="1"/>
  <c r="H296" i="6" s="1"/>
  <c r="H299" i="6" s="1"/>
  <c r="L288" i="6"/>
  <c r="L293" i="6" s="1"/>
  <c r="L296" i="6" s="1"/>
  <c r="L299" i="6" s="1"/>
  <c r="F109" i="6"/>
  <c r="C181" i="6"/>
  <c r="G181" i="6"/>
  <c r="I181" i="6"/>
  <c r="L88" i="5" l="1"/>
  <c r="L267" i="3"/>
  <c r="L268" i="3"/>
  <c r="G268" i="3"/>
  <c r="L109" i="6"/>
  <c r="L112" i="6" s="1"/>
  <c r="L115" i="6" s="1"/>
  <c r="L118" i="6" s="1"/>
  <c r="K268" i="3"/>
  <c r="I115" i="6"/>
  <c r="I118" i="6" s="1"/>
  <c r="G109" i="6"/>
  <c r="G112" i="6" s="1"/>
  <c r="G115" i="6" s="1"/>
  <c r="G118" i="6" s="1"/>
  <c r="E268" i="3"/>
  <c r="C26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MARÍA OCHOA MUÑOZ</author>
    <author>Interconexión Eléctrica S.A</author>
  </authors>
  <commentList>
    <comment ref="K77" authorId="0" shapeId="0" xr:uid="{89526EC9-3F84-4BF9-A7E5-63C0CE11CC49}">
      <text>
        <r>
          <rPr>
            <b/>
            <sz val="9"/>
            <color indexed="81"/>
            <rFont val="Tahoma"/>
            <family val="2"/>
          </rPr>
          <t>ANA MARÍA OCHOA MUÑOZ:</t>
        </r>
        <r>
          <rPr>
            <sz val="9"/>
            <color indexed="81"/>
            <rFont val="Tahoma"/>
            <family val="2"/>
          </rPr>
          <t xml:space="preserve">
TV y MV a partir de abril de 2015</t>
        </r>
      </text>
    </comment>
    <comment ref="C127" authorId="1" shapeId="0" xr:uid="{21C6D875-64AE-4FE1-9027-CD048DA94EC5}">
      <text>
        <r>
          <rPr>
            <b/>
            <sz val="9"/>
            <color indexed="81"/>
            <rFont val="Tahoma"/>
            <family val="2"/>
          </rPr>
          <t>Interconexión Eléctrica S.A:</t>
        </r>
        <r>
          <rPr>
            <sz val="9"/>
            <color indexed="81"/>
            <rFont val="Tahoma"/>
            <family val="2"/>
          </rPr>
          <t xml:space="preserve">
Cambió de BBVA a Scotiabank</t>
        </r>
      </text>
    </comment>
    <comment ref="D140" authorId="1" shapeId="0" xr:uid="{E3319CD2-5B2D-4120-9D30-5C71552228EB}">
      <text>
        <r>
          <rPr>
            <b/>
            <sz val="9"/>
            <color indexed="81"/>
            <rFont val="Tahoma"/>
            <family val="2"/>
          </rPr>
          <t>Interconexión Eléctrica S.A:</t>
        </r>
        <r>
          <rPr>
            <sz val="9"/>
            <color indexed="81"/>
            <rFont val="Tahoma"/>
            <family val="2"/>
          </rPr>
          <t xml:space="preserve">
Al principio es en CLP pero despues se trasforma a UF</t>
        </r>
      </text>
    </comment>
  </commentList>
</comments>
</file>

<file path=xl/sharedStrings.xml><?xml version="1.0" encoding="utf-8"?>
<sst xmlns="http://schemas.openxmlformats.org/spreadsheetml/2006/main" count="3301" uniqueCount="1165">
  <si>
    <r>
      <rPr>
        <b/>
        <sz val="8"/>
        <color rgb="FF000000"/>
        <rFont val="Arial"/>
        <family val="2"/>
      </rPr>
      <t>Quarterly Financial Statements:</t>
    </r>
  </si>
  <si>
    <r>
      <rPr>
        <b/>
        <sz val="12"/>
        <color rgb="FF003087"/>
        <rFont val="Tahoma"/>
        <family val="2"/>
      </rPr>
      <t>CONSOLIDATED INCOME STATEMENT</t>
    </r>
  </si>
  <si>
    <r>
      <rPr>
        <sz val="12"/>
        <color rgb="FF4D4D4D"/>
        <rFont val="Tahoma"/>
        <family val="2"/>
      </rPr>
      <t>Figures in COP millions</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</si>
  <si>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</si>
  <si>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</si>
  <si>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</si>
  <si>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</si>
  <si>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</si>
  <si>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</si>
  <si>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</si>
  <si>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</si>
  <si>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1Q20</t>
    </r>
  </si>
  <si>
    <r>
      <rPr>
        <b/>
        <sz val="11"/>
        <color rgb="FFFFFFFF"/>
        <rFont val="Tahoma"/>
        <family val="2"/>
      </rPr>
      <t>2Q20</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</si>
  <si>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</si>
  <si>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</si>
  <si>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</si>
  <si>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energy transmission services</t>
    </r>
  </si>
  <si>
    <r>
      <rPr>
        <sz val="11"/>
        <color rgb="FF808080"/>
        <rFont val="Tahoma"/>
        <family val="2"/>
      </rPr>
      <t>Revenues from connection charges</t>
    </r>
  </si>
  <si>
    <r>
      <rPr>
        <sz val="11"/>
        <color rgb="FF808080"/>
        <rFont val="Tahoma"/>
        <family val="2"/>
      </rPr>
      <t>Revenues from roads</t>
    </r>
  </si>
  <si>
    <r>
      <rPr>
        <sz val="11"/>
        <color rgb="FF808080"/>
        <rFont val="Tahoma"/>
        <family val="2"/>
      </rPr>
      <t>Revenues from CND-MEM dispatch and coordination</t>
    </r>
  </si>
  <si>
    <r>
      <rPr>
        <sz val="11"/>
        <color rgb="FF808080"/>
        <rFont val="Tahoma"/>
        <family val="2"/>
      </rPr>
      <t>MEM Services (STN, SIC, SDI)</t>
    </r>
  </si>
  <si>
    <r>
      <rPr>
        <sz val="11"/>
        <color rgb="FF808080"/>
        <rFont val="Tahoma"/>
        <family val="2"/>
      </rPr>
      <t>Revenues from telecommunications</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</si>
  <si>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</si>
  <si>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</si>
  <si>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</si>
  <si>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</si>
  <si>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</si>
  <si>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</si>
  <si>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</si>
  <si>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</si>
  <si>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</si>
  <si>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</si>
  <si>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</si>
  <si>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Income before minority interest</t>
    </r>
  </si>
  <si>
    <r>
      <rPr>
        <sz val="11"/>
        <color rgb="FF808080"/>
        <rFont val="Tahoma"/>
        <family val="2"/>
      </rPr>
      <t>Minority interest</t>
    </r>
  </si>
  <si>
    <r>
      <rPr>
        <b/>
        <sz val="11"/>
        <color rgb="FF808080"/>
        <rFont val="Tahoma"/>
        <family val="2"/>
      </rPr>
      <t>Net income</t>
    </r>
  </si>
  <si>
    <r>
      <rPr>
        <b/>
        <sz val="12"/>
        <color rgb="FF003087"/>
        <rFont val="Tahoma"/>
        <family val="2"/>
      </rPr>
      <t>CONSOLIDATED STATEMENT OF FINANCIAL POSITION</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</si>
  <si>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</si>
  <si>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</si>
  <si>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</si>
  <si>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</si>
  <si>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</si>
  <si>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Inventories - net</t>
    </r>
  </si>
  <si>
    <r>
      <rPr>
        <sz val="11"/>
        <color rgb="FF4D4D4D"/>
        <rFont val="Tahoma"/>
        <family val="2"/>
      </rPr>
      <t>Non-financial assets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</si>
  <si>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</si>
  <si>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</si>
  <si>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</si>
  <si>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</si>
  <si>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</si>
  <si>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associates and joint ventures</t>
    </r>
  </si>
  <si>
    <r>
      <rPr>
        <sz val="11"/>
        <color rgb="FF4D4D4D"/>
        <rFont val="Tahoma"/>
        <family val="2"/>
      </rPr>
      <t>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</si>
  <si>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</si>
  <si>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</si>
  <si>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</si>
  <si>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Assets held for sale</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</si>
  <si>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</si>
  <si>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</si>
  <si>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</si>
  <si>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sz val="11"/>
        <color rgb="FF4D4D4D"/>
        <rFont val="Tahoma"/>
        <family val="2"/>
      </rPr>
      <t>Intangible 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</si>
  <si>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</si>
  <si>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</si>
  <si>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</si>
  <si>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</si>
  <si>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</si>
  <si>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</si>
  <si>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Economic related parties</t>
    </r>
  </si>
  <si>
    <r>
      <rPr>
        <sz val="11"/>
        <color rgb="FF4D4D4D"/>
        <rFont val="Tahoma"/>
        <family val="2"/>
      </rPr>
      <t>Employee benefits</t>
    </r>
  </si>
  <si>
    <r>
      <rPr>
        <sz val="11"/>
        <color rgb="FF4D4D4D"/>
        <rFont val="Tahoma"/>
        <family val="2"/>
      </rPr>
      <t>Provisions</t>
    </r>
  </si>
  <si>
    <r>
      <rPr>
        <sz val="11"/>
        <color rgb="FF4D4D4D"/>
        <rFont val="Tahoma"/>
        <family val="2"/>
      </rPr>
      <t>Non-financial liabilities</t>
    </r>
  </si>
  <si>
    <r>
      <rPr>
        <sz val="11"/>
        <color rgb="FF4D4D4D"/>
        <rFont val="Tahoma"/>
        <family val="2"/>
      </rPr>
      <t>Other financial liabilities - Hedges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</si>
  <si>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</si>
  <si>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</si>
  <si>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</si>
  <si>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</si>
  <si>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</si>
  <si>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</si>
  <si>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</si>
  <si>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</si>
  <si>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</si>
  <si>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</si>
  <si>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</si>
  <si>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</si>
  <si>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Equity attributable to controlling interest</t>
    </r>
  </si>
  <si>
    <r>
      <rPr>
        <sz val="11"/>
        <color rgb="FF4D4D4D"/>
        <rFont val="Tahoma"/>
        <family val="2"/>
      </rPr>
      <t>Non-controlling interest</t>
    </r>
  </si>
  <si>
    <r>
      <rPr>
        <b/>
        <sz val="11"/>
        <color rgb="FF4D4D4D"/>
        <rFont val="Tahoma"/>
        <family val="2"/>
      </rPr>
      <t>Total shareholders' equity</t>
    </r>
  </si>
  <si>
    <r>
      <rPr>
        <b/>
        <sz val="11"/>
        <color rgb="FFFFFFFF"/>
        <rFont val="Tahoma"/>
        <family val="2"/>
      </rPr>
      <t>TOTAL SHAREHOLDERS' LIABILITIES AND EQUITY</t>
    </r>
  </si>
  <si>
    <r>
      <rPr>
        <b/>
        <sz val="12"/>
        <color rgb="FF003087"/>
        <rFont val="Tahoma"/>
        <family val="2"/>
      </rPr>
      <t>SEPARATE INCOME STATEMENT - ISA</t>
    </r>
  </si>
  <si>
    <r>
      <rPr>
        <sz val="11"/>
        <color rgb="FF808080"/>
        <rFont val="Tahoma"/>
        <family val="2"/>
      </rPr>
      <t>Income from joint account agreement</t>
    </r>
  </si>
  <si>
    <r>
      <rPr>
        <sz val="11"/>
        <color rgb="FF808080"/>
        <rFont val="Tahoma"/>
        <family val="2"/>
      </rPr>
      <t>Energy transmission services</t>
    </r>
  </si>
  <si>
    <r>
      <rPr>
        <sz val="11"/>
        <color rgb="FF808080"/>
        <rFont val="Tahoma"/>
        <family val="2"/>
      </rPr>
      <t>Connection charges</t>
    </r>
  </si>
  <si>
    <r>
      <rPr>
        <sz val="11"/>
        <color rgb="FF808080"/>
        <rFont val="Tahoma"/>
        <family val="2"/>
      </rPr>
      <t>Infrastructure projects</t>
    </r>
  </si>
  <si>
    <r>
      <rPr>
        <sz val="11"/>
        <color rgb="FF808080"/>
        <rFont val="Tahoma"/>
        <family val="2"/>
      </rPr>
      <t>Telecommunications</t>
    </r>
  </si>
  <si>
    <r>
      <rPr>
        <b/>
        <sz val="11"/>
        <color rgb="FF808080"/>
        <rFont val="Tahoma"/>
        <family val="2"/>
      </rPr>
      <t xml:space="preserve">EBITDA </t>
    </r>
  </si>
  <si>
    <r>
      <rPr>
        <b/>
        <sz val="12"/>
        <color rgb="FF003087"/>
        <rFont val="Tahoma"/>
        <family val="2"/>
      </rPr>
      <t>SEPARATE STATEMENT OF FINANCIAL POSITION - ISA</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</si>
  <si>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</si>
  <si>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</si>
  <si>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Other finanacial liabilities</t>
    </r>
  </si>
  <si>
    <r>
      <rPr>
        <sz val="11"/>
        <color rgb="FF4D4D4D"/>
        <rFont val="Tahoma"/>
        <family val="2"/>
      </rPr>
      <t>Deferred tax liability</t>
    </r>
  </si>
  <si>
    <r>
      <rPr>
        <b/>
        <sz val="12"/>
        <color rgb="FF003087"/>
        <rFont val="Tahoma"/>
        <family val="2"/>
      </rPr>
      <t>SEPARATE INCOME STATEMENT - ISA INTERCOLOMBIA</t>
    </r>
  </si>
  <si>
    <r>
      <rPr>
        <sz val="11"/>
        <color rgb="FF808080"/>
        <rFont val="Tahoma"/>
        <family val="2"/>
      </rPr>
      <t>Project management</t>
    </r>
  </si>
  <si>
    <r>
      <rPr>
        <sz val="11"/>
        <color rgb="FF808080"/>
        <rFont val="Tahoma"/>
        <family val="2"/>
      </rPr>
      <t>Electric infrastructure leases</t>
    </r>
  </si>
  <si>
    <r>
      <rPr>
        <sz val="11"/>
        <color rgb="FF808080"/>
        <rFont val="Tahoma"/>
        <family val="2"/>
      </rPr>
      <t>Other financial assets</t>
    </r>
  </si>
  <si>
    <r>
      <rPr>
        <sz val="11"/>
        <color rgb="FF4D4D4D"/>
        <rFont val="Tahoma"/>
        <family val="2"/>
      </rPr>
      <t>Joint Accounts Contract</t>
    </r>
  </si>
  <si>
    <r>
      <rPr>
        <b/>
        <sz val="12"/>
        <color rgb="FF003087"/>
        <rFont val="Tahoma"/>
        <family val="2"/>
      </rPr>
      <t>SEPARATE INCOME STATEMENT - ISA TRANSELCA</t>
    </r>
  </si>
  <si>
    <r>
      <rPr>
        <sz val="11"/>
        <color rgb="FF808080"/>
        <rFont val="Tahoma"/>
        <family val="2"/>
      </rPr>
      <t>CND-MEM Dispatch and coordination</t>
    </r>
  </si>
  <si>
    <r>
      <rPr>
        <b/>
        <sz val="12"/>
        <color rgb="FF003087"/>
        <rFont val="Tahoma"/>
        <family val="2"/>
      </rPr>
      <t>SEPARATE STATEMENT OF FINANCIAL POSITION - ISA TRANSELCA</t>
    </r>
  </si>
  <si>
    <r>
      <rPr>
        <sz val="11"/>
        <color rgb="FF4D4D4D"/>
        <rFont val="Tahoma"/>
        <family val="2"/>
      </rPr>
      <t>Investments in joint venture</t>
    </r>
  </si>
  <si>
    <r>
      <rPr>
        <sz val="11"/>
        <color rgb="FF4D4D4D"/>
        <rFont val="Tahoma"/>
        <family val="2"/>
      </rPr>
      <t>Intangible finance lease assets</t>
    </r>
  </si>
  <si>
    <r>
      <rPr>
        <sz val="11"/>
        <color rgb="FF4D4D4D"/>
        <rFont val="Tahoma"/>
        <family val="2"/>
      </rPr>
      <t>Accounts payable to economic related parties</t>
    </r>
  </si>
  <si>
    <r>
      <rPr>
        <sz val="12"/>
        <color rgb="FF4D4D4D"/>
        <rFont val="Tahoma"/>
        <family val="2"/>
      </rPr>
      <t>In USD thousands</t>
    </r>
  </si>
  <si>
    <r>
      <rPr>
        <sz val="11"/>
        <color rgb="FF808080"/>
        <rFont val="Tahoma"/>
        <family val="2"/>
      </rPr>
      <t>Supplementary revenues</t>
    </r>
  </si>
  <si>
    <r>
      <rPr>
        <sz val="11"/>
        <color rgb="FF808080"/>
        <rFont val="Tahoma"/>
        <family val="2"/>
      </rPr>
      <t>Trade accounts receivable</t>
    </r>
  </si>
  <si>
    <r>
      <rPr>
        <sz val="11"/>
        <color rgb="FF808080"/>
        <rFont val="Tahoma"/>
        <family val="2"/>
      </rPr>
      <t>Other accounts receivable</t>
    </r>
  </si>
  <si>
    <r>
      <rPr>
        <sz val="11"/>
        <color rgb="FF4D4D4D"/>
        <rFont val="Tahoma"/>
        <family val="2"/>
      </rPr>
      <t>Inventories</t>
    </r>
  </si>
  <si>
    <r>
      <rPr>
        <sz val="11"/>
        <color rgb="FF808080"/>
        <rFont val="Tahoma"/>
        <family val="2"/>
      </rPr>
      <t>Other non-financial assets</t>
    </r>
  </si>
  <si>
    <r>
      <rPr>
        <sz val="11"/>
        <color rgb="FF808080"/>
        <rFont val="Tahoma"/>
        <family val="2"/>
      </rPr>
      <t>Accounts receivable from related parties</t>
    </r>
  </si>
  <si>
    <r>
      <rPr>
        <sz val="11"/>
        <color rgb="FF808080"/>
        <rFont val="Tahoma"/>
        <family val="2"/>
      </rPr>
      <t>Tax Credit</t>
    </r>
  </si>
  <si>
    <r>
      <rPr>
        <sz val="11"/>
        <color rgb="FF808080"/>
        <rFont val="Tahoma"/>
        <family val="2"/>
      </rPr>
      <t>Trade accounts payable</t>
    </r>
  </si>
  <si>
    <r>
      <rPr>
        <sz val="11"/>
        <color rgb="FF808080"/>
        <rFont val="Tahoma"/>
        <family val="2"/>
      </rPr>
      <t>Other accounts payable</t>
    </r>
  </si>
  <si>
    <r>
      <rPr>
        <sz val="11"/>
        <color rgb="FF808080"/>
        <rFont val="Tahoma"/>
        <family val="2"/>
      </rPr>
      <t>Financial liabilities - Short Term</t>
    </r>
  </si>
  <si>
    <r>
      <rPr>
        <sz val="11"/>
        <color rgb="FF808080"/>
        <rFont val="Tahoma"/>
        <family val="2"/>
      </rPr>
      <t>Accounts payable to related parties</t>
    </r>
  </si>
  <si>
    <r>
      <rPr>
        <sz val="11"/>
        <color rgb="FF808080"/>
        <rFont val="Tahoma"/>
        <family val="2"/>
      </rPr>
      <t>Other provisions</t>
    </r>
  </si>
  <si>
    <r>
      <rPr>
        <sz val="11"/>
        <color rgb="FF808080"/>
        <rFont val="Tahoma"/>
        <family val="2"/>
      </rPr>
      <t>Accounts payable to related parties - Long Term</t>
    </r>
  </si>
  <si>
    <r>
      <rPr>
        <sz val="11"/>
        <color rgb="FF808080"/>
        <rFont val="Tahoma"/>
        <family val="2"/>
      </rPr>
      <t>Financial liabilities - Long Term</t>
    </r>
  </si>
  <si>
    <r>
      <rPr>
        <sz val="11"/>
        <color rgb="FF808080"/>
        <rFont val="Tahoma"/>
        <family val="2"/>
      </rPr>
      <t>Income tax and deferred stake</t>
    </r>
  </si>
  <si>
    <r>
      <rPr>
        <sz val="11"/>
        <color rgb="FF808080"/>
        <rFont val="Tahoma"/>
        <family val="2"/>
      </rPr>
      <t>Other capital reserves</t>
    </r>
  </si>
  <si>
    <r>
      <rPr>
        <sz val="11"/>
        <color rgb="FF808080"/>
        <rFont val="Tahoma"/>
        <family val="2"/>
      </rPr>
      <t>Accumulated income</t>
    </r>
  </si>
  <si>
    <r>
      <rPr>
        <sz val="11"/>
        <color rgb="FF808080"/>
        <rFont val="Tahoma"/>
        <family val="2"/>
      </rPr>
      <t>Supplementary revenues</t>
    </r>
    <r>
      <rPr>
        <sz val="11"/>
        <color rgb="FF808080"/>
        <rFont val="Tahoma"/>
        <family val="2"/>
      </rPr>
      <t xml:space="preserve"> </t>
    </r>
  </si>
  <si>
    <r>
      <rPr>
        <sz val="11"/>
        <color rgb="FF808080"/>
        <rFont val="Tahoma"/>
        <family val="2"/>
      </rPr>
      <t>Supplies and spare parts, net</t>
    </r>
  </si>
  <si>
    <r>
      <rPr>
        <sz val="11"/>
        <color rgb="FF808080"/>
        <rFont val="Tahoma"/>
        <family val="2"/>
      </rPr>
      <t>Pre-contracted expenses</t>
    </r>
  </si>
  <si>
    <r>
      <rPr>
        <sz val="11"/>
        <color rgb="FF808080"/>
        <rFont val="Tahoma"/>
        <family val="2"/>
      </rPr>
      <t>Trade accounts receivable, net</t>
    </r>
  </si>
  <si>
    <r>
      <rPr>
        <sz val="11"/>
        <color rgb="FF808080"/>
        <rFont val="Tahoma"/>
        <family val="2"/>
      </rPr>
      <t>Long-term accounts receivable from related parties</t>
    </r>
  </si>
  <si>
    <r>
      <rPr>
        <sz val="11"/>
        <color rgb="FF808080"/>
        <rFont val="Tahoma"/>
        <family val="2"/>
      </rPr>
      <t>Other long-term accounts receivable</t>
    </r>
  </si>
  <si>
    <r>
      <rPr>
        <sz val="11"/>
        <color rgb="FF808080"/>
        <rFont val="Tahoma"/>
        <family val="2"/>
      </rPr>
      <t>Facilities, furniture and equipment, net</t>
    </r>
  </si>
  <si>
    <r>
      <rPr>
        <sz val="11"/>
        <color rgb="FF808080"/>
        <rFont val="Tahoma"/>
        <family val="2"/>
      </rPr>
      <t>Leases</t>
    </r>
  </si>
  <si>
    <r>
      <rPr>
        <sz val="11"/>
        <color rgb="FF808080"/>
        <rFont val="Tahoma"/>
        <family val="2"/>
      </rPr>
      <t>Intangible assets, net</t>
    </r>
  </si>
  <si>
    <r>
      <rPr>
        <sz val="11"/>
        <color rgb="FF808080"/>
        <rFont val="Tahoma"/>
        <family val="2"/>
      </rPr>
      <t>Taxes and contributions payable</t>
    </r>
  </si>
  <si>
    <r>
      <rPr>
        <sz val="11"/>
        <color rgb="FF808080"/>
        <rFont val="Tahoma"/>
        <family val="2"/>
      </rPr>
      <t>Financial liabilities</t>
    </r>
  </si>
  <si>
    <r>
      <rPr>
        <sz val="11"/>
        <color rgb="FF808080"/>
        <rFont val="Tahoma"/>
        <family val="2"/>
      </rPr>
      <t>Other long-term accounts payable</t>
    </r>
  </si>
  <si>
    <r>
      <rPr>
        <sz val="11"/>
        <color rgb="FF808080"/>
        <rFont val="Tahoma"/>
        <family val="2"/>
      </rPr>
      <t>Long-term provisions</t>
    </r>
  </si>
  <si>
    <r>
      <rPr>
        <sz val="11"/>
        <color rgb="FF808080"/>
        <rFont val="Tahoma"/>
        <family val="2"/>
      </rPr>
      <t>Long-term financial liabilities</t>
    </r>
  </si>
  <si>
    <r>
      <rPr>
        <sz val="11"/>
        <color rgb="FF808080"/>
        <rFont val="Tahoma"/>
        <family val="2"/>
      </rPr>
      <t>Hedge Derivative Instruments</t>
    </r>
  </si>
  <si>
    <r>
      <rPr>
        <sz val="11"/>
        <color rgb="FF808080"/>
        <rFont val="Tahoma"/>
        <family val="2"/>
      </rPr>
      <t>Deferred income tax liability, net</t>
    </r>
  </si>
  <si>
    <r>
      <rPr>
        <sz val="11"/>
        <color rgb="FF808080"/>
        <rFont val="Tahoma"/>
        <family val="2"/>
      </rPr>
      <t>Issued capital</t>
    </r>
  </si>
  <si>
    <r>
      <rPr>
        <sz val="11"/>
        <color rgb="FF808080"/>
        <rFont val="Tahoma"/>
        <family val="2"/>
      </rPr>
      <t>Issuance premium</t>
    </r>
  </si>
  <si>
    <r>
      <rPr>
        <sz val="11"/>
        <color rgb="FF808080"/>
        <rFont val="Tahoma"/>
        <family val="2"/>
      </rPr>
      <t>Other equity reserves</t>
    </r>
  </si>
  <si>
    <r>
      <rPr>
        <b/>
        <sz val="10"/>
        <color rgb="FFFFFFFF"/>
        <rFont val="Tahoma"/>
        <family val="2"/>
      </rPr>
      <t>Affiliate</t>
    </r>
  </si>
  <si>
    <r>
      <rPr>
        <b/>
        <sz val="10"/>
        <color rgb="FFFFFFFF"/>
        <rFont val="Tahoma"/>
        <family val="2"/>
      </rPr>
      <t>Type</t>
    </r>
  </si>
  <si>
    <r>
      <rPr>
        <b/>
        <sz val="10"/>
        <color rgb="FFFFFFFF"/>
        <rFont val="Tahoma"/>
        <family val="2"/>
      </rPr>
      <t>Financing source</t>
    </r>
  </si>
  <si>
    <r>
      <rPr>
        <b/>
        <sz val="10"/>
        <color rgb="FFFFFFFF"/>
        <rFont val="Tahoma"/>
        <family val="2"/>
      </rPr>
      <t>Loan Currency</t>
    </r>
  </si>
  <si>
    <r>
      <rPr>
        <b/>
        <sz val="10"/>
        <color rgb="FFFFFFFF"/>
        <rFont val="Tahoma"/>
        <family val="2"/>
      </rPr>
      <t>Starting date</t>
    </r>
  </si>
  <si>
    <r>
      <rPr>
        <b/>
        <sz val="10"/>
        <color rgb="FFFFFFFF"/>
        <rFont val="Tahoma"/>
        <family val="2"/>
      </rPr>
      <t>Maturity date</t>
    </r>
  </si>
  <si>
    <r>
      <rPr>
        <b/>
        <sz val="10"/>
        <color rgb="FFFFFFFF"/>
        <rFont val="Tahoma"/>
        <family val="2"/>
      </rPr>
      <t>Term years</t>
    </r>
  </si>
  <si>
    <r>
      <rPr>
        <b/>
        <sz val="10"/>
        <color rgb="FFFFFFFF"/>
        <rFont val="Tahoma"/>
        <family val="2"/>
      </rPr>
      <t>Interest rate</t>
    </r>
  </si>
  <si>
    <r>
      <rPr>
        <sz val="11"/>
        <color rgb="FF000000"/>
        <rFont val="Calibri"/>
        <family val="2"/>
      </rPr>
      <t>ISA</t>
    </r>
  </si>
  <si>
    <t>⁺</t>
  </si>
  <si>
    <r>
      <rPr>
        <sz val="11"/>
        <color rgb="FF808080"/>
        <rFont val="Tahoma"/>
        <family val="2"/>
      </rPr>
      <t>Transelca</t>
    </r>
  </si>
  <si>
    <r>
      <rPr>
        <sz val="11"/>
        <color rgb="FF4D4D4D"/>
        <rFont val="Tahoma"/>
        <family val="2"/>
      </rPr>
      <t>ISA PERÚ</t>
    </r>
  </si>
  <si>
    <t>INTERCHILE</t>
  </si>
  <si>
    <r>
      <rPr>
        <b/>
        <sz val="10"/>
        <color rgb="FFFFFFFF"/>
        <rFont val="Tahoma"/>
        <family val="2"/>
      </rPr>
      <t>Issue date</t>
    </r>
  </si>
  <si>
    <r>
      <rPr>
        <b/>
        <i/>
        <sz val="11"/>
        <color rgb="FF000000"/>
        <rFont val="Calibri"/>
        <family val="2"/>
      </rPr>
      <t>Figures in COP millions</t>
    </r>
  </si>
  <si>
    <r>
      <rPr>
        <b/>
        <sz val="11"/>
        <color rgb="FFFFFFFF"/>
        <rFont val="Tahoma"/>
        <family val="2"/>
      </rPr>
      <t>CONSOLIDATED CAPEX</t>
    </r>
  </si>
  <si>
    <r>
      <rPr>
        <sz val="11"/>
        <color rgb="FF000000"/>
        <rFont val="Calibri"/>
        <family val="2"/>
      </rPr>
      <t>Colombia</t>
    </r>
  </si>
  <si>
    <r>
      <rPr>
        <sz val="11"/>
        <color rgb="FF000000"/>
        <rFont val="Calibri"/>
        <family val="2"/>
      </rPr>
      <t>Chile</t>
    </r>
  </si>
  <si>
    <r>
      <rPr>
        <b/>
        <sz val="11"/>
        <color rgb="FFFFFFFF"/>
        <rFont val="Tahoma"/>
        <family val="2"/>
      </rPr>
      <t>Brazil</t>
    </r>
  </si>
  <si>
    <r>
      <rPr>
        <sz val="11"/>
        <color rgb="FF000000"/>
        <rFont val="Calibri"/>
        <family val="2"/>
      </rPr>
      <t>Peru</t>
    </r>
  </si>
  <si>
    <r>
      <rPr>
        <b/>
        <sz val="12"/>
        <color rgb="FF003087"/>
        <rFont val="Tahoma"/>
        <family val="2"/>
      </rPr>
      <t>Dividends received by the Parent Company</t>
    </r>
  </si>
  <si>
    <r>
      <rPr>
        <b/>
        <sz val="11"/>
        <color rgb="FFFFFFFF"/>
        <rFont val="Tahoma"/>
        <family val="2"/>
      </rPr>
      <t>Company</t>
    </r>
  </si>
  <si>
    <r>
      <rPr>
        <sz val="11"/>
        <color rgb="FF808080"/>
        <rFont val="Tahoma"/>
        <family val="2"/>
      </rPr>
      <t>XM</t>
    </r>
  </si>
  <si>
    <r>
      <rPr>
        <sz val="11"/>
        <color rgb="FF808080"/>
        <rFont val="Tahoma"/>
        <family val="2"/>
      </rPr>
      <t>Intercolombia</t>
    </r>
  </si>
  <si>
    <r>
      <rPr>
        <sz val="11"/>
        <color rgb="FF808080"/>
        <rFont val="Tahoma"/>
        <family val="2"/>
      </rPr>
      <t>SIR</t>
    </r>
  </si>
  <si>
    <r>
      <rPr>
        <b/>
        <sz val="11"/>
        <color rgb="FF808080"/>
        <rFont val="Tahoma"/>
        <family val="2"/>
      </rPr>
      <t>Total Colombia</t>
    </r>
  </si>
  <si>
    <r>
      <rPr>
        <sz val="11"/>
        <color rgb="FF808080"/>
        <rFont val="Tahoma"/>
        <family val="2"/>
      </rPr>
      <t>ISA Bolivia</t>
    </r>
  </si>
  <si>
    <r>
      <rPr>
        <sz val="11"/>
        <color rgb="FF808080"/>
        <rFont val="Tahoma"/>
        <family val="2"/>
      </rPr>
      <t>ISA Perú</t>
    </r>
  </si>
  <si>
    <r>
      <rPr>
        <sz val="11"/>
        <color rgb="FF808080"/>
        <rFont val="Tahoma"/>
        <family val="2"/>
      </rPr>
      <t>PDI</t>
    </r>
  </si>
  <si>
    <r>
      <rPr>
        <sz val="11"/>
        <color rgb="FF808080"/>
        <rFont val="Tahoma"/>
        <family val="2"/>
      </rPr>
      <t>EPR</t>
    </r>
  </si>
  <si>
    <r>
      <rPr>
        <sz val="11"/>
        <color rgb="FF808080"/>
        <rFont val="Tahoma"/>
        <family val="2"/>
      </rPr>
      <t>ISA Inversiones Chile</t>
    </r>
  </si>
  <si>
    <r>
      <rPr>
        <sz val="11"/>
        <color rgb="FF808080"/>
        <rFont val="Tahoma"/>
        <family val="2"/>
      </rPr>
      <t>ISA Capital do Brasil</t>
    </r>
  </si>
  <si>
    <r>
      <rPr>
        <sz val="11"/>
        <color rgb="FF808080"/>
        <rFont val="Tahoma"/>
        <family val="2"/>
      </rPr>
      <t>ISA Investimentos</t>
    </r>
  </si>
  <si>
    <r>
      <rPr>
        <b/>
        <sz val="11"/>
        <color rgb="FF808080"/>
        <rFont val="Tahoma"/>
        <family val="2"/>
      </rPr>
      <t>Total abroad</t>
    </r>
  </si>
  <si>
    <r>
      <rPr>
        <b/>
        <sz val="11"/>
        <color rgb="FF808080"/>
        <rFont val="Tahoma"/>
        <family val="2"/>
      </rPr>
      <t>Total dividends received</t>
    </r>
  </si>
  <si>
    <r>
      <rPr>
        <b/>
        <sz val="12"/>
        <color rgb="FF003087"/>
        <rFont val="Tahoma"/>
        <family val="2"/>
      </rPr>
      <t>Dividends provided by the Parent Company</t>
    </r>
  </si>
  <si>
    <r>
      <rPr>
        <sz val="11"/>
        <color rgb="FF808080"/>
        <rFont val="Tahoma"/>
        <family val="2"/>
      </rPr>
      <t>Total dividend</t>
    </r>
  </si>
  <si>
    <r>
      <rPr>
        <sz val="11"/>
        <color rgb="FF808080"/>
        <rFont val="Tahoma"/>
        <family val="2"/>
      </rPr>
      <t>Dividend per share</t>
    </r>
  </si>
  <si>
    <r>
      <rPr>
        <b/>
        <sz val="12"/>
        <color rgb="FF003087"/>
        <rFont val="Tahoma"/>
        <family val="2"/>
      </rPr>
      <t>SEPARATE INCOME STATEMENT - ISA PERÚ</t>
    </r>
  </si>
  <si>
    <r>
      <rPr>
        <sz val="11"/>
        <color rgb="FF4D4D4D"/>
        <rFont val="Tahoma"/>
        <family val="2"/>
      </rPr>
      <t>Trade accounts receivable, net</t>
    </r>
  </si>
  <si>
    <r>
      <rPr>
        <sz val="11"/>
        <color rgb="FF4D4D4D"/>
        <rFont val="Tahoma"/>
        <family val="2"/>
      </rPr>
      <t>Other accounts receivable, net</t>
    </r>
  </si>
  <si>
    <r>
      <rPr>
        <sz val="11"/>
        <color rgb="FF4D4D4D"/>
        <rFont val="Tahoma"/>
        <family val="2"/>
      </rPr>
      <t>Accounts receivable from related parties</t>
    </r>
  </si>
  <si>
    <r>
      <rPr>
        <sz val="11"/>
        <color rgb="FF4D4D4D"/>
        <rFont val="Tahoma"/>
        <family val="2"/>
      </rPr>
      <t>Income tax assets</t>
    </r>
    <r>
      <rPr>
        <sz val="11"/>
        <color rgb="FF4D4D4D"/>
        <rFont val="Tahoma"/>
        <family val="2"/>
      </rPr>
      <t xml:space="preserve"> </t>
    </r>
  </si>
  <si>
    <r>
      <rPr>
        <sz val="11"/>
        <color rgb="FF4D4D4D"/>
        <rFont val="Tahoma"/>
        <family val="2"/>
      </rPr>
      <t>Other non-financial assets</t>
    </r>
  </si>
  <si>
    <r>
      <rPr>
        <sz val="11"/>
        <color rgb="FF4D4D4D"/>
        <rFont val="Tahoma"/>
        <family val="2"/>
      </rPr>
      <t>Trade accounts receivable</t>
    </r>
  </si>
  <si>
    <r>
      <rPr>
        <sz val="11"/>
        <color rgb="FF4D4D4D"/>
        <rFont val="Tahoma"/>
        <family val="2"/>
      </rPr>
      <t>Financial investments</t>
    </r>
  </si>
  <si>
    <r>
      <rPr>
        <sz val="11"/>
        <color rgb="FF4D4D4D"/>
        <rFont val="Tahoma"/>
        <family val="2"/>
      </rPr>
      <t>Property, plant, and equipment, net</t>
    </r>
  </si>
  <si>
    <r>
      <rPr>
        <sz val="11"/>
        <color rgb="FF4D4D4D"/>
        <rFont val="Tahoma"/>
        <family val="2"/>
      </rPr>
      <t>Intangible assets</t>
    </r>
  </si>
  <si>
    <r>
      <rPr>
        <sz val="11"/>
        <color rgb="FF4D4D4D"/>
        <rFont val="Tahoma"/>
        <family val="2"/>
      </rPr>
      <t>Deferred income tax assets</t>
    </r>
  </si>
  <si>
    <r>
      <rPr>
        <sz val="11"/>
        <color rgb="FF4D4D4D"/>
        <rFont val="Tahoma"/>
        <family val="2"/>
      </rPr>
      <t>Bank overdrafts</t>
    </r>
  </si>
  <si>
    <r>
      <rPr>
        <sz val="11"/>
        <color rgb="FF4D4D4D"/>
        <rFont val="Tahoma"/>
        <family val="2"/>
      </rPr>
      <t>Trade accounts payable</t>
    </r>
    <r>
      <rPr>
        <sz val="11"/>
        <color rgb="FF4D4D4D"/>
        <rFont val="Tahoma"/>
        <family val="2"/>
      </rPr>
      <t xml:space="preserve"> </t>
    </r>
  </si>
  <si>
    <r>
      <rPr>
        <sz val="11"/>
        <color rgb="FF4D4D4D"/>
        <rFont val="Tahoma"/>
        <family val="2"/>
      </rPr>
      <t xml:space="preserve">       </t>
    </r>
    <r>
      <rPr>
        <sz val="11"/>
        <color rgb="FF4D4D4D"/>
        <rFont val="Tahoma"/>
        <family val="2"/>
      </rPr>
      <t>Taxes payable</t>
    </r>
  </si>
  <si>
    <r>
      <rPr>
        <sz val="11"/>
        <color rgb="FF4D4D4D"/>
        <rFont val="Tahoma"/>
        <family val="2"/>
      </rPr>
      <t xml:space="preserve">       </t>
    </r>
    <r>
      <rPr>
        <sz val="11"/>
        <color rgb="FF4D4D4D"/>
        <rFont val="Tahoma"/>
        <family val="2"/>
      </rPr>
      <t>Compensations payable</t>
    </r>
  </si>
  <si>
    <r>
      <rPr>
        <sz val="11"/>
        <color rgb="FF4D4D4D"/>
        <rFont val="Tahoma"/>
        <family val="2"/>
      </rPr>
      <t xml:space="preserve">       </t>
    </r>
    <r>
      <rPr>
        <sz val="11"/>
        <color rgb="FF4D4D4D"/>
        <rFont val="Tahoma"/>
        <family val="2"/>
      </rPr>
      <t>Other accounts payable</t>
    </r>
  </si>
  <si>
    <r>
      <rPr>
        <sz val="11"/>
        <color rgb="FF4D4D4D"/>
        <rFont val="Tahoma"/>
        <family val="2"/>
      </rPr>
      <t>Other accounts payable</t>
    </r>
  </si>
  <si>
    <r>
      <rPr>
        <sz val="11"/>
        <color rgb="FF4D4D4D"/>
        <rFont val="Tahoma"/>
        <family val="2"/>
      </rPr>
      <t>Accounts payable to related parties</t>
    </r>
  </si>
  <si>
    <r>
      <rPr>
        <sz val="11"/>
        <color rgb="FF4D4D4D"/>
        <rFont val="Tahoma"/>
        <family val="2"/>
      </rPr>
      <t>Income tax liabilities</t>
    </r>
    <r>
      <rPr>
        <sz val="11"/>
        <color rgb="FF4D4D4D"/>
        <rFont val="Tahoma"/>
        <family val="2"/>
      </rPr>
      <t xml:space="preserve"> </t>
    </r>
  </si>
  <si>
    <r>
      <rPr>
        <sz val="11"/>
        <color rgb="FF4D4D4D"/>
        <rFont val="Tahoma"/>
        <family val="2"/>
      </rPr>
      <t>Other provisions</t>
    </r>
    <r>
      <rPr>
        <sz val="11"/>
        <color rgb="FF4D4D4D"/>
        <rFont val="Tahoma"/>
        <family val="2"/>
      </rPr>
      <t xml:space="preserve"> </t>
    </r>
  </si>
  <si>
    <r>
      <rPr>
        <sz val="11"/>
        <color rgb="FF4D4D4D"/>
        <rFont val="Tahoma"/>
        <family val="2"/>
      </rPr>
      <t>Short-term financial liabilities</t>
    </r>
  </si>
  <si>
    <r>
      <rPr>
        <sz val="11"/>
        <color rgb="FF4D4D4D"/>
        <rFont val="Tahoma"/>
        <family val="2"/>
      </rPr>
      <t>Long-term financial liabilities</t>
    </r>
  </si>
  <si>
    <r>
      <rPr>
        <sz val="11"/>
        <color rgb="FF4D4D4D"/>
        <rFont val="Tahoma"/>
        <family val="2"/>
      </rPr>
      <t>Hedge Derivative financial instruments</t>
    </r>
  </si>
  <si>
    <r>
      <rPr>
        <sz val="11"/>
        <color rgb="FF4D4D4D"/>
        <rFont val="Tahoma"/>
        <family val="2"/>
      </rPr>
      <t>Deferred tax liabilities</t>
    </r>
  </si>
  <si>
    <r>
      <rPr>
        <sz val="11"/>
        <color rgb="FF4D4D4D"/>
        <rFont val="Tahoma"/>
        <family val="2"/>
      </rPr>
      <t>Issued capital</t>
    </r>
  </si>
  <si>
    <r>
      <rPr>
        <sz val="11"/>
        <color rgb="FF4D4D4D"/>
        <rFont val="Tahoma"/>
        <family val="2"/>
      </rPr>
      <t>Issuance premium</t>
    </r>
  </si>
  <si>
    <r>
      <rPr>
        <sz val="11"/>
        <color rgb="FF4D4D4D"/>
        <rFont val="Tahoma"/>
        <family val="2"/>
      </rPr>
      <t>Other capital reserves</t>
    </r>
  </si>
  <si>
    <r>
      <rPr>
        <sz val="11"/>
        <color rgb="FF4D4D4D"/>
        <rFont val="Tahoma"/>
        <family val="2"/>
      </rPr>
      <t>Accumulated income</t>
    </r>
  </si>
  <si>
    <r>
      <rPr>
        <sz val="11"/>
        <color rgb="FF4D4D4D"/>
        <rFont val="Tahoma"/>
        <family val="2"/>
      </rPr>
      <t>Other equity reserves</t>
    </r>
  </si>
  <si>
    <r>
      <rPr>
        <b/>
        <sz val="11"/>
        <color rgb="FF4D4D4D"/>
        <rFont val="Tahoma"/>
        <family val="2"/>
      </rPr>
      <t>CTEEP affiliates</t>
    </r>
  </si>
  <si>
    <r>
      <rPr>
        <b/>
        <sz val="11"/>
        <color rgb="FFFFFFFF"/>
        <rFont val="Tahoma"/>
        <family val="2"/>
      </rPr>
      <t>Total</t>
    </r>
  </si>
  <si>
    <r>
      <rPr>
        <sz val="11"/>
        <color rgb="FF4D4D4D"/>
        <rFont val="Tahoma"/>
        <family val="2"/>
      </rPr>
      <t>CABA</t>
    </r>
  </si>
  <si>
    <r>
      <rPr>
        <sz val="11"/>
        <color rgb="FF4D4D4D"/>
        <rFont val="Tahoma"/>
        <family val="2"/>
      </rPr>
      <t>INTERNEXA</t>
    </r>
  </si>
  <si>
    <r>
      <rPr>
        <sz val="11"/>
        <color rgb="FF4D4D4D"/>
        <rFont val="Tahoma"/>
        <family val="2"/>
      </rPr>
      <t>INTERNEXA PERU</t>
    </r>
  </si>
  <si>
    <r>
      <rPr>
        <b/>
        <sz val="11"/>
        <color rgb="FFFFFFFF"/>
        <rFont val="Tahoma"/>
        <family val="2"/>
      </rPr>
      <t>Total Peru</t>
    </r>
  </si>
  <si>
    <r>
      <rPr>
        <sz val="11"/>
        <color rgb="FF4D4D4D"/>
        <rFont val="Tahoma"/>
        <family val="2"/>
      </rPr>
      <t>On-balance sheet investments</t>
    </r>
  </si>
  <si>
    <r>
      <rPr>
        <sz val="11"/>
        <color rgb="FF4D4D4D"/>
        <rFont val="Tahoma"/>
        <family val="2"/>
      </rPr>
      <t>Non-consolidated businesses</t>
    </r>
  </si>
  <si>
    <r>
      <rPr>
        <sz val="11"/>
        <color rgb="FF4D4D4D"/>
        <rFont val="Tahoma"/>
        <family val="2"/>
      </rPr>
      <t>Internexa Brasil</t>
    </r>
  </si>
  <si>
    <r>
      <rPr>
        <b/>
        <sz val="11"/>
        <color rgb="FFFFFFFF"/>
        <rFont val="Tahoma"/>
        <family val="2"/>
      </rPr>
      <t>Total Brazil</t>
    </r>
  </si>
  <si>
    <r>
      <rPr>
        <b/>
        <sz val="11"/>
        <color rgb="FFFFFFFF"/>
        <rFont val="Tahoma"/>
        <family val="2"/>
      </rPr>
      <t>Bolivia and Argentina</t>
    </r>
  </si>
  <si>
    <r>
      <rPr>
        <sz val="11"/>
        <color rgb="FF4D4D4D"/>
        <rFont val="Tahoma"/>
        <family val="2"/>
      </rPr>
      <t>ISA Bolivia</t>
    </r>
    <r>
      <rPr>
        <sz val="11"/>
        <color rgb="FF4D4D4D"/>
        <rFont val="Tahoma"/>
        <family val="2"/>
      </rPr>
      <t xml:space="preserve"> </t>
    </r>
  </si>
  <si>
    <r>
      <rPr>
        <sz val="11"/>
        <color rgb="FF4D4D4D"/>
        <rFont val="Tahoma"/>
        <family val="2"/>
      </rPr>
      <t>Internexa Argentina</t>
    </r>
  </si>
  <si>
    <r>
      <rPr>
        <sz val="11"/>
        <color rgb="FF4D4D4D"/>
        <rFont val="Tahoma"/>
        <family val="2"/>
      </rPr>
      <t>Intervial and Concessions</t>
    </r>
  </si>
  <si>
    <r>
      <rPr>
        <sz val="11"/>
        <color rgb="FF4D4D4D"/>
        <rFont val="Tahoma"/>
        <family val="2"/>
      </rPr>
      <t>Internexa Chile</t>
    </r>
  </si>
  <si>
    <r>
      <rPr>
        <sz val="11"/>
        <color rgb="FF4D4D4D"/>
        <rFont val="Tahoma"/>
        <family val="2"/>
      </rPr>
      <t>Interchile - Debt</t>
    </r>
  </si>
  <si>
    <r>
      <rPr>
        <b/>
        <sz val="11"/>
        <color rgb="FFFFFFFF"/>
        <rFont val="Tahoma"/>
        <family val="2"/>
      </rPr>
      <t>Total Chile</t>
    </r>
  </si>
  <si>
    <r>
      <rPr>
        <b/>
        <sz val="11"/>
        <color rgb="FFFFFFFF"/>
        <rFont val="Tahoma"/>
        <family val="2"/>
      </rPr>
      <t>Total Group</t>
    </r>
  </si>
  <si>
    <r>
      <rPr>
        <b/>
        <sz val="11"/>
        <color rgb="FF000000"/>
        <rFont val="Calibri"/>
        <family val="2"/>
      </rPr>
      <t>Country</t>
    </r>
  </si>
  <si>
    <r>
      <rPr>
        <b/>
        <sz val="11"/>
        <color rgb="FF000000"/>
        <rFont val="Calibri"/>
        <family val="2"/>
      </rPr>
      <t>Regulations</t>
    </r>
  </si>
  <si>
    <r>
      <rPr>
        <b/>
        <sz val="11"/>
        <color rgb="FF000000"/>
        <rFont val="Calibri"/>
        <family val="2"/>
      </rPr>
      <t>Entity</t>
    </r>
  </si>
  <si>
    <r>
      <rPr>
        <b/>
        <sz val="11"/>
        <color rgb="FF000000"/>
        <rFont val="Calibri"/>
        <family val="2"/>
      </rPr>
      <t>Link (public information)</t>
    </r>
  </si>
  <si>
    <r>
      <rPr>
        <b/>
        <sz val="11"/>
        <color rgb="FF000000"/>
        <rFont val="Calibri"/>
        <family val="2"/>
      </rPr>
      <t>Note</t>
    </r>
  </si>
  <si>
    <r>
      <rPr>
        <sz val="11"/>
        <color rgb="FF000000"/>
        <rFont val="Calibri"/>
        <family val="2"/>
      </rPr>
      <t>All transmission companies</t>
    </r>
  </si>
  <si>
    <r>
      <rPr>
        <sz val="11"/>
        <color rgb="FF000000"/>
        <rFont val="Calibri"/>
        <family val="2"/>
      </rPr>
      <t>Resolution 022 of 2001</t>
    </r>
  </si>
  <si>
    <r>
      <rPr>
        <sz val="11"/>
        <color rgb="FF000000"/>
        <rFont val="Calibri"/>
        <family val="2"/>
      </rPr>
      <t>CREG</t>
    </r>
  </si>
  <si>
    <r>
      <rPr>
        <u/>
        <sz val="11"/>
        <color rgb="FF0563C1"/>
        <rFont val="Calibri"/>
        <family val="2"/>
      </rPr>
      <t>http://apolo.creg.gov.co/Publicac.nsf/Documentos-Resoluciones?openview=</t>
    </r>
  </si>
  <si>
    <r>
      <rPr>
        <sz val="11"/>
        <color rgb="FF000000"/>
        <rFont val="Calibri"/>
        <family val="2"/>
      </rPr>
      <t>General - Remuneration scheme for transmission projects executed through the call mechanism</t>
    </r>
  </si>
  <si>
    <r>
      <rPr>
        <sz val="11"/>
        <color rgb="FF000000"/>
        <rFont val="Calibri"/>
        <family val="2"/>
      </rPr>
      <t>Resolution 085 of 2002</t>
    </r>
  </si>
  <si>
    <r>
      <rPr>
        <sz val="11"/>
        <color rgb="FF000000"/>
        <rFont val="Calibri"/>
        <family val="2"/>
      </rPr>
      <t>General - Modifies the remuneration scheme of the call projects</t>
    </r>
  </si>
  <si>
    <r>
      <rPr>
        <sz val="11"/>
        <color rgb="FF000000"/>
        <rFont val="Calibri"/>
        <family val="2"/>
      </rPr>
      <t>Resolution 093 of 2007</t>
    </r>
  </si>
  <si>
    <r>
      <rPr>
        <sz val="11"/>
        <color rgb="FF000000"/>
        <rFont val="Calibri"/>
        <family val="2"/>
      </rPr>
      <t>General - Modifies the remuneration scheme of the call projects, especially guarantees and date of entry into operation</t>
    </r>
  </si>
  <si>
    <r>
      <rPr>
        <sz val="11"/>
        <color rgb="FF000000"/>
        <rFont val="Calibri"/>
        <family val="2"/>
      </rPr>
      <t>Resolution 083 of 2008</t>
    </r>
  </si>
  <si>
    <r>
      <rPr>
        <sz val="11"/>
        <color rgb="FF000000"/>
        <rFont val="Calibri"/>
        <family val="2"/>
      </rPr>
      <t>General - Methodology to calculate the rate of return applicable to the remuneration of energy transmission. This rate is fixed.</t>
    </r>
  </si>
  <si>
    <r>
      <rPr>
        <sz val="11"/>
        <color rgb="FF000000"/>
        <rFont val="Calibri"/>
        <family val="2"/>
      </rPr>
      <t>Resolution 011 of 2009</t>
    </r>
  </si>
  <si>
    <r>
      <rPr>
        <sz val="11"/>
        <color rgb="FF000000"/>
        <rFont val="Calibri"/>
        <family val="2"/>
      </rPr>
      <t>General - Transmission Remuneration Methodology</t>
    </r>
  </si>
  <si>
    <r>
      <rPr>
        <sz val="11"/>
        <color rgb="FF000000"/>
        <rFont val="Calibri"/>
        <family val="2"/>
      </rPr>
      <t>Resolution 035 of 2010</t>
    </r>
  </si>
  <si>
    <r>
      <rPr>
        <sz val="11"/>
        <color rgb="FF000000"/>
        <rFont val="Calibri"/>
        <family val="2"/>
      </rPr>
      <t>General - Approves the discount rate and payment profile to evaluate the proposals submitted in the calls to execute expansion projects</t>
    </r>
  </si>
  <si>
    <r>
      <rPr>
        <sz val="11"/>
        <color rgb="FF000000"/>
        <rFont val="Calibri"/>
        <family val="2"/>
      </rPr>
      <t>Resolution 050 of 2010</t>
    </r>
  </si>
  <si>
    <r>
      <rPr>
        <sz val="11"/>
        <color rgb="FF000000"/>
        <rFont val="Calibri"/>
        <family val="2"/>
      </rPr>
      <t>General - Specifies the verification mechanisms of the AOM information delivered by the National Transmission Companies for the annual adjustment of the %AOM to be recognized</t>
    </r>
  </si>
  <si>
    <r>
      <rPr>
        <sz val="11"/>
        <color rgb="FF000000"/>
        <rFont val="Calibri"/>
        <family val="2"/>
      </rPr>
      <t>Resolution 147 of 2011</t>
    </r>
  </si>
  <si>
    <r>
      <rPr>
        <sz val="11"/>
        <color rgb="FF000000"/>
        <rFont val="Calibri"/>
        <family val="2"/>
      </rPr>
      <t>General - Expansion Development and Remuneration Scheme</t>
    </r>
  </si>
  <si>
    <r>
      <rPr>
        <sz val="11"/>
        <color rgb="FF000000"/>
        <rFont val="Calibri"/>
        <family val="2"/>
      </rPr>
      <t>Resolution 024 of 2012</t>
    </r>
  </si>
  <si>
    <r>
      <rPr>
        <sz val="11"/>
        <color rgb="FF000000"/>
        <rFont val="Calibri"/>
        <family val="2"/>
      </rPr>
      <t>General - Adjusts aspects related to the remuneration of AOM</t>
    </r>
  </si>
  <si>
    <r>
      <rPr>
        <sz val="11"/>
        <color rgb="FF000000"/>
        <rFont val="Calibri"/>
        <family val="2"/>
      </rPr>
      <t>Resolution 064 of 2013</t>
    </r>
  </si>
  <si>
    <r>
      <rPr>
        <sz val="11"/>
        <color rgb="FF000000"/>
        <rFont val="Calibri"/>
        <family val="2"/>
      </rPr>
      <t>General - Complements the Expansion development and remuneration scheme</t>
    </r>
  </si>
  <si>
    <r>
      <rPr>
        <sz val="11"/>
        <color rgb="FF000000"/>
        <rFont val="Calibri"/>
        <family val="2"/>
      </rPr>
      <t>Resolution 095 of 2015</t>
    </r>
  </si>
  <si>
    <r>
      <rPr>
        <sz val="11"/>
        <color rgb="FF000000"/>
        <rFont val="Calibri"/>
        <family val="2"/>
      </rPr>
      <t>General - Methodology to calculate the discount rate to be applied to regulated activities, including domestic transmission</t>
    </r>
  </si>
  <si>
    <r>
      <rPr>
        <sz val="11"/>
        <color rgb="FF000000"/>
        <rFont val="Calibri"/>
        <family val="2"/>
      </rPr>
      <t>Resolution 067 of 1999</t>
    </r>
  </si>
  <si>
    <r>
      <rPr>
        <sz val="11"/>
        <color rgb="FF000000"/>
        <rFont val="Calibri"/>
        <family val="2"/>
      </rPr>
      <t>Specific - UPME 01-1999 project entry</t>
    </r>
  </si>
  <si>
    <r>
      <rPr>
        <sz val="11"/>
        <color rgb="FF000000"/>
        <rFont val="Calibri"/>
        <family val="2"/>
      </rPr>
      <t>Resolution 078 of 1999</t>
    </r>
  </si>
  <si>
    <r>
      <rPr>
        <sz val="11"/>
        <color rgb="FF000000"/>
        <rFont val="Calibri"/>
        <family val="2"/>
      </rPr>
      <t>Specific - UPME 02-1999 project entry</t>
    </r>
  </si>
  <si>
    <r>
      <rPr>
        <sz val="11"/>
        <color rgb="FF000000"/>
        <rFont val="Calibri"/>
        <family val="2"/>
      </rPr>
      <t>Resolution 004 of 2007</t>
    </r>
  </si>
  <si>
    <r>
      <rPr>
        <sz val="11"/>
        <color rgb="FF000000"/>
        <rFont val="Calibri"/>
        <family val="2"/>
      </rPr>
      <t>Specific - UPME 01-2003 project entry</t>
    </r>
  </si>
  <si>
    <r>
      <rPr>
        <sz val="11"/>
        <color rgb="FF000000"/>
        <rFont val="Calibri"/>
        <family val="2"/>
      </rPr>
      <t>Resolution 058 of 2007</t>
    </r>
  </si>
  <si>
    <r>
      <rPr>
        <sz val="11"/>
        <color rgb="FF000000"/>
        <rFont val="Calibri"/>
        <family val="2"/>
      </rPr>
      <t>Specific - UPME 02-2003 project entry</t>
    </r>
  </si>
  <si>
    <r>
      <rPr>
        <sz val="11"/>
        <color rgb="FF000000"/>
        <rFont val="Calibri"/>
        <family val="2"/>
      </rPr>
      <t>Resolution 089 of 2008</t>
    </r>
  </si>
  <si>
    <r>
      <rPr>
        <sz val="11"/>
        <color rgb="FF000000"/>
        <rFont val="Calibri"/>
        <family val="2"/>
      </rPr>
      <t>Specific - UPME 01-2007 project entry</t>
    </r>
  </si>
  <si>
    <r>
      <rPr>
        <sz val="11"/>
        <color rgb="FF000000"/>
        <rFont val="Calibri"/>
        <family val="2"/>
      </rPr>
      <t>Resolution 185 of 2009</t>
    </r>
  </si>
  <si>
    <r>
      <rPr>
        <sz val="11"/>
        <color rgb="FF000000"/>
        <rFont val="Calibri"/>
        <family val="2"/>
      </rPr>
      <t>Specific - UPME 02-2008 project entry</t>
    </r>
  </si>
  <si>
    <r>
      <rPr>
        <sz val="11"/>
        <color rgb="FF000000"/>
        <rFont val="Calibri"/>
        <family val="2"/>
      </rPr>
      <t>Resolution 063 of 2011</t>
    </r>
  </si>
  <si>
    <r>
      <rPr>
        <sz val="11"/>
        <color rgb="FF000000"/>
        <rFont val="Calibri"/>
        <family val="2"/>
      </rPr>
      <t>Specific - UPME 04-2009 project entry</t>
    </r>
  </si>
  <si>
    <r>
      <rPr>
        <sz val="11"/>
        <color rgb="FF000000"/>
        <rFont val="Calibri"/>
        <family val="2"/>
      </rPr>
      <t>Resolution 080 of 2012</t>
    </r>
  </si>
  <si>
    <r>
      <rPr>
        <sz val="11"/>
        <color rgb="FF000000"/>
        <rFont val="Calibri"/>
        <family val="2"/>
      </rPr>
      <t>Specific - UPME 02-2010 project entry</t>
    </r>
  </si>
  <si>
    <r>
      <rPr>
        <sz val="11"/>
        <color rgb="FF000000"/>
        <rFont val="Calibri"/>
        <family val="2"/>
      </rPr>
      <t>Resolution 005 of 2014</t>
    </r>
  </si>
  <si>
    <r>
      <rPr>
        <sz val="11"/>
        <color rgb="FF000000"/>
        <rFont val="Calibri"/>
        <family val="2"/>
      </rPr>
      <t>Specific - UPME 02-2013 project entry</t>
    </r>
  </si>
  <si>
    <r>
      <rPr>
        <sz val="11"/>
        <color rgb="FF000000"/>
        <rFont val="Calibri"/>
        <family val="2"/>
      </rPr>
      <t>Resolution 116 of 2014</t>
    </r>
  </si>
  <si>
    <r>
      <rPr>
        <sz val="11"/>
        <color rgb="FF000000"/>
        <rFont val="Calibri"/>
        <family val="2"/>
      </rPr>
      <t>Specific - UPME 02-2014 project entry</t>
    </r>
  </si>
  <si>
    <r>
      <rPr>
        <sz val="11"/>
        <color rgb="FF000000"/>
        <rFont val="Calibri"/>
        <family val="2"/>
      </rPr>
      <t>Resolution 137 of 2014</t>
    </r>
  </si>
  <si>
    <r>
      <rPr>
        <sz val="11"/>
        <color rgb="FF000000"/>
        <rFont val="Calibri"/>
        <family val="2"/>
      </rPr>
      <t>Specific - UPME 07-2013 project entry</t>
    </r>
  </si>
  <si>
    <r>
      <rPr>
        <sz val="11"/>
        <color rgb="FF000000"/>
        <rFont val="Calibri"/>
        <family val="2"/>
      </rPr>
      <t>Resolution 146 of 2014</t>
    </r>
  </si>
  <si>
    <r>
      <rPr>
        <sz val="11"/>
        <color rgb="FF000000"/>
        <rFont val="Calibri"/>
        <family val="2"/>
      </rPr>
      <t>Specific - UPME 06-2013 project entry</t>
    </r>
  </si>
  <si>
    <r>
      <rPr>
        <sz val="11"/>
        <color rgb="FF000000"/>
        <rFont val="Calibri"/>
        <family val="2"/>
      </rPr>
      <t>Resolution 046 of 2015</t>
    </r>
  </si>
  <si>
    <r>
      <rPr>
        <sz val="11"/>
        <color rgb="FF000000"/>
        <rFont val="Calibri"/>
        <family val="2"/>
      </rPr>
      <t>Specific - UPME 03-2014 project entry</t>
    </r>
  </si>
  <si>
    <r>
      <rPr>
        <sz val="11"/>
        <color rgb="FF000000"/>
        <rFont val="Calibri"/>
        <family val="2"/>
      </rPr>
      <t>Resolution 048 of 2015</t>
    </r>
  </si>
  <si>
    <r>
      <rPr>
        <sz val="11"/>
        <color rgb="FF000000"/>
        <rFont val="Calibri"/>
        <family val="2"/>
      </rPr>
      <t>Specific - UPME 05-2014 project entry</t>
    </r>
  </si>
  <si>
    <r>
      <rPr>
        <sz val="11"/>
        <color rgb="FF000000"/>
        <rFont val="Calibri"/>
        <family val="2"/>
      </rPr>
      <t>Resolution 063 of 2015</t>
    </r>
  </si>
  <si>
    <r>
      <rPr>
        <sz val="11"/>
        <color rgb="FF000000"/>
        <rFont val="Calibri"/>
        <family val="2"/>
      </rPr>
      <t>Specific - UPME 08-2014 project entry</t>
    </r>
  </si>
  <si>
    <r>
      <rPr>
        <sz val="11"/>
        <color rgb="FF000000"/>
        <rFont val="Calibri"/>
        <family val="2"/>
      </rPr>
      <t>Resolution 235 of 2015</t>
    </r>
  </si>
  <si>
    <r>
      <rPr>
        <sz val="11"/>
        <color rgb="FF000000"/>
        <rFont val="Calibri"/>
        <family val="2"/>
      </rPr>
      <t>Specific - UPME 09-2015 project entry</t>
    </r>
  </si>
  <si>
    <r>
      <rPr>
        <sz val="11"/>
        <color rgb="FF000000"/>
        <rFont val="Calibri"/>
        <family val="2"/>
      </rPr>
      <t>Resolution 092 of 2016</t>
    </r>
  </si>
  <si>
    <r>
      <rPr>
        <sz val="11"/>
        <color rgb="FF000000"/>
        <rFont val="Calibri"/>
        <family val="2"/>
      </rPr>
      <t>Specific - UPME 03-2016 project entry</t>
    </r>
  </si>
  <si>
    <r>
      <rPr>
        <sz val="11"/>
        <color rgb="FF000000"/>
        <rFont val="Calibri"/>
        <family val="2"/>
      </rPr>
      <t>Resolution 138 of 2017</t>
    </r>
  </si>
  <si>
    <r>
      <rPr>
        <sz val="11"/>
        <color rgb="FF000000"/>
        <rFont val="Calibri"/>
        <family val="2"/>
      </rPr>
      <t>Specific - UPME 09-2016 project entry</t>
    </r>
  </si>
  <si>
    <r>
      <rPr>
        <sz val="11"/>
        <color rgb="FF000000"/>
        <rFont val="Calibri"/>
        <family val="2"/>
      </rPr>
      <t>Resolution 116 of 2017</t>
    </r>
  </si>
  <si>
    <r>
      <rPr>
        <sz val="11"/>
        <color rgb="FF000000"/>
        <rFont val="Calibri"/>
        <family val="2"/>
      </rPr>
      <t>Specific - UPME 01-2017 project entry</t>
    </r>
  </si>
  <si>
    <r>
      <rPr>
        <sz val="11"/>
        <color rgb="FF000000"/>
        <rFont val="Calibri"/>
        <family val="2"/>
      </rPr>
      <t>Resolution 099 of 2018</t>
    </r>
  </si>
  <si>
    <r>
      <rPr>
        <sz val="11"/>
        <color rgb="FF000000"/>
        <rFont val="Calibri"/>
        <family val="2"/>
      </rPr>
      <t>Specific - UPME 01-2018 project entry</t>
    </r>
  </si>
  <si>
    <r>
      <rPr>
        <sz val="11"/>
        <color rgb="FF000000"/>
        <rFont val="Calibri"/>
        <family val="2"/>
      </rPr>
      <t>Resolution 012 of 2019</t>
    </r>
  </si>
  <si>
    <r>
      <rPr>
        <sz val="11"/>
        <color rgb="FF000000"/>
        <rFont val="Calibri"/>
        <family val="2"/>
      </rPr>
      <t>Specific - UPME 07-2017 project entry</t>
    </r>
  </si>
  <si>
    <r>
      <rPr>
        <sz val="11"/>
        <color rgb="FF000000"/>
        <rFont val="Calibri"/>
        <family val="2"/>
      </rPr>
      <t>ISA and INTERCOLOMBIA</t>
    </r>
  </si>
  <si>
    <r>
      <rPr>
        <sz val="11"/>
        <color rgb="FF000000"/>
        <rFont val="Calibri"/>
        <family val="2"/>
      </rPr>
      <t>Resolution 160 of 2019</t>
    </r>
  </si>
  <si>
    <r>
      <rPr>
        <sz val="11"/>
        <color rgb="FF000000"/>
        <rFont val="Calibri"/>
        <family val="2"/>
      </rPr>
      <t>Specific - UPME 08-2017 project entry and approval of INTERCOLOMBIA's representation</t>
    </r>
  </si>
  <si>
    <r>
      <rPr>
        <sz val="11"/>
        <color rgb="FF000000"/>
        <rFont val="Calibri"/>
        <family val="2"/>
      </rPr>
      <t>Resolution 177 of 2013</t>
    </r>
  </si>
  <si>
    <r>
      <rPr>
        <sz val="11"/>
        <color rgb="FF000000"/>
        <rFont val="Calibri"/>
        <family val="2"/>
      </rPr>
      <t>Resolution 144 of 2014</t>
    </r>
  </si>
  <si>
    <r>
      <rPr>
        <sz val="11"/>
        <color rgb="FF000000"/>
        <rFont val="Calibri"/>
        <family val="2"/>
      </rPr>
      <t>Specific - Approves INTERCOLOMBIA to represent UPME-04-2009 Project</t>
    </r>
  </si>
  <si>
    <r>
      <rPr>
        <sz val="11"/>
        <color rgb="FF000000"/>
        <rFont val="Calibri"/>
        <family val="2"/>
      </rPr>
      <t>Resolution 167 of 2014</t>
    </r>
  </si>
  <si>
    <r>
      <rPr>
        <sz val="11"/>
        <color rgb="FF000000"/>
        <rFont val="Calibri"/>
        <family val="2"/>
      </rPr>
      <t>Specific - Updates the asset base for Intercolombia S.A. E.S.P. Cerromatoso Substation</t>
    </r>
  </si>
  <si>
    <r>
      <rPr>
        <sz val="11"/>
        <color rgb="FF000000"/>
        <rFont val="Calibri"/>
        <family val="2"/>
      </rPr>
      <t>Resolution 169 of 2015</t>
    </r>
  </si>
  <si>
    <r>
      <rPr>
        <sz val="11"/>
        <color rgb="FF000000"/>
        <rFont val="Calibri"/>
        <family val="2"/>
      </rPr>
      <t xml:space="preserve">Specific - Updates the asset base for Intercolombia S.A. E.S.P. Bacatá 500 kV Substation </t>
    </r>
  </si>
  <si>
    <r>
      <rPr>
        <sz val="11"/>
        <color rgb="FF000000"/>
        <rFont val="Calibri"/>
        <family val="2"/>
      </rPr>
      <t>Resolution 233 of 2015</t>
    </r>
  </si>
  <si>
    <r>
      <rPr>
        <sz val="11"/>
        <color rgb="FF000000"/>
        <rFont val="Calibri"/>
        <family val="2"/>
      </rPr>
      <t>Specific - Updates the asset base for Intercolombia S.A. E.S.P. El Bosque 220 kV Substation and Termocol 220 kV Substation</t>
    </r>
  </si>
  <si>
    <r>
      <rPr>
        <sz val="11"/>
        <color rgb="FF000000"/>
        <rFont val="Calibri"/>
        <family val="2"/>
      </rPr>
      <t>Resolution 006 of 2016</t>
    </r>
  </si>
  <si>
    <r>
      <rPr>
        <sz val="11"/>
        <color rgb="FF000000"/>
        <rFont val="Calibri"/>
        <family val="2"/>
      </rPr>
      <t>Specific - Approves INTERCOLOMBIA to represent UPME-02-2013 and UPME-02-2014 Projects</t>
    </r>
  </si>
  <si>
    <r>
      <rPr>
        <sz val="11"/>
        <color rgb="FF000000"/>
        <rFont val="Calibri"/>
        <family val="2"/>
      </rPr>
      <t>Resolution 251 of 2016</t>
    </r>
  </si>
  <si>
    <r>
      <rPr>
        <sz val="11"/>
        <color rgb="FF000000"/>
        <rFont val="Calibri"/>
        <family val="2"/>
      </rPr>
      <t>Specific - Approves INTERCOLOMBIA to represent UPME-08-2014 and UPME-09-2015 Projects</t>
    </r>
  </si>
  <si>
    <r>
      <rPr>
        <sz val="11"/>
        <color rgb="FF000000"/>
        <rFont val="Calibri"/>
        <family val="2"/>
      </rPr>
      <t>Resolution 059 of 2017</t>
    </r>
  </si>
  <si>
    <r>
      <rPr>
        <sz val="11"/>
        <color rgb="FF000000"/>
        <rFont val="Calibri"/>
        <family val="2"/>
      </rPr>
      <t>Specific - Updates the asset base for Intercolombia S.A. E.S.P. Betania - Ibague 230 kV</t>
    </r>
  </si>
  <si>
    <r>
      <rPr>
        <sz val="11"/>
        <color rgb="FF000000"/>
        <rFont val="Calibri"/>
        <family val="2"/>
      </rPr>
      <t>Resolution 032 of 2018</t>
    </r>
  </si>
  <si>
    <r>
      <rPr>
        <sz val="11"/>
        <color rgb="FF000000"/>
        <rFont val="Calibri"/>
        <family val="2"/>
      </rPr>
      <t>Specific - Updates the asset base for Intercolombia S.A. E.S.P. Urabá 220 kV and Cuestecitas 220 kV Substations</t>
    </r>
  </si>
  <si>
    <r>
      <rPr>
        <sz val="11"/>
        <color rgb="FF000000"/>
        <rFont val="Calibri"/>
        <family val="2"/>
      </rPr>
      <t>Resolution 047 of 2018</t>
    </r>
  </si>
  <si>
    <r>
      <rPr>
        <sz val="11"/>
        <color rgb="FF000000"/>
        <rFont val="Calibri"/>
        <family val="2"/>
      </rPr>
      <t>Specific - Approves INTERCOLOMBIA to represent UPME-06-2013 Project</t>
    </r>
  </si>
  <si>
    <r>
      <rPr>
        <sz val="11"/>
        <color rgb="FF000000"/>
        <rFont val="Calibri"/>
        <family val="2"/>
      </rPr>
      <t>Resolution 023 of 2019</t>
    </r>
  </si>
  <si>
    <r>
      <rPr>
        <sz val="11"/>
        <color rgb="FF000000"/>
        <rFont val="Calibri"/>
        <family val="2"/>
      </rPr>
      <t>Specific - Updates the asset base for Intercolombia S.A. E.S.P. Esmeralda - La Hermosa 230 kV</t>
    </r>
  </si>
  <si>
    <r>
      <rPr>
        <sz val="11"/>
        <color rgb="FF000000"/>
        <rFont val="Calibri"/>
        <family val="2"/>
      </rPr>
      <t>Resolution 032 of 2019</t>
    </r>
  </si>
  <si>
    <r>
      <rPr>
        <sz val="11"/>
        <color rgb="FF000000"/>
        <rFont val="Calibri"/>
        <family val="2"/>
      </rPr>
      <t>Specific - Approves INTERCOLOMBIA to represent UPME-01-2017 Project</t>
    </r>
  </si>
  <si>
    <r>
      <rPr>
        <sz val="11"/>
        <color rgb="FF000000"/>
        <rFont val="Calibri"/>
        <family val="2"/>
      </rPr>
      <t>Resolution 047 of 2019</t>
    </r>
  </si>
  <si>
    <r>
      <rPr>
        <sz val="11"/>
        <color rgb="FF000000"/>
        <rFont val="Calibri"/>
        <family val="2"/>
      </rPr>
      <t>Specific - Approves INTERCOLOMBIA to represent UPME-07-2013 Project</t>
    </r>
  </si>
  <si>
    <r>
      <rPr>
        <sz val="11"/>
        <color rgb="FF000000"/>
        <rFont val="Calibri"/>
        <family val="2"/>
      </rPr>
      <t>Resolution 131 of 2019</t>
    </r>
  </si>
  <si>
    <r>
      <rPr>
        <sz val="11"/>
        <color rgb="FF000000"/>
        <rFont val="Calibri"/>
        <family val="2"/>
      </rPr>
      <t>Specific - Updates INTERCOLOMBIA's AOM, excluding AOM corresponding to STN assets of the Betania 230 kV Substation</t>
    </r>
  </si>
  <si>
    <r>
      <rPr>
        <sz val="11"/>
        <color rgb="FF000000"/>
        <rFont val="Calibri"/>
        <family val="2"/>
      </rPr>
      <t>Resolution 061 of 2011</t>
    </r>
  </si>
  <si>
    <r>
      <rPr>
        <sz val="11"/>
        <color rgb="FF000000"/>
        <rFont val="Calibri"/>
        <family val="2"/>
      </rPr>
      <t>Specific - Approves the asset base and parameters necessary to determine the remuneration to TRANSELCA in the National Transmission System</t>
    </r>
    <r>
      <rPr>
        <sz val="11"/>
        <color rgb="FF000000"/>
        <rFont val="Calibri"/>
        <family val="2"/>
      </rPr>
      <t xml:space="preserve"> </t>
    </r>
  </si>
  <si>
    <r>
      <rPr>
        <sz val="11"/>
        <color rgb="FF000000"/>
        <rFont val="Calibri"/>
        <family val="2"/>
      </rPr>
      <t>Resolution 105 of 2011</t>
    </r>
  </si>
  <si>
    <r>
      <rPr>
        <sz val="11"/>
        <color rgb="FF000000"/>
        <rFont val="Calibri"/>
        <family val="2"/>
      </rPr>
      <t>Specific - Updates the asset base for Intercolombia S.A. E.S.P. Santa Marta 220 kV Substation</t>
    </r>
  </si>
  <si>
    <r>
      <rPr>
        <sz val="11"/>
        <color rgb="FF000000"/>
        <rFont val="Calibri"/>
        <family val="2"/>
      </rPr>
      <t>Resolution 107 of 2012</t>
    </r>
  </si>
  <si>
    <r>
      <rPr>
        <sz val="11"/>
        <color rgb="FF000000"/>
        <rFont val="Calibri"/>
        <family val="2"/>
      </rPr>
      <t>Specific - Updates the asset base for Intercolombia S.A. E.S.P. Fundación 220 kV Substation</t>
    </r>
  </si>
  <si>
    <r>
      <rPr>
        <sz val="11"/>
        <color rgb="FF000000"/>
        <rFont val="Calibri"/>
        <family val="2"/>
      </rPr>
      <t>Resolution 009 of 2013</t>
    </r>
  </si>
  <si>
    <r>
      <rPr>
        <sz val="11"/>
        <color rgb="FF000000"/>
        <rFont val="Calibri"/>
        <family val="2"/>
      </rPr>
      <t>Resolution 072 of 2015</t>
    </r>
  </si>
  <si>
    <r>
      <rPr>
        <sz val="11"/>
        <color rgb="FF000000"/>
        <rFont val="Calibri"/>
        <family val="2"/>
      </rPr>
      <t>Specific - Updates the asset base for Intercolombia S.A. E.S.P. Sabanalarga 220 kV Substation</t>
    </r>
  </si>
  <si>
    <r>
      <rPr>
        <sz val="11"/>
        <color rgb="FF000000"/>
        <rFont val="Calibri"/>
        <family val="2"/>
      </rPr>
      <t>Resolution 173 of 2016</t>
    </r>
  </si>
  <si>
    <r>
      <rPr>
        <sz val="11"/>
        <color rgb="FF000000"/>
        <rFont val="Calibri"/>
        <family val="2"/>
      </rPr>
      <t>Specific - Updates the asset base for Intercolombia S.A. E.S.P. Tebsa 220 kV Substation</t>
    </r>
  </si>
  <si>
    <r>
      <rPr>
        <sz val="11"/>
        <color rgb="FF000000"/>
        <rFont val="Calibri"/>
        <family val="2"/>
      </rPr>
      <t>Resolution 136A of 2018</t>
    </r>
  </si>
  <si>
    <r>
      <rPr>
        <sz val="11"/>
        <color rgb="FF000000"/>
        <rFont val="Calibri"/>
        <family val="2"/>
      </rPr>
      <t>Specific - Updates the asset base for Intercolombia S.A. E.S.P. Nueva Barranquilla 220 kV Substation</t>
    </r>
  </si>
  <si>
    <r>
      <rPr>
        <sz val="11"/>
        <color rgb="FF000000"/>
        <rFont val="Calibri"/>
        <family val="2"/>
      </rPr>
      <t>Energy Concessions Law</t>
    </r>
  </si>
  <si>
    <r>
      <rPr>
        <sz val="11"/>
        <color rgb="FF000000"/>
        <rFont val="Calibri"/>
        <family val="2"/>
      </rPr>
      <t>OSINERGMIN</t>
    </r>
  </si>
  <si>
    <r>
      <rPr>
        <u/>
        <sz val="11"/>
        <color rgb="FF0563C1"/>
        <rFont val="Calibri"/>
        <family val="2"/>
      </rPr>
      <t>https://www.osinergmin.gob.pe/cartas/documentos/electricidad/normativa/LEY_CONCESIONES_ELECTRICAS.pdf</t>
    </r>
  </si>
  <si>
    <r>
      <rPr>
        <sz val="11"/>
        <color rgb="FF000000"/>
        <rFont val="Calibri"/>
        <family val="2"/>
      </rPr>
      <t>General - Energy Regulatory Framework</t>
    </r>
  </si>
  <si>
    <r>
      <rPr>
        <sz val="11"/>
        <color rgb="FF000000"/>
        <rFont val="Calibri"/>
        <family val="2"/>
      </rPr>
      <t>Rules of Procedure of the Energy Concessions Law</t>
    </r>
  </si>
  <si>
    <r>
      <rPr>
        <u/>
        <sz val="11"/>
        <color rgb="FF0563C1"/>
        <rFont val="Calibri"/>
        <family val="2"/>
      </rPr>
      <t>https://www.osinergmin.gob.pe/cartas/documentos/electricidad/normativa/DS-009-93-EM-REGLAMENTO-LCE.pdf</t>
    </r>
  </si>
  <si>
    <r>
      <rPr>
        <sz val="11"/>
        <color rgb="FF000000"/>
        <rFont val="Calibri"/>
        <family val="2"/>
      </rPr>
      <t>Law 28832</t>
    </r>
  </si>
  <si>
    <r>
      <rPr>
        <u/>
        <sz val="11"/>
        <color rgb="FF0563C1"/>
        <rFont val="Calibri"/>
        <family val="2"/>
      </rPr>
      <t>http://www2.osinerg.gob.pe/MarcoLegal/pdf/LEY%2028832.pdf</t>
    </r>
  </si>
  <si>
    <r>
      <rPr>
        <sz val="11"/>
        <color rgb="FF000000"/>
        <rFont val="Calibri"/>
        <family val="2"/>
      </rPr>
      <t>Transmission Rules of Procedure</t>
    </r>
  </si>
  <si>
    <r>
      <rPr>
        <u/>
        <sz val="11"/>
        <color rgb="FF0563C1"/>
        <rFont val="Calibri"/>
        <family val="2"/>
      </rPr>
      <t>https://www.osinergmin.gob.pe/seccion/centro_documental/PlantillaMarcoLegalBusqueda/Decreto%20Supremo%20N%C2%B0%20027-2007-EM%20-%20Reglamento%20de%20Transmisi%C3%B3n.pdf</t>
    </r>
  </si>
  <si>
    <r>
      <rPr>
        <sz val="11"/>
        <color rgb="FF000000"/>
        <rFont val="Calibri"/>
        <family val="2"/>
      </rPr>
      <t>General - Transmission Regulatory Framework</t>
    </r>
  </si>
  <si>
    <r>
      <rPr>
        <sz val="11"/>
        <color rgb="FF000000"/>
        <rFont val="Calibri"/>
        <family val="2"/>
      </rPr>
      <t>Transmission Rules of Procedure (Updated)</t>
    </r>
  </si>
  <si>
    <r>
      <rPr>
        <u/>
        <sz val="11"/>
        <color rgb="FF0563C1"/>
        <rFont val="Calibri"/>
        <family val="2"/>
      </rPr>
      <t>http://www2.congreso.gob.pe/sicr/cendocbib/con5_uibd.nsf/1B334AA6E22479B2052582430057C4C3/$FILE/027-2007-EM.pdf</t>
    </r>
  </si>
  <si>
    <r>
      <rPr>
        <sz val="11"/>
        <color rgb="FF000000"/>
        <rFont val="Calibri"/>
        <family val="2"/>
      </rPr>
      <t>General - Transmission Regulatory Framework (updated version)</t>
    </r>
  </si>
  <si>
    <r>
      <rPr>
        <sz val="11"/>
        <color rgb="FF000000"/>
        <rFont val="Calibri"/>
        <family val="2"/>
      </rPr>
      <t>Resolution No. 068-2020</t>
    </r>
  </si>
  <si>
    <r>
      <rPr>
        <u/>
        <sz val="11"/>
        <color rgb="FF0563C1"/>
        <rFont val="Calibri"/>
        <family val="2"/>
      </rPr>
      <t>https://www.osinergmin.gob.pe/Resoluciones/pdf/2020/Osinergmin-068-2020-OS-CD.pdf</t>
    </r>
  </si>
  <si>
    <r>
      <rPr>
        <sz val="11"/>
        <color rgb="FF000000"/>
        <rFont val="Calibri"/>
        <family val="2"/>
      </rPr>
      <t>General - Tariff Regulation (SPT and SGT) 2020-2021</t>
    </r>
  </si>
  <si>
    <r>
      <rPr>
        <sz val="11"/>
        <color rgb="FF000000"/>
        <rFont val="Calibri"/>
        <family val="2"/>
      </rPr>
      <t>Resolution No. 0124-2020</t>
    </r>
  </si>
  <si>
    <r>
      <rPr>
        <u/>
        <sz val="11"/>
        <color rgb="FF0563C1"/>
        <rFont val="Calibri"/>
        <family val="2"/>
      </rPr>
      <t>https://www.osinergmin.gob.pe/Resoluciones/pdf/2020/Osinergmin-124-2020-OS-CD.pdf</t>
    </r>
  </si>
  <si>
    <r>
      <rPr>
        <sz val="11"/>
        <color rgb="FF000000"/>
        <rFont val="Calibri"/>
        <family val="2"/>
      </rPr>
      <t>General - Tariff Regulation (SPT and SGT) 2020-2021, Complementary Resolution</t>
    </r>
  </si>
  <si>
    <r>
      <rPr>
        <sz val="11"/>
        <color rgb="FF000000"/>
        <rFont val="Calibri"/>
        <family val="2"/>
      </rPr>
      <t>Resolution No. 078-2020</t>
    </r>
  </si>
  <si>
    <r>
      <rPr>
        <u/>
        <sz val="11"/>
        <color rgb="FF0563C1"/>
        <rFont val="Calibri"/>
        <family val="2"/>
      </rPr>
      <t>https://www.osinergmin.gob.pe/Resoluciones/pdf/2020/Osinergmin-078-2020-OS-CD.pdf</t>
    </r>
  </si>
  <si>
    <r>
      <rPr>
        <sz val="11"/>
        <color rgb="FF000000"/>
        <rFont val="Calibri"/>
        <family val="2"/>
      </rPr>
      <t>General - SST and SCT 2020 revenue settlement</t>
    </r>
  </si>
  <si>
    <r>
      <rPr>
        <sz val="11"/>
        <color rgb="FF000000"/>
        <rFont val="Calibri"/>
        <family val="2"/>
      </rPr>
      <t>Resolution No. 0140-2020</t>
    </r>
  </si>
  <si>
    <r>
      <rPr>
        <u/>
        <sz val="11"/>
        <color rgb="FF0563C1"/>
        <rFont val="Calibri"/>
        <family val="2"/>
      </rPr>
      <t>https://www.osinergmin.gob.pe/Resoluciones/pdf/2020/Osinergmin-140-2020-OS-CD.pdf</t>
    </r>
  </si>
  <si>
    <r>
      <rPr>
        <sz val="11"/>
        <color rgb="FF000000"/>
        <rFont val="Calibri"/>
        <family val="2"/>
      </rPr>
      <t>General - SST and SCT 2020 revenue settlement, Complementary Resolution</t>
    </r>
  </si>
  <si>
    <r>
      <rPr>
        <sz val="11"/>
        <color rgb="FF000000"/>
        <rFont val="Calibri"/>
        <family val="2"/>
      </rPr>
      <t>Resolution No. 061-2017</t>
    </r>
  </si>
  <si>
    <r>
      <rPr>
        <u/>
        <sz val="11"/>
        <color rgb="FF0563C1"/>
        <rFont val="Calibri"/>
        <family val="2"/>
      </rPr>
      <t>http://www2.osinerg.gob.pe/Resoluciones/pdf/2017/OSINERGMIN%20No.061-2017-OS-CD.pdf</t>
    </r>
  </si>
  <si>
    <r>
      <rPr>
        <sz val="11"/>
        <color rgb="FF000000"/>
        <rFont val="Calibri"/>
        <family val="2"/>
      </rPr>
      <t>General - Tariff Regulation (SST and SCT) 2017-2021</t>
    </r>
  </si>
  <si>
    <r>
      <rPr>
        <sz val="11"/>
        <color rgb="FF000000"/>
        <rFont val="Calibri"/>
        <family val="2"/>
      </rPr>
      <t>Resolution No. 129-2017</t>
    </r>
  </si>
  <si>
    <r>
      <rPr>
        <u/>
        <sz val="11"/>
        <color rgb="FF0563C1"/>
        <rFont val="Calibri"/>
        <family val="2"/>
      </rPr>
      <t>http://www2.osinerg.gob.pe/Resoluciones/pdf/2017/OSINERGMIN%20No.129-2017-OS-CD.pdf</t>
    </r>
  </si>
  <si>
    <r>
      <rPr>
        <sz val="11"/>
        <color rgb="FF000000"/>
        <rFont val="Calibri"/>
        <family val="2"/>
      </rPr>
      <t>General - Tariff Regulation (SST and SCT) 2017-2021, Complementary Resolution</t>
    </r>
  </si>
  <si>
    <r>
      <rPr>
        <sz val="11"/>
        <color rgb="FF000000"/>
        <rFont val="Calibri"/>
        <family val="2"/>
      </rPr>
      <t>Resolution No. 055-2020</t>
    </r>
  </si>
  <si>
    <r>
      <rPr>
        <u/>
        <sz val="11"/>
        <color rgb="FF0563C1"/>
        <rFont val="Calibri"/>
        <family val="2"/>
      </rPr>
      <t>https://www.osinergmin.gob.pe/Resoluciones/pdf/2020/Osinergmin-055-2020-OS-CD.pdf</t>
    </r>
  </si>
  <si>
    <r>
      <rPr>
        <sz val="11"/>
        <color rgb="FF000000"/>
        <rFont val="Calibri"/>
        <family val="2"/>
      </rPr>
      <t>General - Revenue Settlement Procedure for REP, SPT, and SGT</t>
    </r>
  </si>
  <si>
    <r>
      <rPr>
        <sz val="11"/>
        <color rgb="FF000000"/>
        <rFont val="Calibri"/>
        <family val="2"/>
      </rPr>
      <t>Resolution No. 056-2020</t>
    </r>
  </si>
  <si>
    <r>
      <rPr>
        <u/>
        <sz val="11"/>
        <color rgb="FF0563C1"/>
        <rFont val="Calibri"/>
        <family val="2"/>
      </rPr>
      <t>https://www.osinergmin.gob.pe/Resoluciones/pdf/2020/Osinergmin-056-2020-OS-CD.pdf</t>
    </r>
  </si>
  <si>
    <r>
      <rPr>
        <sz val="11"/>
        <color rgb="FF000000"/>
        <rFont val="Calibri"/>
        <family val="2"/>
      </rPr>
      <t>General - Revenue Settlement Procedure for SST and SCT</t>
    </r>
  </si>
  <si>
    <r>
      <rPr>
        <sz val="11"/>
        <color rgb="FF000000"/>
        <rFont val="Calibri"/>
        <family val="2"/>
      </rPr>
      <t>Resolution No. 042-2020</t>
    </r>
  </si>
  <si>
    <r>
      <rPr>
        <u/>
        <sz val="11"/>
        <color rgb="FF0563C1"/>
        <rFont val="Calibri"/>
        <family val="2"/>
      </rPr>
      <t>https://www.osinergmin.gob.pe/Resoluciones/pdf/2020/Osinergmin-042-2020-OS-CD.pdf</t>
    </r>
  </si>
  <si>
    <r>
      <rPr>
        <sz val="11"/>
        <color rgb="FF000000"/>
        <rFont val="Calibri"/>
        <family val="2"/>
      </rPr>
      <t>General - Investment module valuation update (applicable to transmission without contracts)</t>
    </r>
  </si>
  <si>
    <r>
      <rPr>
        <sz val="11"/>
        <color rgb="FF000000"/>
        <rFont val="Calibri"/>
        <family val="2"/>
      </rPr>
      <t>Resolution No. 147-2015</t>
    </r>
  </si>
  <si>
    <r>
      <rPr>
        <u/>
        <sz val="11"/>
        <color rgb="FF0563C1"/>
        <rFont val="Calibri"/>
        <family val="2"/>
      </rPr>
      <t>https://www.osinergmin.gob.pe/Resoluciones/pdf/2015/OSINERGMIN%20No.147-2015-OS-CD.pdf</t>
    </r>
  </si>
  <si>
    <r>
      <rPr>
        <sz val="11"/>
        <color rgb="FF000000"/>
        <rFont val="Calibri"/>
        <family val="2"/>
      </rPr>
      <t>General - Update of the valuation of the operation and maintenance costs percentage (applicable to transmission without contracts)</t>
    </r>
  </si>
  <si>
    <r>
      <rPr>
        <sz val="11"/>
        <color rgb="FF000000"/>
        <rFont val="Calibri"/>
        <family val="2"/>
      </rPr>
      <t>Concession Contract</t>
    </r>
  </si>
  <si>
    <r>
      <rPr>
        <sz val="11"/>
        <color rgb="FF000000"/>
        <rFont val="Calibri"/>
        <family val="2"/>
      </rPr>
      <t>PROINVERSIÓN</t>
    </r>
  </si>
  <si>
    <r>
      <rPr>
        <u/>
        <sz val="11"/>
        <color rgb="FF0563C1"/>
        <rFont val="Calibri"/>
        <family val="2"/>
      </rPr>
      <t>https://www.proyectosapp.pe/RepositorioAPS/0/0/JER/PAETECENETESUR/Contrato%20Etecen%20-%20Etesur/Contrato_EtecenEtesur.pdf</t>
    </r>
  </si>
  <si>
    <r>
      <rPr>
        <sz val="11"/>
        <color rgb="FF000000"/>
        <rFont val="Calibri"/>
        <family val="2"/>
      </rPr>
      <t>Specific - Concession Contract.</t>
    </r>
    <r>
      <rPr>
        <sz val="11"/>
        <color rgb="FF000000"/>
        <rFont val="Calibri"/>
        <family val="2"/>
      </rPr>
      <t xml:space="preserve"> </t>
    </r>
    <r>
      <rPr>
        <sz val="11"/>
        <color rgb="FF000000"/>
        <rFont val="Calibri"/>
        <family val="2"/>
      </rPr>
      <t>Does not include addenda.</t>
    </r>
  </si>
  <si>
    <r>
      <rPr>
        <sz val="11"/>
        <color rgb="FF000000"/>
        <rFont val="Calibri"/>
        <family val="2"/>
      </rPr>
      <t>Concession Contracts</t>
    </r>
  </si>
  <si>
    <r>
      <rPr>
        <u/>
        <sz val="11"/>
        <color rgb="FF0563C1"/>
        <rFont val="Calibri"/>
        <family val="2"/>
      </rPr>
      <t>https://www.proyectosapp.pe/RepositorioAPS/0/0/JER/PATRANSMISIONMS/Contrato.pdf</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</si>
  <si>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</si>
  <si>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u/>
        <sz val="11"/>
        <color rgb="FF0563C1"/>
        <rFont val="Calibri"/>
        <family val="2"/>
      </rPr>
      <t>https://www.proyectosapp.pe/RepositorioAPS/0/0/JER/PALINEAOROYACARHUAMAYO/Contrato.pdf</t>
    </r>
  </si>
  <si>
    <r>
      <rPr>
        <u/>
        <sz val="11"/>
        <color rgb="FF0563C1"/>
        <rFont val="Calibri"/>
        <family val="2"/>
      </rPr>
      <t>https://www.proyectosapp.pe/modulos/JER/PlantillaStandard.aspx?are=0&amp;prf=2&amp;jer=7649&amp;sec=22</t>
    </r>
  </si>
  <si>
    <r>
      <rPr>
        <sz val="11"/>
        <color rgb="FF000000"/>
        <rFont val="Calibri"/>
        <family val="2"/>
      </rPr>
      <t>General - Repository of all contracts subscribed with the Government, including SGT and SCT contracts tendered by PROINVERSION</t>
    </r>
  </si>
  <si>
    <r>
      <rPr>
        <sz val="11"/>
        <color rgb="FF000000"/>
        <rFont val="Calibri"/>
        <family val="2"/>
      </rPr>
      <t>Bolivia</t>
    </r>
  </si>
  <si>
    <r>
      <rPr>
        <sz val="11"/>
        <color rgb="FF000000"/>
        <rFont val="Calibri"/>
        <family val="2"/>
      </rPr>
      <t>ENERGY LAW 1604 OF DECEMBER 21, 1994</t>
    </r>
  </si>
  <si>
    <r>
      <rPr>
        <sz val="11"/>
        <color rgb="FF000000"/>
        <rFont val="Calibri"/>
        <family val="2"/>
      </rPr>
      <t>AETN</t>
    </r>
  </si>
  <si>
    <r>
      <rPr>
        <u/>
        <sz val="11"/>
        <color rgb="FF0563C1"/>
        <rFont val="Calibri"/>
        <family val="2"/>
      </rPr>
      <t>https://sawi.aetn.gob.bo/docfly/app/webroot/uploads/IMG-ML_LA-admin-2010-09-23-1604.pdf</t>
    </r>
  </si>
  <si>
    <r>
      <rPr>
        <sz val="11"/>
        <color rgb="FF000000"/>
        <rFont val="Calibri"/>
        <family val="2"/>
      </rPr>
      <t>General - Bolivian Energy Regulatory Framework</t>
    </r>
  </si>
  <si>
    <r>
      <rPr>
        <sz val="11"/>
        <color rgb="FF000000"/>
        <rFont val="Calibri"/>
        <family val="2"/>
      </rPr>
      <t>Regulation of prices and tariffs - Supreme Decree No. 26094 of March 2, 2001</t>
    </r>
  </si>
  <si>
    <r>
      <rPr>
        <u/>
        <sz val="11"/>
        <color rgb="FF0563C1"/>
        <rFont val="Calibri"/>
        <family val="2"/>
      </rPr>
      <t>https://sawi.aetn.gob.bo/docfly/app/webroot/uploads/IMG-ML_RLE-admin-2010-09-23-26094.pdf</t>
    </r>
  </si>
  <si>
    <r>
      <rPr>
        <sz val="11"/>
        <color rgb="FF000000"/>
        <rFont val="Calibri"/>
        <family val="2"/>
      </rPr>
      <t>General - Sector Revenue Regulation</t>
    </r>
  </si>
  <si>
    <r>
      <rPr>
        <sz val="11"/>
        <color rgb="FF000000"/>
        <rFont val="Calibri"/>
        <family val="2"/>
      </rPr>
      <t>Regulation on Concessions, Licenses, and Provisional Licenses (RCLLP) - Supreme Decree No. 24043 of June 28, 1995</t>
    </r>
  </si>
  <si>
    <r>
      <rPr>
        <u/>
        <sz val="11"/>
        <color rgb="FF0563C1"/>
        <rFont val="Calibri"/>
        <family val="2"/>
      </rPr>
      <t>https://sawi.aetn.gob.bo/docfly/app/webroot/uploads/IMG---2010-09-29-24043.pdf</t>
    </r>
  </si>
  <si>
    <r>
      <rPr>
        <sz val="11"/>
        <color rgb="FF000000"/>
        <rFont val="Calibri"/>
        <family val="2"/>
      </rPr>
      <t>General - Regulations for creation of concessions and licenses</t>
    </r>
  </si>
  <si>
    <r>
      <rPr>
        <sz val="11"/>
        <color rgb="FF000000"/>
        <rFont val="Calibri"/>
        <family val="2"/>
      </rPr>
      <t>Resolution AE_R_178_2017</t>
    </r>
  </si>
  <si>
    <r>
      <rPr>
        <u/>
        <sz val="11"/>
        <color rgb="FF0563C1"/>
        <rFont val="Calibri"/>
        <family val="2"/>
      </rPr>
      <t>https://srvdocs.aetn.gob.bo/ae/resolucion/2017/AE_R_178_17.pdf</t>
    </r>
    <r>
      <rPr>
        <u/>
        <sz val="11"/>
        <color rgb="FF0563C1"/>
        <rFont val="Calibri"/>
        <family val="2"/>
      </rPr>
      <t xml:space="preserve"> </t>
    </r>
  </si>
  <si>
    <r>
      <rPr>
        <sz val="11"/>
        <color rgb="FF000000"/>
        <rFont val="Calibri"/>
        <family val="2"/>
      </rPr>
      <t>Specific - Approval of Transmission Costs - 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</si>
  <si>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Approves the Base Investment Costs, Annual Investment Costs and Annual Costs of Operation, Maintenance and Management of the Economically Adapted Transmission System (STEA) for facilities of the Interconnection Trunk System (STI), owned by ISA Bolivia S.A., corresponding to May 2017 - April 2021, as well as their respective Indexation Formulas.</t>
    </r>
  </si>
  <si>
    <r>
      <rPr>
        <sz val="11"/>
        <color rgb="FF000000"/>
        <rFont val="Calibri"/>
        <family val="2"/>
      </rPr>
      <t>Resolution AE_R_307_17</t>
    </r>
  </si>
  <si>
    <r>
      <rPr>
        <u/>
        <sz val="11"/>
        <color rgb="FF0563C1"/>
        <rFont val="Calibri"/>
        <family val="2"/>
      </rPr>
      <t>https://srvdocs.aetn.gob.bo/ae/resolucion/2017/AE_R_307_17.pdf</t>
    </r>
  </si>
  <si>
    <r>
      <rPr>
        <sz val="11"/>
        <color rgb="FF000000"/>
        <rFont val="Calibri"/>
        <family val="2"/>
      </rPr>
      <t>Resolution AE_R_606_2016</t>
    </r>
  </si>
  <si>
    <r>
      <rPr>
        <u/>
        <sz val="11"/>
        <color rgb="FF0563C1"/>
        <rFont val="Calibri"/>
        <family val="2"/>
      </rPr>
      <t>https://srvdocs.aetn.gob.bo/ae/resolucion/2016/AE_R_DLG_606_A_16.pdf</t>
    </r>
  </si>
  <si>
    <r>
      <rPr>
        <sz val="11"/>
        <color rgb="FF000000"/>
        <rFont val="Calibri"/>
        <family val="2"/>
      </rPr>
      <t xml:space="preserve">Specific - Expansion of facilities - 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 </t>
    </r>
  </si>
  <si>
    <r>
      <rPr>
        <sz val="11"/>
        <color rgb="FF000000"/>
        <rFont val="Calibri"/>
        <family val="2"/>
      </rPr>
      <t>Accepts ISA Bolivia's request to implement the "Adaptation of the Urubó 230 kV Substation busbar and Urubó-Warnes 230 kV TL output" project to approve the interconnection trunk system (STI) with the incorporation of the "Adaptation of the Urubó 230 kV Substation busbar"; and approves the value of the STEA for USD 386.675,53 (Three hundred and eighty six thousand six hundred and seventy five 53/100)</t>
    </r>
  </si>
  <si>
    <r>
      <rPr>
        <sz val="11"/>
        <color rgb="FF000000"/>
        <rFont val="Calibri"/>
        <family val="2"/>
      </rPr>
      <t>Resolution AE_568-2018</t>
    </r>
  </si>
  <si>
    <r>
      <rPr>
        <u/>
        <sz val="11"/>
        <color rgb="FF0563C1"/>
        <rFont val="Calibri"/>
        <family val="2"/>
      </rPr>
      <t>https://srvdocs.aetn.gob.bo/ae/resolucion/2018/AE_R_568_18.pdf</t>
    </r>
  </si>
  <si>
    <r>
      <rPr>
        <sz val="11"/>
        <color rgb="FF000000"/>
        <rFont val="Calibri"/>
        <family val="2"/>
      </rPr>
      <t>Specific - Expansion of facilities - 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</si>
  <si>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Accepts ISA BOLIVIA S.A.'s request to implement the "Busbar expansion, Sucre 115 kV Substation Yard 230/115/69" to transfer part of the load of the Sucre 69 kV Node to the Sucre 115 kV Node to address CESSA's increasing demand, and approves the value of the STEA for USD 281.149,11</t>
    </r>
  </si>
  <si>
    <r>
      <rPr>
        <sz val="11"/>
        <color rgb="FF000000"/>
        <rFont val="Calibri"/>
        <family val="2"/>
      </rPr>
      <t>Resolution AE_R_DLG_611_13</t>
    </r>
  </si>
  <si>
    <r>
      <rPr>
        <u/>
        <sz val="11"/>
        <color rgb="FF0563C1"/>
        <rFont val="Calibri"/>
        <family val="2"/>
      </rPr>
      <t>https://srvdocs.aetn.gob.bo/ae/resolucion/2013/AE_R_DLG_611_13.pdf</t>
    </r>
  </si>
  <si>
    <r>
      <rPr>
        <sz val="11"/>
        <color rgb="FF000000"/>
        <rFont val="Calibri"/>
        <family val="2"/>
      </rPr>
      <t>Specific - Expansion of facilities - 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</si>
  <si>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Accepts Interconexión Eléctrica ISA Bolivia S.A. (ISA BOLIVIA)'s request to incorporate the "Expansion of Sucre ATR (Third-party Access) 230/115 kV Substation" project to enable the connection of the Sucre-Padilla 115 kV TL that covers part of the demand at the rural areas in Sucre, preventing capacity limit rationing at the current 24,9 kV Line; also, approves the expansion of the Interconnection Trunk System (STI) by incorporating the "Expansion of the Sucre ATR 230/115 kV Substation" project property of ISA Bolivia for an investment amount in the economically adapted transmission system (STEA) of USD</t>
    </r>
    <r>
      <rPr>
        <sz val="11"/>
        <color rgb="FF000000"/>
        <rFont val="Calibri"/>
        <family val="2"/>
      </rPr>
      <t xml:space="preserve"> </t>
    </r>
    <r>
      <rPr>
        <sz val="11"/>
        <color rgb="FF000000"/>
        <rFont val="Calibri"/>
        <family val="2"/>
      </rPr>
      <t>8.003.109,78.- (Eight million three thousand one hundred and nine 78/100 US dollars).</t>
    </r>
    <r>
      <rPr>
        <sz val="11"/>
        <color rgb="FF000000"/>
        <rFont val="Calibri"/>
        <family val="2"/>
      </rPr>
      <t xml:space="preserve">  </t>
    </r>
  </si>
  <si>
    <r>
      <rPr>
        <sz val="11"/>
        <color rgb="FF000000"/>
        <rFont val="Calibri"/>
        <family val="2"/>
      </rPr>
      <t>Resolution SSDE_326-06</t>
    </r>
  </si>
  <si>
    <r>
      <rPr>
        <u/>
        <sz val="11"/>
        <color rgb="FF0563C1"/>
        <rFont val="Calibri"/>
        <family val="2"/>
      </rPr>
      <t>https://srvdocs.aetn.gob.bo/sde/resolucion_sde//SSDE_326-06.pdf</t>
    </r>
  </si>
  <si>
    <r>
      <rPr>
        <sz val="11"/>
        <color rgb="FF000000"/>
        <rFont val="Calibri"/>
        <family val="2"/>
      </rPr>
      <t xml:space="preserve">Specific - Expansion of facilities - Extends the transmission license granted to Interconexión electrica ISA Bolivia S.A. by Resolution 114/2003 of July 31, 2003 and amended by Resolutions SSDE 191/2004 and SSDE 320/2006 through the incorporation of a transmission component at the Urubó 230 kV Substation reactor. </t>
    </r>
  </si>
  <si>
    <r>
      <rPr>
        <sz val="11"/>
        <color rgb="FF000000"/>
        <rFont val="Calibri"/>
        <family val="2"/>
      </rPr>
      <t>Extends the transmission license granted to Interconexión electrica ISA Bolivia S.A. by Resolution 114/2003 of July 31, 2003 and amended by Resolutions SSDE 191/2004 and SSDE 320/2006 through the incorporation of a transmission component at the Urubó 230 kV Substation reactor.</t>
    </r>
  </si>
  <si>
    <r>
      <rPr>
        <sz val="11"/>
        <color rgb="FF000000"/>
        <rFont val="Calibri"/>
        <family val="2"/>
      </rPr>
      <t>Resolution SSDE_172-06</t>
    </r>
  </si>
  <si>
    <r>
      <rPr>
        <u/>
        <sz val="11"/>
        <color rgb="FF0563C1"/>
        <rFont val="Calibri"/>
        <family val="2"/>
      </rPr>
      <t>https://srvdocs.aetn.gob.bo/sde/resolucion_sde//SSDE_172-06.pdf</t>
    </r>
  </si>
  <si>
    <r>
      <rPr>
        <sz val="11"/>
        <color rgb="FF000000"/>
        <rFont val="Calibri"/>
        <family val="2"/>
      </rPr>
      <t>Specific - Expansion of facilities - 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</si>
  <si>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Approves the expansion of the Interconnection Trunk System (STI) through the incorporation of a coupling bay at the Punutuma substation.</t>
    </r>
    <r>
      <rPr>
        <sz val="11"/>
        <color rgb="FF000000"/>
        <rFont val="Calibri"/>
        <family val="2"/>
      </rPr>
      <t xml:space="preserve"> </t>
    </r>
    <r>
      <rPr>
        <sz val="11"/>
        <color rgb="FF000000"/>
        <rFont val="Calibri"/>
        <family val="2"/>
      </rPr>
      <t>The value to be recognized for the STEA is USD 1.083.704,48</t>
    </r>
  </si>
  <si>
    <r>
      <rPr>
        <sz val="11"/>
        <color rgb="FF000000"/>
        <rFont val="Calibri"/>
        <family val="2"/>
      </rPr>
      <t>Resolution SSDE_333-07</t>
    </r>
  </si>
  <si>
    <r>
      <rPr>
        <u/>
        <sz val="11"/>
        <color rgb="FF0563C1"/>
        <rFont val="Calibri"/>
        <family val="2"/>
      </rPr>
      <t>https://srvdocs.aetn.gob.bo/sde/resolucion_sde//SSDE_333-07.pdf</t>
    </r>
  </si>
  <si>
    <r>
      <rPr>
        <sz val="11"/>
        <color rgb="FF000000"/>
        <rFont val="Calibri"/>
        <family val="2"/>
      </rPr>
      <t>Resolution SSDE 114-03</t>
    </r>
  </si>
  <si>
    <r>
      <rPr>
        <u/>
        <sz val="11"/>
        <color rgb="FF0563C1"/>
        <rFont val="Calibri"/>
        <family val="2"/>
      </rPr>
      <t>https://srvdocs.aetn.gob.bo/sde/resolucion_sde//SSDE_114-03.pdf</t>
    </r>
  </si>
  <si>
    <r>
      <rPr>
        <sz val="11"/>
        <color rgb="FF000000"/>
        <rFont val="Calibri"/>
        <family val="2"/>
      </rPr>
      <t>All controlled companies (market companies)</t>
    </r>
  </si>
  <si>
    <r>
      <rPr>
        <sz val="11"/>
        <color rgb="FF000000"/>
        <rFont val="Calibri"/>
        <family val="2"/>
      </rPr>
      <t>General Law of Energy Services</t>
    </r>
  </si>
  <si>
    <r>
      <rPr>
        <sz val="11"/>
        <color rgb="FF000000"/>
        <rFont val="Calibri"/>
        <family val="2"/>
      </rPr>
      <t>Ministry of Energy</t>
    </r>
  </si>
  <si>
    <r>
      <rPr>
        <u/>
        <sz val="11"/>
        <color rgb="FF0563C1"/>
        <rFont val="Calibri"/>
        <family val="2"/>
      </rPr>
      <t>https://www.bcn.cl/leychile/navegar?idNorma=258171</t>
    </r>
  </si>
  <si>
    <r>
      <rPr>
        <sz val="11"/>
        <color rgb="FF000000"/>
        <rFont val="Calibri"/>
        <family val="2"/>
      </rPr>
      <t>General - General law applied to the energy market in Chile</t>
    </r>
  </si>
  <si>
    <r>
      <rPr>
        <sz val="11"/>
        <color rgb="FF000000"/>
        <rFont val="Calibri"/>
        <family val="2"/>
      </rPr>
      <t>Law 21.249</t>
    </r>
  </si>
  <si>
    <r>
      <rPr>
        <u/>
        <sz val="11"/>
        <color rgb="FF0563C1"/>
        <rFont val="Calibri"/>
        <family val="2"/>
      </rPr>
      <t>https://www.bcn.cl/leychile/navegar?idNorma=1148163</t>
    </r>
  </si>
  <si>
    <r>
      <rPr>
        <sz val="11"/>
        <color rgb="FF000000"/>
        <rFont val="Calibri"/>
        <family val="2"/>
      </rPr>
      <t>General - Exceptional measures in favor of end users of health, energy and network gas services</t>
    </r>
  </si>
  <si>
    <r>
      <rPr>
        <sz val="11"/>
        <color rgb="FF000000"/>
        <rFont val="Calibri"/>
        <family val="2"/>
      </rPr>
      <t>Interchile</t>
    </r>
  </si>
  <si>
    <r>
      <rPr>
        <sz val="11"/>
        <color rgb="FF000000"/>
        <rFont val="Calibri"/>
        <family val="2"/>
      </rPr>
      <t>Decree 109</t>
    </r>
  </si>
  <si>
    <r>
      <rPr>
        <u/>
        <sz val="11"/>
        <color rgb="FF0563C1"/>
        <rFont val="Calibri"/>
        <family val="2"/>
      </rPr>
      <t>https://www.bcn.cl/leychile/navegar?idNorma=1048159</t>
    </r>
  </si>
  <si>
    <r>
      <rPr>
        <sz val="11"/>
        <color rgb="FF000000"/>
        <rFont val="Calibri"/>
        <family val="2"/>
      </rPr>
      <t>Specific - Determines the company awarded the rights to develop and execute the new works called "Cardones - Maitencillo 2 x 500 kV New Line," "Maitencillo - Pan de azúcar 2 x 500 kV New Line," and "Pan de azúcar - Polpaico 2 x 500 kV New Line" in the trunk transmission system of the Central interconnected system-P1</t>
    </r>
  </si>
  <si>
    <r>
      <rPr>
        <sz val="11"/>
        <color rgb="FF000000"/>
        <rFont val="Calibri"/>
        <family val="2"/>
      </rPr>
      <t>Decree 13T</t>
    </r>
  </si>
  <si>
    <r>
      <rPr>
        <u/>
        <sz val="11"/>
        <color rgb="FF0563C1"/>
        <rFont val="Calibri"/>
        <family val="2"/>
      </rPr>
      <t>https://www.bcn.cl/leychile/navegar?idNorma=1074375</t>
    </r>
  </si>
  <si>
    <r>
      <rPr>
        <sz val="11"/>
        <color rgb="FF000000"/>
        <rFont val="Calibri"/>
        <family val="2"/>
      </rPr>
      <t>Specific - Determines the company awarded the rights to develop and execute the new works called "Nueva Cardones 500/220 kV 750 MVA Substation autotransformer bank," "Nueva Maitencillo 500/220 kV 750 MVA Substation autotransformer bank," and "Nueva Pan de azúcar 500/220 kV 750 MVA Substation autotransformer bank" in the trunk transmission system of the Central interconnected system to the awarded company indicated in P4</t>
    </r>
  </si>
  <si>
    <r>
      <rPr>
        <sz val="11"/>
        <color rgb="FF000000"/>
        <rFont val="Calibri"/>
        <family val="2"/>
      </rPr>
      <t>Decree 5T</t>
    </r>
  </si>
  <si>
    <r>
      <rPr>
        <u/>
        <sz val="11"/>
        <color rgb="FF0563C1"/>
        <rFont val="Calibri"/>
        <family val="2"/>
      </rPr>
      <t>https://www.bcn.cl/leychile/navegar?idNorma=1055239</t>
    </r>
  </si>
  <si>
    <r>
      <rPr>
        <sz val="11"/>
        <color rgb="FF000000"/>
        <rFont val="Calibri"/>
        <family val="2"/>
      </rPr>
      <t>Specific - Determines the company awarded the rights to develop and execute the new works called "Encuentro 2x220 kV - Lagunas first circuit" in the trunk transmission system of Norte Grande-P2</t>
    </r>
  </si>
  <si>
    <r>
      <rPr>
        <sz val="11"/>
        <color rgb="FF000000"/>
        <rFont val="Calibri"/>
        <family val="2"/>
      </rPr>
      <t>Decree 9T</t>
    </r>
  </si>
  <si>
    <r>
      <rPr>
        <u/>
        <sz val="11"/>
        <color rgb="FF0563C1"/>
        <rFont val="Calibri"/>
        <family val="2"/>
      </rPr>
      <t>https://www.bcn.cl/leychile/navegar?idNorma=1114702</t>
    </r>
  </si>
  <si>
    <r>
      <rPr>
        <sz val="11"/>
        <color rgb="FF000000"/>
        <rFont val="Calibri"/>
        <family val="2"/>
      </rPr>
      <t>Specific - Sets rights and conditions of execution and development of the new works called "New 1x750 MVA 500/220 kV autotransformer bank in Nueva Cardones, Nueva Maitencillo, and Nueva Pan de azúcar Substations" belonging to the national transmission system to the awarded company indicated in P7</t>
    </r>
  </si>
  <si>
    <r>
      <rPr>
        <sz val="11"/>
        <color rgb="FF000000"/>
        <rFont val="Calibri"/>
        <family val="2"/>
      </rPr>
      <t>Decree 201</t>
    </r>
  </si>
  <si>
    <r>
      <rPr>
        <u/>
        <sz val="11"/>
        <color rgb="FF0563C1"/>
        <rFont val="Calibri"/>
        <family val="2"/>
      </rPr>
      <t>https://www.bcn.cl/leychile/navegar?idNorma=1063209</t>
    </r>
  </si>
  <si>
    <r>
      <rPr>
        <sz val="11"/>
        <color rgb="FF000000"/>
        <rFont val="Calibri"/>
        <family val="2"/>
      </rPr>
      <t>General - Sets the trunk transmission system expansion plan for the next twelve months and sets benchmark investment value for new bidding process related to the works indicated in P3</t>
    </r>
  </si>
  <si>
    <r>
      <rPr>
        <sz val="11"/>
        <color rgb="FF000000"/>
        <rFont val="Calibri"/>
        <family val="2"/>
      </rPr>
      <t>Decree 373</t>
    </r>
  </si>
  <si>
    <r>
      <rPr>
        <u/>
        <sz val="11"/>
        <color rgb="FF0563C1"/>
        <rFont val="Calibri"/>
        <family val="2"/>
      </rPr>
      <t>https://www.bcn.cl/leychile/navegar?idNorma=1090691</t>
    </r>
  </si>
  <si>
    <r>
      <rPr>
        <sz val="11"/>
        <color rgb="FF000000"/>
        <rFont val="Calibri"/>
        <family val="2"/>
      </rPr>
      <t>General - Sets the trunk transmission system expansion plan for the next twelve months-P6</t>
    </r>
  </si>
  <si>
    <r>
      <rPr>
        <sz val="11"/>
        <color rgb="FF000000"/>
        <rFont val="Calibri"/>
        <family val="2"/>
      </rPr>
      <t>Decree 422</t>
    </r>
  </si>
  <si>
    <r>
      <rPr>
        <u/>
        <sz val="11"/>
        <color rgb="FF0563C1"/>
        <rFont val="Calibri"/>
        <family val="2"/>
      </rPr>
      <t>https://www.bcn.cl/leychile/navegar?idNorma=1106728</t>
    </r>
  </si>
  <si>
    <r>
      <rPr>
        <sz val="11"/>
        <color rgb="FF000000"/>
        <rFont val="Calibri"/>
        <family val="2"/>
      </rPr>
      <t>General - Sets the trunk transmission system expansion plan for the next twelve months-P8</t>
    </r>
  </si>
  <si>
    <r>
      <rPr>
        <sz val="11"/>
        <color rgb="FF000000"/>
        <rFont val="Calibri"/>
        <family val="2"/>
      </rPr>
      <t>Decree 198</t>
    </r>
  </si>
  <si>
    <r>
      <rPr>
        <u/>
        <sz val="11"/>
        <color rgb="FF0563C1"/>
        <rFont val="Calibri"/>
        <family val="2"/>
      </rPr>
      <t>https://www.bcn.cl/leychile/navegar?idNorma=1134824</t>
    </r>
  </si>
  <si>
    <r>
      <rPr>
        <sz val="11"/>
        <color rgb="FF000000"/>
        <rFont val="Calibri"/>
        <family val="2"/>
      </rPr>
      <t>General - Sets expansion works for the national and regional transmission systems, which must begin their bidding process in the following twelve months, corresponding to the 2018 expansion plan</t>
    </r>
  </si>
  <si>
    <r>
      <rPr>
        <sz val="11"/>
        <color rgb="FF000000"/>
        <rFont val="Calibri"/>
        <family val="2"/>
      </rPr>
      <t>Resolution 272</t>
    </r>
  </si>
  <si>
    <r>
      <rPr>
        <sz val="11"/>
        <color rgb="FF000000"/>
        <rFont val="Calibri"/>
        <family val="2"/>
      </rPr>
      <t>National Energy Commission</t>
    </r>
  </si>
  <si>
    <r>
      <rPr>
        <u/>
        <sz val="11"/>
        <color rgb="FF0563C1"/>
        <rFont val="Calibri"/>
        <family val="2"/>
      </rPr>
      <t>https://www.cne.cl/wp-content/uploads/2019/04/RE-CNE-N%C2%B0272-26.04.2019-Bases-Definitivas-Valorizacio%CC%81n-2020-2023.pdf</t>
    </r>
  </si>
  <si>
    <r>
      <rPr>
        <sz val="11"/>
        <color rgb="FF000000"/>
        <rFont val="Calibri"/>
        <family val="2"/>
      </rPr>
      <t xml:space="preserve">General - Rate applied in the 2020-2023 valuation process </t>
    </r>
  </si>
  <si>
    <r>
      <rPr>
        <sz val="11"/>
        <color rgb="FF000000"/>
        <rFont val="Calibri"/>
        <family val="2"/>
      </rPr>
      <t>Energy transmission companies</t>
    </r>
  </si>
  <si>
    <r>
      <rPr>
        <sz val="11"/>
        <color rgb="FF000000"/>
        <rFont val="Calibri"/>
        <family val="2"/>
      </rPr>
      <t>Ordinary Document No. 71</t>
    </r>
  </si>
  <si>
    <r>
      <rPr>
        <u/>
        <sz val="11"/>
        <color rgb="FF0563C1"/>
        <rFont val="Calibri"/>
        <family val="2"/>
      </rPr>
      <t>https://www.cne.cl/wp-content/uploads/2019/05/2018-02-02-CNE-OF-ORD-N71.pdf</t>
    </r>
  </si>
  <si>
    <r>
      <rPr>
        <sz val="11"/>
        <color rgb="FF000000"/>
        <rFont val="Calibri"/>
        <family val="2"/>
      </rPr>
      <t>General - Transmission database for pricing</t>
    </r>
  </si>
  <si>
    <r>
      <rPr>
        <sz val="11"/>
        <color rgb="FF000000"/>
        <rFont val="Calibri"/>
        <family val="2"/>
      </rPr>
      <t>Supreme Decree 10</t>
    </r>
  </si>
  <si>
    <r>
      <rPr>
        <u/>
        <sz val="11"/>
        <color rgb="FF0563C1"/>
        <rFont val="Calibri"/>
        <family val="2"/>
      </rPr>
      <t>https://www.cne.cl/wp-content/uploads/2020/06/Reglamento-Calificacion-instalaciones-Transmision-13062020.pdf</t>
    </r>
  </si>
  <si>
    <r>
      <rPr>
        <sz val="11"/>
        <color rgb="FF000000"/>
        <rFont val="Calibri"/>
        <family val="2"/>
      </rPr>
      <t>General - Approves regulations for the qualification, valuation, pricing, and remuneration of transmission facilities</t>
    </r>
  </si>
  <si>
    <r>
      <rPr>
        <b/>
        <sz val="20"/>
        <color rgb="FF000000"/>
        <rFont val="Calibri"/>
        <family val="2"/>
      </rPr>
      <t>Main regulations and contracts associated with Energy Transport REMUNERATION</t>
    </r>
  </si>
  <si>
    <r>
      <rPr>
        <b/>
        <sz val="12"/>
        <color rgb="FF003087"/>
        <rFont val="Tahoma"/>
        <family val="2"/>
      </rPr>
      <t>SEPARATE INCOME STATEMENT - CONSORCIO TRANSMANTARO</t>
    </r>
  </si>
  <si>
    <r>
      <rPr>
        <b/>
        <sz val="12"/>
        <color rgb="FF003087"/>
        <rFont val="Tahoma"/>
        <family val="2"/>
      </rPr>
      <t>SEPARATE STATEMENT OF FINANCIAL POSITION - CONSORCIO TRANSMANTARO</t>
    </r>
  </si>
  <si>
    <r>
      <rPr>
        <b/>
        <sz val="12"/>
        <color rgb="FF003087"/>
        <rFont val="Tahoma"/>
        <family val="2"/>
      </rPr>
      <t>SEPARATE INCOME STATEMENT - ISA REP</t>
    </r>
  </si>
  <si>
    <r>
      <rPr>
        <b/>
        <sz val="12"/>
        <color rgb="FF003087"/>
        <rFont val="Tahoma"/>
        <family val="2"/>
      </rPr>
      <t>SEPARATE STATEMENT OF FINANCIAL POSITION - ISA INTERCOLOMBIA</t>
    </r>
  </si>
  <si>
    <r>
      <rPr>
        <b/>
        <sz val="12"/>
        <color rgb="FF003087"/>
        <rFont val="Tahoma"/>
        <family val="2"/>
      </rPr>
      <t>SEPARATE STATEMENT OF FINANCIAL POSITION - ISA REP</t>
    </r>
  </si>
  <si>
    <r>
      <rPr>
        <b/>
        <sz val="12"/>
        <color rgb="FF003087"/>
        <rFont val="Tahoma"/>
        <family val="2"/>
      </rPr>
      <t>SEPARATE STATEMENT OF FINANCIAL POSITION - ISA PERÚ</t>
    </r>
  </si>
  <si>
    <t>□</t>
  </si>
  <si>
    <t>-</t>
  </si>
  <si>
    <r>
      <rPr>
        <b/>
        <sz val="12"/>
        <color rgb="FF000000"/>
        <rFont val="Tahoma"/>
        <family val="2"/>
      </rPr>
      <t>SEPARATE INCOME STATEMENT - ISA INTERCHILE</t>
    </r>
  </si>
  <si>
    <r>
      <rPr>
        <i/>
        <sz val="10"/>
        <color rgb="FF808080"/>
        <rFont val="Tahoma"/>
        <family val="2"/>
      </rPr>
      <t>Figures in USD millions</t>
    </r>
  </si>
  <si>
    <r>
      <rPr>
        <b/>
        <sz val="12"/>
        <color rgb="FF003087"/>
        <rFont val="Tahoma"/>
        <family val="2"/>
      </rPr>
      <t>SEPARATE STATEMENT OF FINANCIAL POSITION - ISA INTERCHILE</t>
    </r>
  </si>
  <si>
    <r>
      <rPr>
        <b/>
        <sz val="12"/>
        <color rgb="FF000000"/>
        <rFont val="Tahoma"/>
        <family val="2"/>
      </rPr>
      <t>INCOME STATEMENT  - RUTA DEL MAIPO</t>
    </r>
  </si>
  <si>
    <r>
      <rPr>
        <i/>
        <sz val="10"/>
        <color rgb="FF808080"/>
        <rFont val="Tahoma"/>
        <family val="2"/>
      </rPr>
      <t>Figures in CLP millions</t>
    </r>
  </si>
  <si>
    <r>
      <rPr>
        <sz val="11"/>
        <color rgb="FF808080"/>
        <rFont val="Tahoma"/>
        <family val="2"/>
      </rPr>
      <t>Revenues from road operation services</t>
    </r>
  </si>
  <si>
    <r>
      <rPr>
        <sz val="11"/>
        <color rgb="FF808080"/>
        <rFont val="Tahoma"/>
        <family val="2"/>
      </rPr>
      <t>Financial returns from concession asset</t>
    </r>
  </si>
  <si>
    <r>
      <rPr>
        <b/>
        <sz val="12"/>
        <color rgb="FF000000"/>
        <rFont val="Tahoma"/>
        <family val="2"/>
      </rPr>
      <t>INCOME STATEMENT  - RUTA DE LA ARAUCANÍA</t>
    </r>
  </si>
  <si>
    <r>
      <rPr>
        <b/>
        <sz val="12"/>
        <color rgb="FF000000"/>
        <rFont val="Tahoma"/>
        <family val="2"/>
      </rPr>
      <t>SEPARATE STATEMENT OF FINANCIAL POSITION-RUTA DEL MAIPO</t>
    </r>
  </si>
  <si>
    <r>
      <rPr>
        <b/>
        <sz val="12"/>
        <color rgb="FF000000"/>
        <rFont val="Tahoma"/>
        <family val="2"/>
      </rPr>
      <t>SEPARATE STATEMENT OF FINANCIAL POSITION-RUTA DE LA ARAUCANÍA</t>
    </r>
  </si>
  <si>
    <r>
      <rPr>
        <b/>
        <sz val="12"/>
        <color rgb="FF000000"/>
        <rFont val="Tahoma"/>
        <family val="2"/>
      </rPr>
      <t>INCOME STATEMENT  - RUTA DEL BOSQUE</t>
    </r>
  </si>
  <si>
    <r>
      <rPr>
        <b/>
        <sz val="12"/>
        <color rgb="FF000000"/>
        <rFont val="Tahoma"/>
        <family val="2"/>
      </rPr>
      <t>SEPARATE STATEMENT OF FINANCIAL POSITION-RUTA DEL BOSQUE</t>
    </r>
  </si>
  <si>
    <r>
      <rPr>
        <b/>
        <sz val="12"/>
        <color rgb="FF000000"/>
        <rFont val="Tahoma"/>
        <family val="2"/>
      </rPr>
      <t>INCOME STATEMENT  - RUTA DEL MAULE</t>
    </r>
  </si>
  <si>
    <r>
      <rPr>
        <b/>
        <sz val="12"/>
        <color rgb="FF000000"/>
        <rFont val="Tahoma"/>
        <family val="2"/>
      </rPr>
      <t>SEPARATE STATEMENT OF FINANCIAL POSITION-RUTA DEL MAULE</t>
    </r>
  </si>
  <si>
    <r>
      <rPr>
        <b/>
        <sz val="12"/>
        <color rgb="FF000000"/>
        <rFont val="Tahoma"/>
        <family val="2"/>
      </rPr>
      <t>INCOME STATEMENT  - RUTA DE LOS RÍOS</t>
    </r>
  </si>
  <si>
    <r>
      <rPr>
        <b/>
        <sz val="12"/>
        <color rgb="FF000000"/>
        <rFont val="Tahoma"/>
        <family val="2"/>
      </rPr>
      <t>SEPARATE STATEMENT OF FINANCIAL POSITION-RUTA DE LOS RÍOS</t>
    </r>
  </si>
  <si>
    <r>
      <rPr>
        <b/>
        <sz val="11"/>
        <color rgb="FF000000"/>
        <rFont val="Calibri"/>
        <family val="2"/>
      </rPr>
      <t>2017/2018</t>
    </r>
  </si>
  <si>
    <r>
      <rPr>
        <b/>
        <sz val="11"/>
        <color rgb="FF000000"/>
        <rFont val="Calibri"/>
        <family val="2"/>
      </rPr>
      <t>2018/2019</t>
    </r>
  </si>
  <si>
    <r>
      <rPr>
        <b/>
        <sz val="11"/>
        <color rgb="FF000000"/>
        <rFont val="Calibri"/>
        <family val="2"/>
      </rPr>
      <t>2019/2020</t>
    </r>
  </si>
  <si>
    <r>
      <rPr>
        <b/>
        <sz val="11"/>
        <color rgb="FF000000"/>
        <rFont val="Calibri"/>
        <family val="2"/>
      </rPr>
      <t>2020/2021</t>
    </r>
  </si>
  <si>
    <r>
      <rPr>
        <b/>
        <sz val="11"/>
        <color rgb="FF000000"/>
        <rFont val="Calibri"/>
        <family val="2"/>
      </rPr>
      <t>2021/2022</t>
    </r>
  </si>
  <si>
    <r>
      <rPr>
        <b/>
        <sz val="11"/>
        <color rgb="FF000000"/>
        <rFont val="Calibri"/>
        <family val="2"/>
      </rPr>
      <t>2022/2023</t>
    </r>
  </si>
  <si>
    <r>
      <rPr>
        <b/>
        <sz val="11"/>
        <color rgb="FF000000"/>
        <rFont val="Calibri"/>
        <family val="2"/>
      </rPr>
      <t>2023/2024</t>
    </r>
  </si>
  <si>
    <r>
      <rPr>
        <b/>
        <sz val="11"/>
        <color rgb="FF000000"/>
        <rFont val="Calibri"/>
        <family val="2"/>
      </rPr>
      <t>2024/2025</t>
    </r>
  </si>
  <si>
    <r>
      <rPr>
        <b/>
        <sz val="11"/>
        <color rgb="FF000000"/>
        <rFont val="Calibri"/>
        <family val="2"/>
      </rPr>
      <t>2025/2026</t>
    </r>
  </si>
  <si>
    <r>
      <rPr>
        <b/>
        <sz val="11"/>
        <color rgb="FF000000"/>
        <rFont val="Calibri"/>
        <family val="2"/>
      </rPr>
      <t>2026/2027</t>
    </r>
  </si>
  <si>
    <r>
      <rPr>
        <b/>
        <sz val="11"/>
        <color rgb="FF000000"/>
        <rFont val="Calibri"/>
        <family val="2"/>
      </rPr>
      <t>2027/2028</t>
    </r>
  </si>
  <si>
    <r>
      <rPr>
        <b/>
        <sz val="11"/>
        <color rgb="FF000000"/>
        <rFont val="Calibri"/>
        <family val="2"/>
      </rPr>
      <t>2028/2029</t>
    </r>
  </si>
  <si>
    <r>
      <rPr>
        <b/>
        <sz val="11"/>
        <color rgb="FF000000"/>
        <rFont val="Calibri"/>
        <family val="2"/>
      </rPr>
      <t>2029/2030</t>
    </r>
  </si>
  <si>
    <r>
      <rPr>
        <b/>
        <sz val="11"/>
        <color rgb="FF000000"/>
        <rFont val="Calibri"/>
        <family val="2"/>
      </rPr>
      <t>2030/2031</t>
    </r>
  </si>
  <si>
    <r>
      <rPr>
        <b/>
        <sz val="11"/>
        <color rgb="FF000000"/>
        <rFont val="Calibri"/>
        <family val="2"/>
      </rPr>
      <t>2031/2032</t>
    </r>
  </si>
  <si>
    <r>
      <rPr>
        <b/>
        <sz val="11"/>
        <color rgb="FF000000"/>
        <rFont val="Calibri"/>
        <family val="2"/>
      </rPr>
      <t>2032/2033</t>
    </r>
  </si>
  <si>
    <r>
      <rPr>
        <sz val="11"/>
        <color rgb="FF000000"/>
        <rFont val="Calibri"/>
        <family val="2"/>
      </rPr>
      <t>Ke (BRL millions)</t>
    </r>
  </si>
  <si>
    <r>
      <rPr>
        <sz val="11"/>
        <color rgb="FF000000"/>
        <rFont val="Calibri"/>
        <family val="2"/>
      </rPr>
      <t>Financial Component ex-Ke (BRL millions)</t>
    </r>
  </si>
  <si>
    <r>
      <rPr>
        <sz val="11"/>
        <color rgb="FF000000"/>
        <rFont val="Calibri"/>
        <family val="2"/>
      </rPr>
      <t>Economic Component (BRL millions)</t>
    </r>
  </si>
  <si>
    <r>
      <rPr>
        <sz val="11"/>
        <color rgb="FF000000"/>
        <rFont val="Calibri"/>
        <family val="2"/>
      </rPr>
      <t>Total (BRL millions)</t>
    </r>
  </si>
  <si>
    <r>
      <rPr>
        <u/>
        <sz val="11"/>
        <color rgb="FF0563C1"/>
        <rFont val="Calibri"/>
        <family val="2"/>
      </rPr>
      <t>RBSE</t>
    </r>
  </si>
  <si>
    <r>
      <rPr>
        <b/>
        <sz val="11"/>
        <color rgb="FFFFFFFF"/>
        <rFont val="Tahoma"/>
        <family val="2"/>
      </rPr>
      <t>3Q20</t>
    </r>
  </si>
  <si>
    <r>
      <rPr>
        <sz val="11"/>
        <color rgb="FF808080"/>
        <rFont val="Tahoma"/>
        <family val="2"/>
      </rPr>
      <t>Connection charges</t>
    </r>
  </si>
  <si>
    <r>
      <rPr>
        <sz val="11"/>
        <color rgb="FF4D4D4D"/>
        <rFont val="Tahoma"/>
        <family val="2"/>
      </rPr>
      <t>Other financial assets</t>
    </r>
  </si>
  <si>
    <r>
      <rPr>
        <sz val="11"/>
        <color rgb="FF4D4D4D"/>
        <rFont val="Tahoma"/>
        <family val="2"/>
      </rPr>
      <t>Joint Accounts Contract</t>
    </r>
  </si>
  <si>
    <r>
      <rPr>
        <sz val="12"/>
        <color rgb="FF4D4D4D"/>
        <rFont val="Tahoma"/>
        <family val="2"/>
      </rPr>
      <t>In BRL thousands</t>
    </r>
  </si>
  <si>
    <r>
      <rPr>
        <sz val="12"/>
        <color rgb="FF4D4D4D"/>
        <rFont val="Tahoma"/>
        <family val="2"/>
      </rPr>
      <t>In USD thousands</t>
    </r>
  </si>
  <si>
    <r>
      <rPr>
        <sz val="11"/>
        <color rgb="FF808080"/>
        <rFont val="Tahoma"/>
        <family val="2"/>
      </rPr>
      <t>Cash and cash equivalents</t>
    </r>
  </si>
  <si>
    <r>
      <rPr>
        <sz val="11"/>
        <color rgb="FF808080"/>
        <rFont val="Tahoma"/>
        <family val="2"/>
      </rPr>
      <t>Trade accounts receivable</t>
    </r>
  </si>
  <si>
    <r>
      <rPr>
        <sz val="11"/>
        <color rgb="FF808080"/>
        <rFont val="Tahoma"/>
        <family val="2"/>
      </rPr>
      <t>Other accounts receivable</t>
    </r>
  </si>
  <si>
    <r>
      <rPr>
        <sz val="11"/>
        <color rgb="FF808080"/>
        <rFont val="Tahoma"/>
        <family val="2"/>
      </rPr>
      <t>Inventories</t>
    </r>
  </si>
  <si>
    <r>
      <rPr>
        <sz val="11"/>
        <color rgb="FF808080"/>
        <rFont val="Tahoma"/>
        <family val="2"/>
      </rPr>
      <t>Other financial assets</t>
    </r>
  </si>
  <si>
    <r>
      <rPr>
        <sz val="11"/>
        <color rgb="FF808080"/>
        <rFont val="Tahoma"/>
        <family val="2"/>
      </rPr>
      <t>Property, plant, and equipment - net</t>
    </r>
  </si>
  <si>
    <r>
      <rPr>
        <sz val="11"/>
        <color rgb="FF808080"/>
        <rFont val="Tahoma"/>
        <family val="2"/>
      </rPr>
      <t>Intangible assets - net</t>
    </r>
  </si>
  <si>
    <r>
      <rPr>
        <sz val="11"/>
        <color rgb="FF808080"/>
        <rFont val="Tahoma"/>
        <family val="2"/>
      </rPr>
      <t>Non-financial assets</t>
    </r>
  </si>
  <si>
    <r>
      <rPr>
        <sz val="11"/>
        <color rgb="FF808080"/>
        <rFont val="Tahoma"/>
        <family val="2"/>
      </rPr>
      <t>Deferred tax</t>
    </r>
  </si>
  <si>
    <r>
      <rPr>
        <sz val="11"/>
        <color rgb="FF808080"/>
        <rFont val="Tahoma"/>
        <family val="2"/>
      </rPr>
      <t>Finance lease assets - net</t>
    </r>
  </si>
  <si>
    <r>
      <rPr>
        <sz val="11"/>
        <color rgb="FF808080"/>
        <rFont val="Tahoma"/>
        <family val="2"/>
      </rPr>
      <t>Loans receivable from related parties</t>
    </r>
  </si>
  <si>
    <r>
      <rPr>
        <sz val="11"/>
        <color rgb="FF808080"/>
        <rFont val="Tahoma"/>
        <family val="2"/>
      </rPr>
      <t>Trade accounts payable</t>
    </r>
  </si>
  <si>
    <r>
      <rPr>
        <sz val="11"/>
        <color rgb="FF808080"/>
        <rFont val="Tahoma"/>
        <family val="2"/>
      </rPr>
      <t>Other accounts payable</t>
    </r>
  </si>
  <si>
    <r>
      <rPr>
        <sz val="11"/>
        <color rgb="FF808080"/>
        <rFont val="Tahoma"/>
        <family val="2"/>
      </rPr>
      <t>Provisions</t>
    </r>
  </si>
  <si>
    <r>
      <rPr>
        <sz val="11"/>
        <color rgb="FF808080"/>
        <rFont val="Tahoma"/>
        <family val="2"/>
      </rPr>
      <t>Deferred tax liability</t>
    </r>
  </si>
  <si>
    <r>
      <rPr>
        <sz val="11"/>
        <color rgb="FF808080"/>
        <rFont val="Tahoma"/>
        <family val="2"/>
      </rPr>
      <t>Subscribed and paid-in capital</t>
    </r>
  </si>
  <si>
    <r>
      <rPr>
        <sz val="11"/>
        <color rgb="FF808080"/>
        <rFont val="Tahoma"/>
        <family val="2"/>
      </rPr>
      <t>Premium for placement of shares</t>
    </r>
  </si>
  <si>
    <r>
      <rPr>
        <sz val="11"/>
        <color rgb="FF808080"/>
        <rFont val="Tahoma"/>
        <family val="2"/>
      </rPr>
      <t>Other capital reserves</t>
    </r>
  </si>
  <si>
    <r>
      <rPr>
        <sz val="11"/>
        <color rgb="FF808080"/>
        <rFont val="Tahoma"/>
        <family val="2"/>
      </rPr>
      <t>Accumulated income</t>
    </r>
  </si>
  <si>
    <r>
      <rPr>
        <sz val="11"/>
        <color rgb="FF808080"/>
        <rFont val="Tahoma"/>
        <family val="2"/>
      </rPr>
      <t>Income for the year</t>
    </r>
  </si>
  <si>
    <r>
      <rPr>
        <sz val="11"/>
        <color rgb="FF808080"/>
        <rFont val="Tahoma"/>
        <family val="2"/>
      </rPr>
      <t>Other comprehensive income</t>
    </r>
  </si>
  <si>
    <r>
      <rPr>
        <sz val="11"/>
        <color rgb="FF808080"/>
        <rFont val="Tahoma"/>
        <family val="2"/>
      </rPr>
      <t>Supplementary revenues</t>
    </r>
    <r>
      <rPr>
        <sz val="11"/>
        <color rgb="FF808080"/>
        <rFont val="Tahoma"/>
        <family val="2"/>
      </rPr>
      <t xml:space="preserve"> </t>
    </r>
  </si>
  <si>
    <r>
      <rPr>
        <i/>
        <sz val="10"/>
        <color rgb="FF808080"/>
        <rFont val="Tahoma"/>
        <family val="2"/>
      </rPr>
      <t>Figures in COP millions</t>
    </r>
  </si>
  <si>
    <r>
      <rPr>
        <sz val="11"/>
        <color rgb="FF4D4D4D"/>
        <rFont val="Tahoma"/>
        <family val="2"/>
      </rPr>
      <t>Other provisions</t>
    </r>
    <r>
      <rPr>
        <sz val="11"/>
        <color rgb="FF4D4D4D"/>
        <rFont val="Tahoma"/>
        <family val="2"/>
      </rPr>
      <t xml:space="preserve"> </t>
    </r>
  </si>
  <si>
    <r>
      <rPr>
        <b/>
        <sz val="11"/>
        <color rgb="FFFFFFFF"/>
        <rFont val="Tahoma"/>
        <family val="2"/>
      </rPr>
      <t>3Q20</t>
    </r>
  </si>
  <si>
    <r>
      <rPr>
        <i/>
        <sz val="10"/>
        <color rgb="FF808080"/>
        <rFont val="Tahoma"/>
        <family val="2"/>
      </rPr>
      <t>Figures in USD millions</t>
    </r>
  </si>
  <si>
    <r>
      <rPr>
        <i/>
        <sz val="10"/>
        <color rgb="FF808080"/>
        <rFont val="Tahoma"/>
        <family val="2"/>
      </rPr>
      <t>Figures in CLP millions</t>
    </r>
  </si>
  <si>
    <r>
      <rPr>
        <sz val="11"/>
        <color rgb="FF808080"/>
        <rFont val="Tahoma"/>
        <family val="2"/>
      </rPr>
      <t>Construction revenues</t>
    </r>
  </si>
  <si>
    <r>
      <rPr>
        <sz val="11"/>
        <color rgb="FF808080"/>
        <rFont val="Tahoma"/>
        <family val="2"/>
      </rPr>
      <t>Construction costs</t>
    </r>
  </si>
  <si>
    <r>
      <rPr>
        <b/>
        <sz val="11"/>
        <color rgb="FF808080"/>
        <rFont val="Tahoma"/>
        <family val="2"/>
      </rPr>
      <t>Construction EBITDA</t>
    </r>
  </si>
  <si>
    <r>
      <rPr>
        <sz val="11"/>
        <color rgb="FF808080"/>
        <rFont val="Tahoma"/>
        <family val="2"/>
      </rPr>
      <t>Revenues from road operation services</t>
    </r>
  </si>
  <si>
    <r>
      <rPr>
        <sz val="11"/>
        <color rgb="FF808080"/>
        <rFont val="Tahoma"/>
        <family val="2"/>
      </rPr>
      <t>Financial returns from concession asset</t>
    </r>
  </si>
  <si>
    <r>
      <rPr>
        <sz val="11"/>
        <color rgb="FF808080"/>
        <rFont val="Tahoma"/>
        <family val="2"/>
      </rPr>
      <t>Other operating revenues</t>
    </r>
  </si>
  <si>
    <r>
      <rPr>
        <sz val="11"/>
        <color rgb="FF808080"/>
        <rFont val="Tahoma"/>
        <family val="2"/>
      </rPr>
      <t>AOM costs and expenses</t>
    </r>
  </si>
  <si>
    <r>
      <rPr>
        <b/>
        <sz val="11"/>
        <color rgb="FF808080"/>
        <rFont val="Tahoma"/>
        <family val="2"/>
      </rPr>
      <t>Operating EBITDA</t>
    </r>
  </si>
  <si>
    <r>
      <rPr>
        <b/>
        <sz val="11"/>
        <color rgb="FF808080"/>
        <rFont val="Tahoma"/>
        <family val="2"/>
      </rPr>
      <t>Total EBITDA</t>
    </r>
  </si>
  <si>
    <r>
      <rPr>
        <sz val="11"/>
        <color rgb="FF808080"/>
        <rFont val="Tahoma"/>
        <family val="2"/>
      </rPr>
      <t>(-) Provisions, Depreciations, and Amortizations</t>
    </r>
    <r>
      <rPr>
        <sz val="11"/>
        <color rgb="FF808080"/>
        <rFont val="Tahoma"/>
        <family val="2"/>
      </rPr>
      <t xml:space="preserve"> </t>
    </r>
  </si>
  <si>
    <r>
      <rPr>
        <sz val="11"/>
        <color rgb="FF808080"/>
        <rFont val="Tahoma"/>
        <family val="2"/>
      </rPr>
      <t>Revenues/(expenses) from net equity method</t>
    </r>
  </si>
  <si>
    <r>
      <rPr>
        <sz val="11"/>
        <color rgb="FF808080"/>
        <rFont val="Tahoma"/>
        <family val="2"/>
      </rPr>
      <t>Other revenues/(expenses), net</t>
    </r>
  </si>
  <si>
    <r>
      <rPr>
        <b/>
        <sz val="11"/>
        <color rgb="FF808080"/>
        <rFont val="Tahoma"/>
        <family val="2"/>
      </rPr>
      <t>Income from operating activities</t>
    </r>
  </si>
  <si>
    <r>
      <rPr>
        <sz val="11"/>
        <color rgb="FF808080"/>
        <rFont val="Tahoma"/>
        <family val="2"/>
      </rPr>
      <t>Net financial revenues/(expenses)</t>
    </r>
  </si>
  <si>
    <r>
      <rPr>
        <b/>
        <sz val="11"/>
        <color rgb="FF808080"/>
        <rFont val="Tahoma"/>
        <family val="2"/>
      </rPr>
      <t>Income before taxes</t>
    </r>
  </si>
  <si>
    <r>
      <rPr>
        <sz val="11"/>
        <color rgb="FF808080"/>
        <rFont val="Tahoma"/>
        <family val="2"/>
      </rPr>
      <t>Income tax provision</t>
    </r>
  </si>
  <si>
    <r>
      <rPr>
        <b/>
        <sz val="11"/>
        <color rgb="FF808080"/>
        <rFont val="Tahoma"/>
        <family val="2"/>
      </rPr>
      <t>Net income</t>
    </r>
  </si>
  <si>
    <r>
      <rPr>
        <b/>
        <sz val="11"/>
        <color rgb="FFFFFFFF"/>
        <rFont val="Tahoma"/>
        <family val="2"/>
      </rPr>
      <t>ASSETS</t>
    </r>
  </si>
  <si>
    <r>
      <rPr>
        <b/>
        <sz val="11"/>
        <color rgb="FF4D4D4D"/>
        <rFont val="Tahoma"/>
        <family val="2"/>
      </rPr>
      <t>Current assets</t>
    </r>
  </si>
  <si>
    <r>
      <rPr>
        <sz val="11"/>
        <color rgb="FF4D4D4D"/>
        <rFont val="Tahoma"/>
        <family val="2"/>
      </rPr>
      <t>Cash and cash equivalents</t>
    </r>
  </si>
  <si>
    <r>
      <rPr>
        <sz val="11"/>
        <color rgb="FF4D4D4D"/>
        <rFont val="Tahoma"/>
        <family val="2"/>
      </rPr>
      <t>Financial assets</t>
    </r>
  </si>
  <si>
    <r>
      <rPr>
        <sz val="11"/>
        <color rgb="FF4D4D4D"/>
        <rFont val="Tahoma"/>
        <family val="2"/>
      </rPr>
      <t>Current taxes</t>
    </r>
  </si>
  <si>
    <r>
      <rPr>
        <sz val="11"/>
        <color rgb="FF4D4D4D"/>
        <rFont val="Tahoma"/>
        <family val="2"/>
      </rPr>
      <t>Non-financial assets</t>
    </r>
  </si>
  <si>
    <r>
      <rPr>
        <sz val="11"/>
        <color rgb="FF4D4D4D"/>
        <rFont val="Tahoma"/>
        <family val="2"/>
      </rPr>
      <t>Inventories</t>
    </r>
  </si>
  <si>
    <r>
      <rPr>
        <sz val="11"/>
        <color rgb="FF4D4D4D"/>
        <rFont val="Tahoma"/>
        <family val="2"/>
      </rPr>
      <t>Loans receivable from related parties</t>
    </r>
  </si>
  <si>
    <r>
      <rPr>
        <b/>
        <sz val="11"/>
        <color rgb="FFFFFFFF"/>
        <rFont val="Tahoma"/>
        <family val="2"/>
      </rPr>
      <t>Total current assets</t>
    </r>
  </si>
  <si>
    <r>
      <rPr>
        <b/>
        <sz val="11"/>
        <color rgb="FF4D4D4D"/>
        <rFont val="Tahoma"/>
        <family val="2"/>
      </rPr>
      <t>Non-current assets</t>
    </r>
  </si>
  <si>
    <r>
      <rPr>
        <sz val="11"/>
        <color rgb="FF4D4D4D"/>
        <rFont val="Tahoma"/>
        <family val="2"/>
      </rPr>
      <t>Restricted cash</t>
    </r>
  </si>
  <si>
    <r>
      <rPr>
        <sz val="11"/>
        <color rgb="FF4D4D4D"/>
        <rFont val="Tahoma"/>
        <family val="2"/>
      </rPr>
      <t>Non-current taxes</t>
    </r>
  </si>
  <si>
    <r>
      <rPr>
        <sz val="11"/>
        <color rgb="FF4D4D4D"/>
        <rFont val="Tahoma"/>
        <family val="2"/>
      </rPr>
      <t>Investments in subsidiaries, associates, and joint ventures</t>
    </r>
  </si>
  <si>
    <r>
      <rPr>
        <sz val="11"/>
        <color rgb="FF4D4D4D"/>
        <rFont val="Tahoma"/>
        <family val="2"/>
      </rPr>
      <t>Investments in financial instruments</t>
    </r>
  </si>
  <si>
    <r>
      <rPr>
        <sz val="11"/>
        <color rgb="FF4D4D4D"/>
        <rFont val="Tahoma"/>
        <family val="2"/>
      </rPr>
      <t>Inventories - net</t>
    </r>
  </si>
  <si>
    <r>
      <rPr>
        <sz val="11"/>
        <color rgb="FF4D4D4D"/>
        <rFont val="Tahoma"/>
        <family val="2"/>
      </rPr>
      <t>Property, plant, and equipment - net</t>
    </r>
  </si>
  <si>
    <r>
      <rPr>
        <sz val="11"/>
        <color rgb="FF4D4D4D"/>
        <rFont val="Tahoma"/>
        <family val="2"/>
      </rPr>
      <t>Investment property - net</t>
    </r>
  </si>
  <si>
    <r>
      <rPr>
        <sz val="11"/>
        <color rgb="FF4D4D4D"/>
        <rFont val="Tahoma"/>
        <family val="2"/>
      </rPr>
      <t>Intangible assets - net</t>
    </r>
  </si>
  <si>
    <r>
      <rPr>
        <sz val="11"/>
        <color rgb="FF4D4D4D"/>
        <rFont val="Tahoma"/>
        <family val="2"/>
      </rPr>
      <t>Deferred tax</t>
    </r>
  </si>
  <si>
    <r>
      <rPr>
        <sz val="11"/>
        <color rgb="FF4D4D4D"/>
        <rFont val="Tahoma"/>
        <family val="2"/>
      </rPr>
      <t>Finance lease assets - net</t>
    </r>
  </si>
  <si>
    <r>
      <rPr>
        <b/>
        <sz val="11"/>
        <color rgb="FF4D4D4D"/>
        <rFont val="Tahoma"/>
        <family val="2"/>
      </rPr>
      <t>Total non-current assets</t>
    </r>
  </si>
  <si>
    <r>
      <rPr>
        <b/>
        <sz val="11"/>
        <color rgb="FFFFFFFF"/>
        <rFont val="Tahoma"/>
        <family val="2"/>
      </rPr>
      <t>TOTAL ASSETS</t>
    </r>
  </si>
  <si>
    <r>
      <rPr>
        <b/>
        <sz val="11"/>
        <color rgb="FFFFFFFF"/>
        <rFont val="Tahoma"/>
        <family val="2"/>
      </rPr>
      <t>SHAREHOLDERS' LIABILITIES AND EQUITY</t>
    </r>
  </si>
  <si>
    <r>
      <rPr>
        <b/>
        <sz val="11"/>
        <color rgb="FF4D4D4D"/>
        <rFont val="Tahoma"/>
        <family val="2"/>
      </rPr>
      <t>Current liabilities</t>
    </r>
  </si>
  <si>
    <r>
      <rPr>
        <sz val="11"/>
        <color rgb="FF4D4D4D"/>
        <rFont val="Tahoma"/>
        <family val="2"/>
      </rPr>
      <t>Financial liabilities</t>
    </r>
  </si>
  <si>
    <r>
      <rPr>
        <sz val="11"/>
        <color rgb="FF4D4D4D"/>
        <rFont val="Tahoma"/>
        <family val="2"/>
      </rPr>
      <t>Accounts payable</t>
    </r>
  </si>
  <si>
    <r>
      <rPr>
        <sz val="11"/>
        <color rgb="FF4D4D4D"/>
        <rFont val="Tahoma"/>
        <family val="2"/>
      </rPr>
      <t>Employee benefits</t>
    </r>
  </si>
  <si>
    <r>
      <rPr>
        <sz val="11"/>
        <color rgb="FF4D4D4D"/>
        <rFont val="Tahoma"/>
        <family val="2"/>
      </rPr>
      <t>Provisions</t>
    </r>
  </si>
  <si>
    <r>
      <rPr>
        <sz val="11"/>
        <color rgb="FF4D4D4D"/>
        <rFont val="Tahoma"/>
        <family val="2"/>
      </rPr>
      <t>Economic related parties</t>
    </r>
  </si>
  <si>
    <r>
      <rPr>
        <sz val="11"/>
        <color rgb="FF4D4D4D"/>
        <rFont val="Tahoma"/>
        <family val="2"/>
      </rPr>
      <t>Non-financial liabilities</t>
    </r>
  </si>
  <si>
    <r>
      <rPr>
        <b/>
        <sz val="11"/>
        <color rgb="FF4D4D4D"/>
        <rFont val="Tahoma"/>
        <family val="2"/>
      </rPr>
      <t>Total current liabilities</t>
    </r>
  </si>
  <si>
    <r>
      <rPr>
        <b/>
        <sz val="11"/>
        <color rgb="FF4D4D4D"/>
        <rFont val="Tahoma"/>
        <family val="2"/>
      </rPr>
      <t>Non-current liabilities</t>
    </r>
  </si>
  <si>
    <r>
      <rPr>
        <sz val="11"/>
        <color rgb="FF4D4D4D"/>
        <rFont val="Tahoma"/>
        <family val="2"/>
      </rPr>
      <t>Loans payable to related parties</t>
    </r>
  </si>
  <si>
    <r>
      <rPr>
        <sz val="11"/>
        <color rgb="FF4D4D4D"/>
        <rFont val="Tahoma"/>
        <family val="2"/>
      </rPr>
      <t>Deferred tax liability</t>
    </r>
  </si>
  <si>
    <r>
      <rPr>
        <b/>
        <sz val="11"/>
        <color rgb="FF4D4D4D"/>
        <rFont val="Tahoma"/>
        <family val="2"/>
      </rPr>
      <t>Total non-current liabilities</t>
    </r>
  </si>
  <si>
    <r>
      <rPr>
        <b/>
        <sz val="11"/>
        <color rgb="FFFFFFFF"/>
        <rFont val="Tahoma"/>
        <family val="2"/>
      </rPr>
      <t>TOTAL LIABILITIES</t>
    </r>
  </si>
  <si>
    <r>
      <rPr>
        <b/>
        <sz val="11"/>
        <color rgb="FF4D4D4D"/>
        <rFont val="Tahoma"/>
        <family val="2"/>
      </rPr>
      <t>Shareholders' equity</t>
    </r>
  </si>
  <si>
    <r>
      <rPr>
        <sz val="11"/>
        <color rgb="FF4D4D4D"/>
        <rFont val="Tahoma"/>
        <family val="2"/>
      </rPr>
      <t>Subscribed and paid-in capital</t>
    </r>
  </si>
  <si>
    <r>
      <rPr>
        <sz val="11"/>
        <color rgb="FF4D4D4D"/>
        <rFont val="Tahoma"/>
        <family val="2"/>
      </rPr>
      <t>Premium for placement of shares</t>
    </r>
  </si>
  <si>
    <r>
      <rPr>
        <sz val="11"/>
        <color rgb="FF4D4D4D"/>
        <rFont val="Tahoma"/>
        <family val="2"/>
      </rPr>
      <t>Reserves</t>
    </r>
  </si>
  <si>
    <r>
      <rPr>
        <sz val="11"/>
        <color rgb="FF4D4D4D"/>
        <rFont val="Tahoma"/>
        <family val="2"/>
      </rPr>
      <t>Retained income</t>
    </r>
  </si>
  <si>
    <r>
      <rPr>
        <sz val="11"/>
        <color rgb="FF4D4D4D"/>
        <rFont val="Tahoma"/>
        <family val="2"/>
      </rPr>
      <t>Income for the year</t>
    </r>
  </si>
  <si>
    <r>
      <rPr>
        <sz val="11"/>
        <color rgb="FF4D4D4D"/>
        <rFont val="Tahoma"/>
        <family val="2"/>
      </rPr>
      <t>Other comprehensive income</t>
    </r>
  </si>
  <si>
    <r>
      <rPr>
        <b/>
        <sz val="11"/>
        <color rgb="FF4D4D4D"/>
        <rFont val="Tahoma"/>
        <family val="2"/>
      </rPr>
      <t>Total shareholders' equity</t>
    </r>
  </si>
  <si>
    <r>
      <rPr>
        <b/>
        <sz val="11"/>
        <color rgb="FFFFFFFF"/>
        <rFont val="Tahoma"/>
        <family val="2"/>
      </rPr>
      <t>TOTAL SHAREHOLDERS' LIABILITIES AND EQUITY</t>
    </r>
  </si>
  <si>
    <r>
      <rPr>
        <b/>
        <sz val="11"/>
        <color rgb="FFFFFFFF"/>
        <rFont val="Tahoma"/>
        <family val="2"/>
      </rPr>
      <t>1Q18</t>
    </r>
  </si>
  <si>
    <r>
      <rPr>
        <b/>
        <sz val="11"/>
        <color rgb="FFFFFFFF"/>
        <rFont val="Tahoma"/>
        <family val="2"/>
      </rPr>
      <t>2Q18</t>
    </r>
  </si>
  <si>
    <r>
      <rPr>
        <b/>
        <sz val="11"/>
        <color rgb="FFFFFFFF"/>
        <rFont val="Tahoma"/>
        <family val="2"/>
      </rPr>
      <t>3Q18</t>
    </r>
  </si>
  <si>
    <r>
      <rPr>
        <b/>
        <sz val="11"/>
        <color rgb="FFFFFFFF"/>
        <rFont val="Tahoma"/>
        <family val="2"/>
      </rPr>
      <t>4Q18</t>
    </r>
  </si>
  <si>
    <r>
      <rPr>
        <b/>
        <sz val="11"/>
        <color rgb="FFFFFFFF"/>
        <rFont val="Tahoma"/>
        <family val="2"/>
      </rPr>
      <t>1Q19</t>
    </r>
  </si>
  <si>
    <r>
      <rPr>
        <b/>
        <sz val="11"/>
        <color rgb="FFFFFFFF"/>
        <rFont val="Tahoma"/>
        <family val="2"/>
      </rPr>
      <t xml:space="preserve">2Q19 </t>
    </r>
  </si>
  <si>
    <r>
      <rPr>
        <b/>
        <sz val="11"/>
        <color rgb="FFFFFFFF"/>
        <rFont val="Tahoma"/>
        <family val="2"/>
      </rPr>
      <t>3Q19</t>
    </r>
  </si>
  <si>
    <r>
      <rPr>
        <b/>
        <sz val="11"/>
        <color rgb="FFFFFFFF"/>
        <rFont val="Tahoma"/>
        <family val="2"/>
      </rPr>
      <t>4Q19</t>
    </r>
  </si>
  <si>
    <r>
      <rPr>
        <b/>
        <sz val="11"/>
        <color rgb="FFFFFFFF"/>
        <rFont val="Tahoma"/>
        <family val="2"/>
      </rPr>
      <t>Colombia</t>
    </r>
  </si>
  <si>
    <r>
      <rPr>
        <sz val="11"/>
        <color rgb="FF4D4D4D"/>
        <rFont val="Tahoma"/>
        <family val="2"/>
      </rPr>
      <t>ISA</t>
    </r>
  </si>
  <si>
    <r>
      <rPr>
        <sz val="11"/>
        <color rgb="FF4D4D4D"/>
        <rFont val="Tahoma"/>
        <family val="2"/>
      </rPr>
      <t>TRANSELCA</t>
    </r>
  </si>
  <si>
    <r>
      <rPr>
        <sz val="11"/>
        <color rgb="FF4D4D4D"/>
        <rFont val="Tahoma"/>
        <family val="2"/>
      </rPr>
      <t>XM</t>
    </r>
  </si>
  <si>
    <r>
      <rPr>
        <sz val="11"/>
        <color rgb="FF4D4D4D"/>
        <rFont val="Tahoma"/>
        <family val="2"/>
      </rPr>
      <t>SIR</t>
    </r>
  </si>
  <si>
    <r>
      <rPr>
        <b/>
        <sz val="11"/>
        <color rgb="FFFFFFFF"/>
        <rFont val="Tahoma"/>
        <family val="2"/>
      </rPr>
      <t>Total Colombia</t>
    </r>
  </si>
  <si>
    <r>
      <rPr>
        <b/>
        <sz val="11"/>
        <color rgb="FFFFFFFF"/>
        <rFont val="Tahoma"/>
        <family val="2"/>
      </rPr>
      <t>Peru</t>
    </r>
  </si>
  <si>
    <r>
      <rPr>
        <sz val="11"/>
        <color rgb="FF4D4D4D"/>
        <rFont val="Tahoma"/>
        <family val="2"/>
      </rPr>
      <t>CTM</t>
    </r>
  </si>
  <si>
    <r>
      <rPr>
        <sz val="11"/>
        <color rgb="FF4D4D4D"/>
        <rFont val="Tahoma"/>
        <family val="2"/>
      </rPr>
      <t>REP</t>
    </r>
  </si>
  <si>
    <r>
      <rPr>
        <b/>
        <sz val="11"/>
        <color rgb="FF4D4D4D"/>
        <rFont val="Tahoma"/>
        <family val="2"/>
      </rPr>
      <t>CTEEP</t>
    </r>
  </si>
  <si>
    <r>
      <rPr>
        <b/>
        <sz val="11"/>
        <color rgb="FFFFFFFF"/>
        <rFont val="Tahoma"/>
        <family val="2"/>
      </rPr>
      <t>Chile</t>
    </r>
  </si>
  <si>
    <r>
      <rPr>
        <sz val="11"/>
        <color rgb="FF000000"/>
        <rFont val="Calibri"/>
        <family val="2"/>
      </rPr>
      <t>Colombia</t>
    </r>
  </si>
  <si>
    <r>
      <rPr>
        <sz val="11"/>
        <color rgb="FF000000"/>
        <rFont val="Calibri"/>
        <family val="2"/>
      </rPr>
      <t>Peru</t>
    </r>
  </si>
  <si>
    <r>
      <rPr>
        <sz val="11"/>
        <color rgb="FF000000"/>
        <rFont val="Calibri"/>
        <family val="2"/>
      </rPr>
      <t>Bolivia</t>
    </r>
  </si>
  <si>
    <r>
      <rPr>
        <sz val="11"/>
        <color rgb="FF000000"/>
        <rFont val="Calibri"/>
        <family val="2"/>
      </rPr>
      <t>Chile</t>
    </r>
  </si>
  <si>
    <r>
      <rPr>
        <b/>
        <sz val="11"/>
        <color rgb="FF000000"/>
        <rFont val="Calibri"/>
        <family val="2"/>
      </rPr>
      <t>Company</t>
    </r>
  </si>
  <si>
    <r>
      <rPr>
        <sz val="11"/>
        <color rgb="FF000000"/>
        <rFont val="Calibri"/>
        <family val="2"/>
      </rPr>
      <t>All transmission companies</t>
    </r>
  </si>
  <si>
    <r>
      <rPr>
        <sz val="11"/>
        <color rgb="FF000000"/>
        <rFont val="Calibri"/>
        <family val="2"/>
      </rPr>
      <t>ISA</t>
    </r>
  </si>
  <si>
    <r>
      <rPr>
        <sz val="11"/>
        <color rgb="FF000000"/>
        <rFont val="Calibri"/>
        <family val="2"/>
      </rPr>
      <t>INTERCOLOMBIA</t>
    </r>
  </si>
  <si>
    <r>
      <rPr>
        <sz val="11"/>
        <color rgb="FF000000"/>
        <rFont val="Calibri"/>
        <family val="2"/>
      </rPr>
      <t>TRANSELCA</t>
    </r>
  </si>
  <si>
    <r>
      <rPr>
        <sz val="11"/>
        <color rgb="FF000000"/>
        <rFont val="Calibri"/>
        <family val="2"/>
      </rPr>
      <t>REP</t>
    </r>
  </si>
  <si>
    <r>
      <rPr>
        <sz val="11"/>
        <color rgb="FF000000"/>
        <rFont val="Calibri"/>
        <family val="2"/>
      </rPr>
      <t>CTM</t>
    </r>
  </si>
  <si>
    <r>
      <rPr>
        <sz val="11"/>
        <color rgb="FF000000"/>
        <rFont val="Calibri"/>
        <family val="2"/>
      </rPr>
      <t>ISA Perú</t>
    </r>
  </si>
  <si>
    <r>
      <rPr>
        <sz val="11"/>
        <color rgb="FF000000"/>
        <rFont val="Calibri"/>
        <family val="2"/>
      </rPr>
      <t>ISA Bolivia</t>
    </r>
  </si>
  <si>
    <r>
      <rPr>
        <sz val="11"/>
        <color rgb="FF000000"/>
        <rFont val="Calibri"/>
        <family val="2"/>
      </rPr>
      <t>All controlled companies (market companies)</t>
    </r>
  </si>
  <si>
    <r>
      <rPr>
        <sz val="11"/>
        <color rgb="FF000000"/>
        <rFont val="Calibri"/>
        <family val="2"/>
      </rPr>
      <t>Interchile</t>
    </r>
  </si>
  <si>
    <r>
      <rPr>
        <sz val="11"/>
        <color rgb="FF000000"/>
        <rFont val="Calibri"/>
        <family val="2"/>
      </rPr>
      <t>Energy transmission companies</t>
    </r>
  </si>
  <si>
    <r>
      <rPr>
        <sz val="11"/>
        <color rgb="FF000000"/>
        <rFont val="Calibri"/>
        <family val="2"/>
      </rPr>
      <t>Concession Contract</t>
    </r>
  </si>
  <si>
    <r>
      <rPr>
        <sz val="11"/>
        <color rgb="FF000000"/>
        <rFont val="Calibri"/>
        <family val="2"/>
      </rPr>
      <t>CREG</t>
    </r>
  </si>
  <si>
    <r>
      <rPr>
        <sz val="11"/>
        <color rgb="FF000000"/>
        <rFont val="Calibri"/>
        <family val="2"/>
      </rPr>
      <t>OSINERGMIN</t>
    </r>
  </si>
  <si>
    <r>
      <rPr>
        <sz val="11"/>
        <color rgb="FF000000"/>
        <rFont val="Calibri"/>
        <family val="2"/>
      </rPr>
      <t>PROINVERSIÓN</t>
    </r>
  </si>
  <si>
    <r>
      <rPr>
        <sz val="11"/>
        <color rgb="FF000000"/>
        <rFont val="Calibri"/>
        <family val="2"/>
      </rPr>
      <t>AETN</t>
    </r>
  </si>
  <si>
    <r>
      <rPr>
        <sz val="11"/>
        <color rgb="FF000000"/>
        <rFont val="Calibri"/>
        <family val="2"/>
      </rPr>
      <t>Ministry of Energy</t>
    </r>
  </si>
  <si>
    <r>
      <rPr>
        <sz val="11"/>
        <color rgb="FF000000"/>
        <rFont val="Calibri"/>
        <family val="2"/>
      </rPr>
      <t>National Energy Commission</t>
    </r>
  </si>
  <si>
    <r>
      <rPr>
        <u/>
        <sz val="11"/>
        <color rgb="FF0563C1"/>
        <rFont val="Calibri"/>
        <family val="2"/>
      </rPr>
      <t>http://apolo.creg.gov.co/Publicac.nsf/Documentos-Resoluciones?openview=</t>
    </r>
  </si>
  <si>
    <r>
      <rPr>
        <sz val="11"/>
        <color rgb="FF000000"/>
        <rFont val="Calibri"/>
        <family val="2"/>
      </rPr>
      <t>Specific - Updates the asset base for Intercolombia S.A. E.S.P. Santa Marta 220 kV Substation</t>
    </r>
  </si>
  <si>
    <r>
      <rPr>
        <sz val="11"/>
        <color rgb="FF000000"/>
        <rFont val="Calibri"/>
        <family val="2"/>
      </rPr>
      <t>General - Energy Regulatory Framework</t>
    </r>
  </si>
  <si>
    <r>
      <rPr>
        <sz val="11"/>
        <color rgb="FF000000"/>
        <rFont val="Calibri"/>
        <family val="2"/>
      </rPr>
      <t>Specific - Initial BOOT contract.</t>
    </r>
    <r>
      <rPr>
        <sz val="11"/>
        <color rgb="FF000000"/>
        <rFont val="Calibri"/>
        <family val="2"/>
      </rPr>
      <t xml:space="preserve"> </t>
    </r>
    <r>
      <rPr>
        <sz val="11"/>
        <color rgb="FF000000"/>
        <rFont val="Calibri"/>
        <family val="2"/>
      </rPr>
      <t>Does not include addenda.</t>
    </r>
  </si>
  <si>
    <r>
      <rPr>
        <sz val="12"/>
        <color rgb="FF4D4D4D"/>
        <rFont val="Tahoma"/>
        <family val="2"/>
      </rPr>
      <t>Figures in COP millions</t>
    </r>
  </si>
  <si>
    <r>
      <rPr>
        <b/>
        <sz val="11"/>
        <color rgb="FFFFFFFF"/>
        <rFont val="Tahoma"/>
        <family val="2"/>
      </rPr>
      <t>Company</t>
    </r>
  </si>
  <si>
    <r>
      <rPr>
        <sz val="11"/>
        <color rgb="FF808080"/>
        <rFont val="Tahoma"/>
        <family val="2"/>
      </rPr>
      <t>REP</t>
    </r>
  </si>
  <si>
    <r>
      <rPr>
        <sz val="11"/>
        <color rgb="FF808080"/>
        <rFont val="Tahoma"/>
        <family val="2"/>
      </rPr>
      <t>CTM</t>
    </r>
  </si>
  <si>
    <t xml:space="preserve">Specific - Approves the asset base and parameters necessary to determine the remuneration to INTERCOLOMBIA in the National Transmission System. </t>
  </si>
  <si>
    <t>SGT (Guaranteed Transmission System) and SCT (Secondary Transmission System) Contracts</t>
  </si>
  <si>
    <t xml:space="preserve">Specific - Expansion of facilities - Defines the amount recognized and executed by the AE for the "Implementation of four neutral reactors" project developed by ISA Bolivia, reaching an amount of USD 455.617,14 </t>
  </si>
  <si>
    <t>Defines the amount recognized and executed by the AE for the "Implementation of four neutral reactors" project developed by ISA Bolivia, reaching an amount of USD 455.617,14</t>
  </si>
  <si>
    <t xml:space="preserve">Specific - Transmission license - Grants to Interconexión Eléctrica Isa Bolivia S.A. (ISA Bolivia), legally represented by Fernando Almario Argüello, an energy transmission activity license for the "Arboleda 230/115 kv Substation" project. </t>
  </si>
  <si>
    <t>Grants to Interconexión Eléctrica Isa Bolivia S.A. (ISA Bolivia), legally represented by Fernando Almario Argüello, an energy transmission activity license for the "Arboleda 230/115 kv Substation" project.</t>
  </si>
  <si>
    <t xml:space="preserve">Specific - Transmission license - Grants to Interconexión Eléctrica Isa Bolivia S.A. (ISA Bolivia), legally represented by Enrique Barrios Ponce de León and Guillermo Marquez Moreno, an energy transmission activity license for the Santiváñez-Sucre, Sucre-Punutuma, and Carrasco-Urubó Lines. </t>
  </si>
  <si>
    <t>Grants to Interconexión Eléctrica Isa Bolivia S.A. (ISA Bolivia), legally represented by Enrique Barrios Ponce de León and Guillermo Marquez Moreno, an energy transmission activity license for the Santiváñez-Sucre, Sucre-Punutuma, and Carrasco-Urubó Lines.</t>
  </si>
  <si>
    <t>Other financial liabilities</t>
  </si>
  <si>
    <t>3Q20</t>
  </si>
  <si>
    <t>Return to Table of Contents</t>
  </si>
  <si>
    <t>__________________________________________________________________________________________________________________________________________________________</t>
  </si>
  <si>
    <t>ISA Group</t>
  </si>
  <si>
    <t>Valuation Kit</t>
  </si>
  <si>
    <t>Table of contents</t>
  </si>
  <si>
    <t>Quarterly consolidated financial statements</t>
  </si>
  <si>
    <t>Energy Regulation</t>
  </si>
  <si>
    <t>Quarterly financial statements ET Colombia</t>
  </si>
  <si>
    <t>ISA</t>
  </si>
  <si>
    <t>Intercolombia</t>
  </si>
  <si>
    <t>Transelca</t>
  </si>
  <si>
    <t>Quarterly financial statements ET Brazil</t>
  </si>
  <si>
    <t>Quarterly financial statements ET Peru</t>
  </si>
  <si>
    <t>Transmantaro</t>
  </si>
  <si>
    <t>REP</t>
  </si>
  <si>
    <t>ISA Perú</t>
  </si>
  <si>
    <t>Quarterly financial statements ET Chile</t>
  </si>
  <si>
    <t>Quarterly financial statements Roads Chile</t>
  </si>
  <si>
    <t>Consolidated Debt Credits</t>
  </si>
  <si>
    <t>Consolidated Debt Bonds</t>
  </si>
  <si>
    <t>CAPEX</t>
  </si>
  <si>
    <t>Dividends</t>
  </si>
  <si>
    <t>Projects</t>
  </si>
  <si>
    <t>Payout ratio ISA: around 40%</t>
  </si>
  <si>
    <t>Payout ratio CTEEP: 75% regulatory net income</t>
  </si>
  <si>
    <t>Consolidated</t>
  </si>
  <si>
    <t>1Q18</t>
  </si>
  <si>
    <t>2Q18</t>
  </si>
  <si>
    <t>3Q18</t>
  </si>
  <si>
    <t>4Q18</t>
  </si>
  <si>
    <t>1Q19</t>
  </si>
  <si>
    <t>2Q19</t>
  </si>
  <si>
    <t>3Q19</t>
  </si>
  <si>
    <t>4Q19</t>
  </si>
  <si>
    <t>1Q20</t>
  </si>
  <si>
    <t>2Q20</t>
  </si>
  <si>
    <t>Gross Operating Revenue</t>
  </si>
  <si>
    <t>Infrastructure</t>
  </si>
  <si>
    <t>O&amp;M</t>
  </si>
  <si>
    <t>Concession assets</t>
  </si>
  <si>
    <t>Other</t>
  </si>
  <si>
    <t>Deductions from Operating Revenue</t>
  </si>
  <si>
    <t>Net Operating Revenue</t>
  </si>
  <si>
    <t xml:space="preserve">Cost and Expenses  </t>
  </si>
  <si>
    <t>Personnel</t>
  </si>
  <si>
    <t>Materials</t>
  </si>
  <si>
    <t>Services</t>
  </si>
  <si>
    <t>Depreciation</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</si>
  <si>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</si>
  <si>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</si>
  <si>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</si>
  <si>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</si>
  <si>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</si>
  <si>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</si>
  <si>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</si>
  <si>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</si>
  <si>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</si>
  <si>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</si>
  <si>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</si>
  <si>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</si>
  <si>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</si>
  <si>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EBITDA ICVM nº 527/12</t>
  </si>
  <si>
    <t>643.2</t>
  </si>
  <si>
    <t>640.0</t>
  </si>
  <si>
    <t>Consolidated Profit/Loss for the Period before Non-Controlling Shareholder's Stake</t>
  </si>
  <si>
    <t>Non-Controlling Shareholder's Stake</t>
  </si>
  <si>
    <t>Consolidated Profit/Loss for the Period</t>
  </si>
  <si>
    <t xml:space="preserve">Assets </t>
  </si>
  <si>
    <t>CURRENT</t>
  </si>
  <si>
    <t>Cash and cash equivalents</t>
  </si>
  <si>
    <t>Financial Investments</t>
  </si>
  <si>
    <t xml:space="preserve">Concession Asset </t>
  </si>
  <si>
    <t>Inventories</t>
  </si>
  <si>
    <t>Taxes and contributions to compensate</t>
  </si>
  <si>
    <t>Derivative instruments</t>
  </si>
  <si>
    <t>Credits from Subsidiaries</t>
  </si>
  <si>
    <t>Prepaid expenses</t>
  </si>
  <si>
    <t xml:space="preserve">Restricted Cash </t>
  </si>
  <si>
    <t>Others</t>
  </si>
  <si>
    <t>TOTAL CURRENT ASSETS</t>
  </si>
  <si>
    <t>NON-CURRENT</t>
  </si>
  <si>
    <t>Long-term Receivables</t>
  </si>
  <si>
    <t>Concession Asset</t>
  </si>
  <si>
    <t>Amounts Receivable - Revenue Service</t>
  </si>
  <si>
    <t xml:space="preserve">Tax benefit - embedded premium </t>
  </si>
  <si>
    <t>Deferred Income Tax and Social Contribution</t>
  </si>
  <si>
    <t>Pledges and Escrow</t>
  </si>
  <si>
    <t>Employee benefits - actuarial surplus</t>
  </si>
  <si>
    <t>Investments</t>
  </si>
  <si>
    <t>Property, Plant and Equipment</t>
  </si>
  <si>
    <t>Intangible Assets</t>
  </si>
  <si>
    <t>TOTAL NOT CURRENT ASSETS</t>
  </si>
  <si>
    <t>Total Assets</t>
  </si>
  <si>
    <t>Liabilities and Shareholders' Equity</t>
  </si>
  <si>
    <t>(BRL thousand)</t>
  </si>
  <si>
    <t>Loans and financing</t>
  </si>
  <si>
    <t>Debentures</t>
  </si>
  <si>
    <t>Leasing</t>
  </si>
  <si>
    <t>Suppliers</t>
  </si>
  <si>
    <t>Taxes and Social Charges Payable</t>
  </si>
  <si>
    <t>Tax Installments</t>
  </si>
  <si>
    <t>Regulatory Charges Payable</t>
  </si>
  <si>
    <t>Interest on Shareholders' Equity/Dividends payable</t>
  </si>
  <si>
    <t>Provisions</t>
  </si>
  <si>
    <t>Amounts Payable - Fundação CESP</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</si>
  <si>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</si>
  <si>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</si>
  <si>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</si>
  <si>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</si>
  <si>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</si>
  <si>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</si>
  <si>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</si>
  <si>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</si>
  <si>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</si>
  <si>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</si>
  <si>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Advance for future capital increases</t>
  </si>
  <si>
    <t>Total Net Equity</t>
  </si>
  <si>
    <t>Total Liabilities and Shareholders' Equity</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</si>
  <si>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</si>
  <si>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</si>
  <si>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</si>
  <si>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</si>
  <si>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</si>
  <si>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</si>
  <si>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</si>
  <si>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</si>
  <si>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</si>
  <si>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</si>
  <si>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</si>
  <si>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</si>
  <si>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</si>
  <si>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</si>
  <si>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</si>
  <si>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</si>
  <si>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</si>
  <si>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</si>
  <si>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</si>
  <si>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Assets (BRL thousand)</t>
  </si>
  <si>
    <t>CURRENT ASSETS</t>
  </si>
  <si>
    <t>Cash and Cash Equivalents</t>
  </si>
  <si>
    <t>Accounts Receivable</t>
  </si>
  <si>
    <t>Inventory</t>
  </si>
  <si>
    <t xml:space="preserve">Services in course </t>
  </si>
  <si>
    <t>Recoverable taxes and contributions</t>
  </si>
  <si>
    <t>Income taxes and social contribution</t>
  </si>
  <si>
    <t>Credit with controlled</t>
  </si>
  <si>
    <t>Prepaid Expenses</t>
  </si>
  <si>
    <t>Restricted cash</t>
  </si>
  <si>
    <t>NON-CURRENT ASSETS</t>
  </si>
  <si>
    <t>Long-Term Assets</t>
  </si>
  <si>
    <t>Accounts Receivable from the State Finance Secretariat</t>
  </si>
  <si>
    <t>Defered taxes</t>
  </si>
  <si>
    <t>Ongoing service</t>
  </si>
  <si>
    <t>TOTAL NON CURRENT ASSETS</t>
  </si>
  <si>
    <t>Imobilized Assets</t>
  </si>
  <si>
    <t>TOTAL NO CURRENT ASSETS</t>
  </si>
  <si>
    <t>TOTAL ASSETS</t>
  </si>
  <si>
    <t>CURRENT LIABILITIES</t>
  </si>
  <si>
    <t>Loans and Financing</t>
  </si>
  <si>
    <t>Bonds</t>
  </si>
  <si>
    <t>Taxes, Fees and Contributions</t>
  </si>
  <si>
    <t>Taxes installments - Law 11,941</t>
  </si>
  <si>
    <t>Regulatory Charges</t>
  </si>
  <si>
    <t>Interest on Shareholders' Equity</t>
  </si>
  <si>
    <t>NON-CURRENT LIABILITIES</t>
  </si>
  <si>
    <t>Long-Term Liabilities</t>
  </si>
  <si>
    <t>Diferred PIS and COFINS</t>
  </si>
  <si>
    <t>Defered income taxes and social contribution</t>
  </si>
  <si>
    <t>Obligations connected to concession service</t>
  </si>
  <si>
    <t>Especial Liabilities - Reversal/Amortization</t>
  </si>
  <si>
    <t>Monority Interest</t>
  </si>
  <si>
    <t>SHAREHOLDERS' EQUITY</t>
  </si>
  <si>
    <t>Share Capital</t>
  </si>
  <si>
    <t>Income Reserves</t>
  </si>
  <si>
    <t>Reavaluation Reserves</t>
  </si>
  <si>
    <t>Other Comprehensive Results</t>
  </si>
  <si>
    <t>Accumulated profits and losses</t>
  </si>
  <si>
    <t>Additional Dividends Proposed</t>
  </si>
  <si>
    <t>TOTAL SHAREHOLDER'S EQUITY</t>
  </si>
  <si>
    <t xml:space="preserve">TOTAL LIABILITIES AND SHAREHOLDERS' EQUITY </t>
  </si>
  <si>
    <t xml:space="preserve">Banco de Bogota </t>
  </si>
  <si>
    <t>COP</t>
  </si>
  <si>
    <t>IPC</t>
  </si>
  <si>
    <t>BBVA</t>
  </si>
  <si>
    <t>Banco Davivienda</t>
  </si>
  <si>
    <t>Scotiabank</t>
  </si>
  <si>
    <t>USD</t>
  </si>
  <si>
    <t xml:space="preserve">Libor(6M) </t>
  </si>
  <si>
    <t>Bancolombia</t>
  </si>
  <si>
    <t>IBR (6M)</t>
  </si>
  <si>
    <t>Banco de Bogota</t>
  </si>
  <si>
    <t>IBR (3M)</t>
  </si>
  <si>
    <t>Banco de Occidente</t>
  </si>
  <si>
    <t>Banco Popular</t>
  </si>
  <si>
    <t>Banco de Bogotá</t>
  </si>
  <si>
    <t>Davivienda</t>
  </si>
  <si>
    <t>IBM Capital</t>
  </si>
  <si>
    <t xml:space="preserve">Tasa Fija </t>
  </si>
  <si>
    <t>BCP</t>
  </si>
  <si>
    <t>Interbank</t>
  </si>
  <si>
    <t>Libor(3M)</t>
  </si>
  <si>
    <t>PEN</t>
  </si>
  <si>
    <t>ELETROBRAS</t>
  </si>
  <si>
    <t>BRL</t>
  </si>
  <si>
    <t>BNDES III (FINEM)</t>
  </si>
  <si>
    <t xml:space="preserve">TJLP </t>
  </si>
  <si>
    <t>BNDES III (PSI)</t>
  </si>
  <si>
    <t>BNDES III (Social)</t>
  </si>
  <si>
    <t>BTMU</t>
  </si>
  <si>
    <t>Fair Value Swap</t>
  </si>
  <si>
    <t>CITI</t>
  </si>
  <si>
    <t>BNDES IV</t>
  </si>
  <si>
    <t>BNDES IV (Social)</t>
  </si>
  <si>
    <t>CCB (Bradesco)</t>
  </si>
  <si>
    <t xml:space="preserve">CDI </t>
  </si>
  <si>
    <t>BNDES (FINEM)</t>
  </si>
  <si>
    <t>BNDES (PSI)</t>
  </si>
  <si>
    <t>Banco do Nordeste</t>
  </si>
  <si>
    <t>BNDES</t>
  </si>
  <si>
    <t>ITAU (Helm bank) Panamá</t>
  </si>
  <si>
    <t>ITAU</t>
  </si>
  <si>
    <t>Banco Santander</t>
  </si>
  <si>
    <t>Banco Safra</t>
  </si>
  <si>
    <t>Banco ABC</t>
  </si>
  <si>
    <t>China Construction Bank</t>
  </si>
  <si>
    <t>CLP</t>
  </si>
  <si>
    <t>TAB (180)</t>
  </si>
  <si>
    <t>BCI</t>
  </si>
  <si>
    <t>Banco de Chile Tramo A3</t>
  </si>
  <si>
    <t>UF</t>
  </si>
  <si>
    <t>Banco de Chile Tramo B1</t>
  </si>
  <si>
    <t>TAB (360)</t>
  </si>
  <si>
    <t>Banco de Chile Tramo B2</t>
  </si>
  <si>
    <t>Banco de Chile Tramo C1</t>
  </si>
  <si>
    <t>Banco de Chile Tramo C2</t>
  </si>
  <si>
    <t>Banco de Chile Tramo D1</t>
  </si>
  <si>
    <t>Banco de Chile Tramo D2</t>
  </si>
  <si>
    <t>Banco de Chile Tramo F1</t>
  </si>
  <si>
    <t>TAB (30)</t>
  </si>
  <si>
    <t>Banco Corpbanca A3</t>
  </si>
  <si>
    <t>Banco Corpbanca B1</t>
  </si>
  <si>
    <t>Banco Corpbanca B2</t>
  </si>
  <si>
    <t>Banco Corpbanca C1</t>
  </si>
  <si>
    <t>Banco Corpbanca C2</t>
  </si>
  <si>
    <t>Banco Corpbanca D1</t>
  </si>
  <si>
    <t>Banco Corpbanca D2</t>
  </si>
  <si>
    <t>Banco Corpbanca E1</t>
  </si>
  <si>
    <t>Banco Corpbanca E2</t>
  </si>
  <si>
    <t>Banco Corpbanca E3</t>
  </si>
  <si>
    <t>Banco Corpbanca E4</t>
  </si>
  <si>
    <t>Banco Corpbanca F1</t>
  </si>
  <si>
    <t>Banco del Estado A3</t>
  </si>
  <si>
    <t>Banco del Estado B1</t>
  </si>
  <si>
    <t>Banco del Estado B2</t>
  </si>
  <si>
    <t>Banco del Estado C1</t>
  </si>
  <si>
    <t>Banco del Estado C2</t>
  </si>
  <si>
    <t>Banco del Estado D1</t>
  </si>
  <si>
    <t>Banco del Estado D2</t>
  </si>
  <si>
    <t>Banco del Estado E1</t>
  </si>
  <si>
    <t>Banco del Estado E2</t>
  </si>
  <si>
    <t>Banco del Estado E3</t>
  </si>
  <si>
    <t>Banco del Estado E4</t>
  </si>
  <si>
    <t>Banco del Estado F1</t>
  </si>
  <si>
    <t>Banco BICE</t>
  </si>
  <si>
    <t>Banco Security</t>
  </si>
  <si>
    <t>Banco BCI</t>
  </si>
  <si>
    <t>Banco Santander Chile</t>
  </si>
  <si>
    <t>Compañía de Seguros Euroamérica</t>
  </si>
  <si>
    <t>Compañía de Seguros Confuturo</t>
  </si>
  <si>
    <t>Banco Estado</t>
  </si>
  <si>
    <t>Scotiabank Chile</t>
  </si>
  <si>
    <t>CA-CIB</t>
  </si>
  <si>
    <t>NATIXIS</t>
  </si>
  <si>
    <t>SMBC</t>
  </si>
  <si>
    <t>KFW</t>
  </si>
  <si>
    <t>LA CAIXA</t>
  </si>
  <si>
    <t>SIEMENS</t>
  </si>
  <si>
    <t>SABADELL</t>
  </si>
  <si>
    <t>SUMITRUST</t>
  </si>
  <si>
    <t>TAB (90)</t>
  </si>
  <si>
    <t>BICE</t>
  </si>
  <si>
    <t>COLOMBIA</t>
  </si>
  <si>
    <t>Costera</t>
  </si>
  <si>
    <t>Ashmore-CAF</t>
  </si>
  <si>
    <t>UVR</t>
  </si>
  <si>
    <t>FDN</t>
  </si>
  <si>
    <t>Internexa</t>
  </si>
  <si>
    <t>PERU</t>
  </si>
  <si>
    <t>CTM</t>
  </si>
  <si>
    <t>ISA PERU</t>
  </si>
  <si>
    <t>ITX PERU</t>
  </si>
  <si>
    <t>BRASIL</t>
  </si>
  <si>
    <t>CTEEP</t>
  </si>
  <si>
    <t>IEMG</t>
  </si>
  <si>
    <t>IEPIN</t>
  </si>
  <si>
    <t>Serra Do Japi</t>
  </si>
  <si>
    <t>IENNE</t>
  </si>
  <si>
    <t>IESUL</t>
  </si>
  <si>
    <t>ITX Brasil</t>
  </si>
  <si>
    <t>ABC</t>
  </si>
  <si>
    <t>Banco BOCOM</t>
  </si>
  <si>
    <t>CHILE</t>
  </si>
  <si>
    <t>ITX CHILE</t>
  </si>
  <si>
    <t>RUTA 
ARAUCANIA</t>
  </si>
  <si>
    <t>RUTA 
DE LOS RIOS</t>
  </si>
  <si>
    <t>RUTA DEL LOA</t>
  </si>
  <si>
    <t>INTERVIAL</t>
  </si>
  <si>
    <r>
      <t>Dic-2020</t>
    </r>
    <r>
      <rPr>
        <sz val="10"/>
        <color rgb="FFFFFFFF"/>
        <rFont val="Tahoma"/>
        <family val="2"/>
      </rPr>
      <t xml:space="preserve">
</t>
    </r>
    <r>
      <rPr>
        <b/>
        <sz val="10"/>
        <color rgb="FFFFFFFF"/>
        <rFont val="Tahoma"/>
        <family val="2"/>
      </rPr>
      <t>(Loan Currency)</t>
    </r>
  </si>
  <si>
    <r>
      <t>Dic-2020</t>
    </r>
    <r>
      <rPr>
        <sz val="10"/>
        <color rgb="FFFFFFFF"/>
        <rFont val="Tahoma"/>
        <family val="2"/>
      </rPr>
      <t xml:space="preserve">
</t>
    </r>
    <r>
      <rPr>
        <b/>
        <sz val="10"/>
        <color rgb="FFFFFFFF"/>
        <rFont val="Tahoma"/>
        <family val="2"/>
      </rPr>
      <t>(COP millions)</t>
    </r>
  </si>
  <si>
    <r>
      <t>Dic-2020</t>
    </r>
    <r>
      <rPr>
        <sz val="10"/>
        <color rgb="FFFFFFFF"/>
        <rFont val="Tahoma"/>
        <family val="2"/>
      </rPr>
      <t xml:space="preserve">
</t>
    </r>
    <r>
      <rPr>
        <b/>
        <sz val="10"/>
        <color rgb="FFFFFFFF"/>
        <rFont val="Tahoma"/>
        <family val="2"/>
      </rPr>
      <t>(USD thousands)</t>
    </r>
  </si>
  <si>
    <t>TOTAL DEBT CREDITS</t>
  </si>
  <si>
    <t>Bonos</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</si>
  <si>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</si>
  <si>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</si>
  <si>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</si>
  <si>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</si>
  <si>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</si>
  <si>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</si>
  <si>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</si>
  <si>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</si>
  <si>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</si>
  <si>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</si>
  <si>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</si>
  <si>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</si>
  <si>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</si>
  <si>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</si>
  <si>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</si>
  <si>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</si>
  <si>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</si>
  <si>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</si>
  <si>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</si>
  <si>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</si>
  <si>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6.33%</t>
  </si>
  <si>
    <t>Programa Tramo 14 Serie G20</t>
  </si>
  <si>
    <t>COSTERA</t>
  </si>
  <si>
    <t xml:space="preserve">Bonos Serie A </t>
  </si>
  <si>
    <t>Bonos Serie B</t>
  </si>
  <si>
    <t>TRANSELCA</t>
  </si>
  <si>
    <t>Tercera Emisión - Tramo I</t>
  </si>
  <si>
    <t>Tercera Emisión - Tramo II</t>
  </si>
  <si>
    <t>2P 20va Emision (Serie A)</t>
  </si>
  <si>
    <t>3P 4ta Emision (Serie A)</t>
  </si>
  <si>
    <t>3P 1era Emision (Serie A)(1)(3)</t>
  </si>
  <si>
    <t>3P 1ra Emision (Serie B) (1)(3)</t>
  </si>
  <si>
    <t>3P 7ma Emision (Serie A) (3)</t>
  </si>
  <si>
    <t>Swap B</t>
  </si>
  <si>
    <t>CTM Bonos Internacionales</t>
  </si>
  <si>
    <t>Debentures 4ª Emissão</t>
  </si>
  <si>
    <t>IPCA</t>
  </si>
  <si>
    <t>Debentures 5ª Emissão</t>
  </si>
  <si>
    <t>Debentures 6ª Emissão</t>
  </si>
  <si>
    <t>Debentures 7ª Emissão</t>
  </si>
  <si>
    <t>Debentures 8ª Emissão</t>
  </si>
  <si>
    <t>Debentures 9ª Emissão (Serie1)</t>
  </si>
  <si>
    <t>Debentures 9ª Emissão (Serie2)</t>
  </si>
  <si>
    <t>ISA IP</t>
  </si>
  <si>
    <t>Tramo 1</t>
  </si>
  <si>
    <t>RUTA DEL 
MAIPO</t>
  </si>
  <si>
    <t>Bono 144A (2)</t>
  </si>
  <si>
    <t>Bono Serie C</t>
  </si>
  <si>
    <t>Bono Serie D</t>
  </si>
  <si>
    <t>Bono Serie E</t>
  </si>
  <si>
    <t>Bono Serie F</t>
  </si>
  <si>
    <t>RUTA DEL
 BOSQUE</t>
  </si>
  <si>
    <t>Bono Serie A</t>
  </si>
  <si>
    <t>Bono Serie B</t>
  </si>
  <si>
    <t>TOTAL BONDS</t>
  </si>
  <si>
    <r>
      <rPr>
        <b/>
        <sz val="10"/>
        <color rgb="FFFFFFFF"/>
        <rFont val="Tahoma"/>
        <family val="2"/>
      </rPr>
      <t>Dic-2020</t>
    </r>
    <r>
      <rPr>
        <sz val="10"/>
        <color rgb="FFFFFFFF"/>
        <rFont val="Tahoma"/>
        <family val="2"/>
      </rPr>
      <t xml:space="preserve">
</t>
    </r>
    <r>
      <rPr>
        <b/>
        <sz val="10"/>
        <color rgb="FFFFFFFF"/>
        <rFont val="Tahoma"/>
        <family val="2"/>
      </rPr>
      <t>(Loan Currency)</t>
    </r>
  </si>
  <si>
    <r>
      <rPr>
        <b/>
        <sz val="10"/>
        <color rgb="FFFFFFFF"/>
        <rFont val="Tahoma"/>
        <family val="2"/>
      </rPr>
      <t>Dic-2020</t>
    </r>
    <r>
      <rPr>
        <sz val="10"/>
        <color rgb="FFFFFFFF"/>
        <rFont val="Tahoma"/>
        <family val="2"/>
      </rPr>
      <t xml:space="preserve">
</t>
    </r>
    <r>
      <rPr>
        <b/>
        <sz val="10"/>
        <color rgb="FFFFFFFF"/>
        <rFont val="Tahoma"/>
        <family val="2"/>
      </rPr>
      <t>(COP millions)</t>
    </r>
  </si>
  <si>
    <r>
      <rPr>
        <b/>
        <sz val="10"/>
        <color rgb="FFFFFFFF"/>
        <rFont val="Tahoma"/>
        <family val="2"/>
      </rPr>
      <t>Dic-2020</t>
    </r>
    <r>
      <rPr>
        <sz val="10"/>
        <color rgb="FFFFFFFF"/>
        <rFont val="Tahoma"/>
        <family val="2"/>
      </rPr>
      <t xml:space="preserve">
</t>
    </r>
    <r>
      <rPr>
        <b/>
        <sz val="10"/>
        <color rgb="FFFFFFFF"/>
        <rFont val="Tahoma"/>
        <family val="2"/>
      </rPr>
      <t>(USD thousands)</t>
    </r>
  </si>
  <si>
    <t xml:space="preserve">(1) Bonds issued in PEN and a SWAP to USD was made with Banco BBVA. </t>
  </si>
  <si>
    <t>(2) Bonds issued in USD and a SWAP was made to UF.</t>
  </si>
  <si>
    <t xml:space="preserve">(3) Call option </t>
  </si>
  <si>
    <t>Compensación Reactiva LT Nueva Pan de Azúcar- Polpacio</t>
  </si>
  <si>
    <t>trim 1 2021*</t>
  </si>
  <si>
    <t>Ampliación SE Nueva Maitencillo y Nuevo Pan de Azúcar</t>
  </si>
  <si>
    <t>trim 2 2021*</t>
  </si>
  <si>
    <t>INTERCOLOMBIA</t>
  </si>
  <si>
    <t>UPME 03-2014 Subestación Ituango y LT´s a 500 y 230 kV</t>
  </si>
  <si>
    <t>UPME 05-2014 Cerromatoso-Chinú-Copey</t>
  </si>
  <si>
    <t>trim 3 2021*</t>
  </si>
  <si>
    <t>UPME 07-2017 Sabanalarga - Bolívar 500 kV</t>
  </si>
  <si>
    <t>trim 3 2022*</t>
  </si>
  <si>
    <t>UPME 06-2018 Subestación el Río 220 kV y LT asociadas</t>
  </si>
  <si>
    <t>trim 2 2022</t>
  </si>
  <si>
    <t>UPME 09-2016 Línea de Transmisión  Copey - Cuestecitas - Fundación</t>
  </si>
  <si>
    <t>trim 1 2023*</t>
  </si>
  <si>
    <t>UPME 04-2019 Línea de transmisión La Loma - Sogamoso 500 kV</t>
  </si>
  <si>
    <t>trim 4 2023</t>
  </si>
  <si>
    <t>Conexón Triple A</t>
  </si>
  <si>
    <t>trim 2 2021</t>
  </si>
  <si>
    <t>IEAIMORÉS(L3)</t>
  </si>
  <si>
    <t>trim 1 2022</t>
  </si>
  <si>
    <t>IEPARAGUAÇU (L4)</t>
  </si>
  <si>
    <t>IEITAÚNAS (L21)</t>
  </si>
  <si>
    <t>IVAÍ(L1)</t>
  </si>
  <si>
    <t>trim 3 2022</t>
  </si>
  <si>
    <t>IEAGUAPEÍ(L29)</t>
  </si>
  <si>
    <t>IE ITAPURA(SE LORENA)</t>
  </si>
  <si>
    <t>IE BIGUAÇU</t>
  </si>
  <si>
    <t>trim 4 2022</t>
  </si>
  <si>
    <t>TRES LAGOAS (L6)</t>
  </si>
  <si>
    <t>trim 3 2023</t>
  </si>
  <si>
    <t>MINUANO (L1)</t>
  </si>
  <si>
    <t>trim 1 2025</t>
  </si>
  <si>
    <t>TRIANGULO MINEIRO (L7)</t>
  </si>
  <si>
    <t>Enlace nueva Mantaro - Nueva Yanango y Carapongo</t>
  </si>
  <si>
    <t>Conexión Moquegua - Papujune (Quellaveco)</t>
  </si>
  <si>
    <t>Conexión Talara (Petroperú)</t>
  </si>
  <si>
    <r>
      <rPr>
        <b/>
        <sz val="12"/>
        <color rgb="FFFFFFFF"/>
        <rFont val="Tahoma"/>
        <family val="2"/>
      </rPr>
      <t>Projects under execution</t>
    </r>
  </si>
  <si>
    <r>
      <rPr>
        <b/>
        <sz val="12"/>
        <color rgb="FFFFFFFF"/>
        <rFont val="Tahoma"/>
        <family val="2"/>
      </rPr>
      <t>Affiliate</t>
    </r>
  </si>
  <si>
    <r>
      <rPr>
        <b/>
        <sz val="12"/>
        <color rgb="FFFFFFFF"/>
        <rFont val="Tahoma"/>
        <family val="2"/>
      </rPr>
      <t>Project name</t>
    </r>
  </si>
  <si>
    <r>
      <rPr>
        <b/>
        <sz val="12"/>
        <color rgb="FFFFFFFF"/>
        <rFont val="Tahoma"/>
        <family val="2"/>
      </rPr>
      <t>Circuit km</t>
    </r>
  </si>
  <si>
    <r>
      <rPr>
        <b/>
        <sz val="12"/>
        <color rgb="FFFFFFFF"/>
        <rFont val="Tahoma"/>
        <family val="2"/>
      </rPr>
      <t>Date of Entry into service (Quarter)</t>
    </r>
  </si>
  <si>
    <r>
      <rPr>
        <b/>
        <sz val="12"/>
        <color rgb="FFFFFFFF"/>
        <rFont val="Tahoma"/>
        <family val="2"/>
      </rPr>
      <t>Actual physical progress</t>
    </r>
  </si>
  <si>
    <r>
      <rPr>
        <b/>
        <sz val="12"/>
        <color rgb="FFFFFFFF"/>
        <rFont val="Tahoma"/>
        <family val="2"/>
      </rPr>
      <t>Annual revenues (USD millions)</t>
    </r>
  </si>
  <si>
    <t>Segundo Banco SE Cardones, Maitencillo y Pan de Azúcar</t>
  </si>
  <si>
    <t>UPME 01-2018 Segundo Transformador Ocaña</t>
  </si>
  <si>
    <t>IETIBAGI(L5)</t>
  </si>
  <si>
    <t>Ampliación 20</t>
  </si>
  <si>
    <t>Other energized project</t>
  </si>
  <si>
    <r>
      <rPr>
        <b/>
        <sz val="12"/>
        <color rgb="FFFFFFFF"/>
        <rFont val="Tahoma"/>
        <family val="2"/>
      </rPr>
      <t>Energized project</t>
    </r>
    <r>
      <rPr>
        <b/>
        <sz val="12"/>
        <color theme="0"/>
        <rFont val="Tahoma"/>
        <family val="2"/>
      </rPr>
      <t xml:space="preserve"> 4Q 20</t>
    </r>
  </si>
  <si>
    <t>IEITAQUERÊ(L6)</t>
  </si>
  <si>
    <r>
      <rPr>
        <sz val="12"/>
        <color rgb="FF595959"/>
        <rFont val="Tahoma"/>
        <family val="2"/>
      </rPr>
      <t>* Term extensions will be requested.</t>
    </r>
  </si>
  <si>
    <t>In addition, 322 reinforcements are in progress in Brazil, representing an investment of approximately USD 232 million</t>
  </si>
  <si>
    <t>4Q20</t>
  </si>
  <si>
    <t>Other financial assets</t>
  </si>
  <si>
    <t>Income tax asset</t>
  </si>
  <si>
    <t>Tax Ccredit for IGV</t>
  </si>
  <si>
    <t xml:space="preserve">              -  </t>
  </si>
  <si>
    <t> </t>
  </si>
  <si>
    <t>Efficiency Gain in Infrastructure Implementation</t>
  </si>
  <si>
    <t>Revenues – Periodic Tariff Reset (RTP)</t>
  </si>
  <si>
    <t>729.7</t>
  </si>
  <si>
    <t>1.857.3</t>
  </si>
  <si>
    <t>Benefit to employess - Actuarial Deficit</t>
  </si>
  <si>
    <t>Actuarial surplus</t>
  </si>
  <si>
    <t>Non-controlling shareholders' share of investment funds</t>
  </si>
  <si>
    <t>Employee Benefit - Actuarial Deficit</t>
  </si>
  <si>
    <t>IFRS CONSOLIDATED INCOME STATEMENT - CTEEP</t>
  </si>
  <si>
    <t>REGULATORY CONSOLIDATED INCOME STATEMENTS - CTEEP</t>
  </si>
  <si>
    <t xml:space="preserve">CONSOLIDATED STATEMENTS OF FINANCIAL POSITION IFRS- CTEEP </t>
  </si>
  <si>
    <t xml:space="preserve">CONSOLIDATED STATEMENTS OF REGULATORY FINANCIAL POSITION - CTEEP </t>
  </si>
  <si>
    <t>On December 1, 2020, CVM Official Letter 04/2020 was published with guidance on the relevant aspects of IFRS 15 (CPC 47) and IFRS 9 (CPC 48) that will be observed in the demonstrations of December 31, 2020. As of Following the adoption of these guidelines, the Company reviewed the accounting practices that totaled a positive impact of R $ 674 million:
(i) The Company begins to recognize profit margin during the construction phase of the work and not only at the start of operations. This margin will be reviewed annually.
(ii) The rate applied to the contractual asset reflects the implicit rate of the financial flow of each project and considers the estimate of the company to value the financial component according to macroeconomic characteristics aligned with the methodology of the Granting Authority and the individual capital cost structure of the proyects.
(iii) The RBSE is now classified as a contractual asset, no longer a financial asset. The RBSE is now classified as a contractual asset, no longer a financial asset.</t>
  </si>
  <si>
    <t>Note</t>
  </si>
  <si>
    <t>4T20</t>
  </si>
  <si>
    <t>http://www.concesiones.cl/proyectos/Paginas/default.aspx</t>
  </si>
  <si>
    <t>Chile</t>
  </si>
  <si>
    <t xml:space="preserve"> http://www.cmfchile.cl/institucional/mercados/entidad.php?auth=&amp;send=&amp;mercado=O&amp;rut=76876635&amp;grupo=&amp;tipoentidad=RGEIN&amp;vig=VI&amp;row=AAAwy2ACTAAAAQnAAN&amp;control=svs&amp;pestania=1</t>
  </si>
  <si>
    <t>http://www.concesiones.cl/proyectos/Paginas/detalleConstruccion.aspx?item=184</t>
  </si>
  <si>
    <t>Rutas del Loa</t>
  </si>
  <si>
    <t xml:space="preserve"> http://www.cmfchile.cl/institucional/mercados/entidad.php?auth=&amp;send=&amp;mercado=O&amp;rut=96848050&amp;grupo=&amp;tipoentidad=RGEIN&amp;vig=VI&amp;row=AAAwy2ACTAAAAWbAAD&amp;control=svs&amp;pestania=1</t>
  </si>
  <si>
    <t>http://www.concesiones.cl/proyectos/Paginas/detalleExplotacion.aspx?item=34</t>
  </si>
  <si>
    <t>Ruta de los Ríos</t>
  </si>
  <si>
    <t>http://www.cmfchile.cl/institucional/mercados/entidad.php?auth=&amp;send=&amp;mercado=O&amp;rut=96869650&amp;grupo=&amp;tipoentidad=RGEIN&amp;vig=VI&amp;row=AAAwy2ACTAAABy8AAO&amp;control=svs&amp;pestania=1</t>
  </si>
  <si>
    <t>http://www.concesiones.cl/proyectos/Paginas/detalleExplotacion.aspx?item=30</t>
  </si>
  <si>
    <t>Ruta de Araucanía</t>
  </si>
  <si>
    <t>http://www.cmfchile.cl/institucional/mercados/entidad.php?auth=&amp;send=&amp;mercado=V&amp;rut=96843170&amp;grupo=&amp;tipoentidad=RVEMI&amp;vig=VI&amp;row=AAAwy2ACTAAABy9AAC&amp;control=svs&amp;pestania=1</t>
  </si>
  <si>
    <t>http://www.concesiones.cl/proyectos/Paginas/detalleExplotacion.aspx?item=29</t>
  </si>
  <si>
    <t>Ruta del Bosque</t>
  </si>
  <si>
    <t>http://www.cmfchile.cl/institucional/mercados/entidad.php?auth=&amp;send=&amp;mercado=V&amp;rut=96875230&amp;grupo=&amp;tipoentidad=RVEMI&amp;vig=VI&amp;row=AAAwy2ACTAAAAWeAAL&amp;control=svs&amp;pestania=1</t>
  </si>
  <si>
    <t>http://www.concesiones.cl/proyectos/Paginas/detalleExplotacion.aspx?item=36</t>
  </si>
  <si>
    <t>Ruta del Maipo</t>
  </si>
  <si>
    <t>http://www.concesioncostera.com/index.php/proyecto/documentacion</t>
  </si>
  <si>
    <t>https://www.contratos.gov.co/consultas/detalleProceso.do?numConstancia=13-19-1611882</t>
  </si>
  <si>
    <t xml:space="preserve">Costera </t>
  </si>
  <si>
    <t>Colombia</t>
  </si>
  <si>
    <t>Concesión</t>
  </si>
  <si>
    <t>País</t>
  </si>
  <si>
    <t>Roads Regulation</t>
  </si>
  <si>
    <t>All of the concesions</t>
  </si>
  <si>
    <t>Main regulations and contracts associated with toal road concessions</t>
  </si>
  <si>
    <t>Annual Report</t>
  </si>
  <si>
    <t>Annual Report, Financial Statments</t>
  </si>
  <si>
    <t xml:space="preserve">Description and remuneration </t>
  </si>
  <si>
    <t>Contracts</t>
  </si>
  <si>
    <t>Concessions in operation, under construction, and concessions with both schemes</t>
  </si>
  <si>
    <t>Description</t>
  </si>
  <si>
    <t>Link (public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</si>
</sst>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8" formatCode="&quot;$&quot;\ #,##0.00;[Red]\-&quot;$&quot;\ #,##0.00"/>
    <numFmt numFmtId="42" formatCode="_-&quot;$&quot;\ * #,##0_-;\-&quot;$&quot;\ * #,##0_-;_-&quot;$&quot;\ * &quot;-&quot;_-;_-@_-"/>
    <numFmt numFmtId="41" formatCode="_-* #,##0_-;\-* #,##0_-;_-* &quot;-&quot;_-;_-@_-"/>
    <numFmt numFmtId="43" formatCode="_-* #,##0.00_-;\-* #,##0.00_-;_-* &quot;-&quot;??_-;_-@_-"/>
    <numFmt numFmtId="164" formatCode="_-[$€-2]\ * #,##0_-;\-[$€-2]\ * #,##0_-;_-[$€-2]\ * &quot;-&quot;??_-"/>
    <numFmt numFmtId="165" formatCode="&quot; &quot;#,##0.00&quot; &quot;;&quot; (&quot;#,##0.00&quot;)&quot;;&quot; -&quot;00&quot; &quot;;&quot; &quot;@&quot; &quot;"/>
    <numFmt numFmtId="166" formatCode="[$-F800]dddd\,\ mmmm\ dd\,\ yyyy"/>
    <numFmt numFmtId="167" formatCode="_(* #,##0.00_);_(* \(#,##0.00\);_(* &quot;-&quot;??_);_(@_)"/>
    <numFmt numFmtId="168" formatCode="_(* #,##0_);_(* \(#,##0\);_(* &quot;-&quot;??_);_(@_)"/>
    <numFmt numFmtId="169" formatCode="_-* #,##0_-;\-* #,##0_-;_-* &quot;-&quot;??_-;_-@_-"/>
    <numFmt numFmtId="170" formatCode="_ * #,##0_ ;_ * \-#,##0_ ;_ * &quot;-&quot;??_ ;_ @_ "/>
    <numFmt numFmtId="171" formatCode="_ * #,##0.00_ ;_ * \-#,##0.00_ ;_ * &quot;-&quot;??_ ;_ @_ "/>
    <numFmt numFmtId="172" formatCode="[$$-240A]\ #,##0"/>
    <numFmt numFmtId="173" formatCode="0.000%"/>
    <numFmt numFmtId="174" formatCode="0.0"/>
    <numFmt numFmtId="175" formatCode="0.0%"/>
    <numFmt numFmtId="176" formatCode="&quot;$&quot;#,##0;\-&quot;$&quot;#,##0"/>
    <numFmt numFmtId="177" formatCode="&quot;$&quot;#,##0;[Red]\-&quot;$&quot;#,##0"/>
    <numFmt numFmtId="178" formatCode="_-&quot;$&quot;* #,##0.00_-;\-&quot;$&quot;* #,##0.00_-;_-&quot;$&quot;* &quot;-&quot;??_-;_-@_-"/>
    <numFmt numFmtId="179" formatCode="_-* #,##0.00\ _€_-;\-* #,##0.00\ _€_-;_-* &quot;-&quot;??\ _€_-;_-@_-"/>
    <numFmt numFmtId="180" formatCode="#,##0.0"/>
    <numFmt numFmtId="181" formatCode="%#.00"/>
    <numFmt numFmtId="182" formatCode="_(&quot;$&quot;\ * #,##0.00_);_(&quot;$&quot;\ * \(#,##0.00\);_(&quot;$&quot;\ * &quot;-&quot;??_);_(@_)"/>
    <numFmt numFmtId="183" formatCode="_(* &quot;$&quot;#,##0_);_(* \(&quot;$&quot;#,##0\);_(* &quot;-&quot;??_);_(@_)"/>
    <numFmt numFmtId="184" formatCode="_(* &quot;$&quot;#,##0.00_);_(* \(&quot;$&quot;#,##0.00\);_(* &quot;-&quot;??_);_(@_)"/>
    <numFmt numFmtId="185" formatCode="* 0%;* \-0%;* 0%"/>
    <numFmt numFmtId="186" formatCode="* 0.0%;* \-0.0%;* 0.0%"/>
    <numFmt numFmtId="187" formatCode="m\-d\-yy"/>
    <numFmt numFmtId="188" formatCode="_(* #,##0.0\ &quot;bp&quot;;_(* \(#,##0.0\ &quot;bp&quot;\);_(* &quot;-&quot;_);_(@_)"/>
    <numFmt numFmtId="189" formatCode="#,##0.0_);\(#,##0.0\)"/>
    <numFmt numFmtId="190" formatCode="&quot;$&quot;#.00"/>
    <numFmt numFmtId="191" formatCode="&quot;S/&quot;#,##0;&quot;S/&quot;\-#,##0"/>
    <numFmt numFmtId="192" formatCode="#,##0.000000;\-#,##0.000000"/>
    <numFmt numFmtId="193" formatCode="_ [$€-2]\ * #,##0.00_ ;_ [$€-2]\ * \-#,##0.00_ ;_ [$€-2]\ * &quot;-&quot;??_ "/>
    <numFmt numFmtId="194" formatCode="_([$€-2]* #,##0.00_);_([$€-2]* \(#,##0.00\);_([$€-2]* &quot;-&quot;??_)"/>
    <numFmt numFmtId="195" formatCode="_(* #,##0.0%_);_(* \(#,##0.0%\);_(* &quot; - &quot;\%_);_(@_)"/>
    <numFmt numFmtId="196" formatCode="_(* #,##0.0_);_(* \(#,##0.0\);_(* &quot; - &quot;_);_(@_)"/>
    <numFmt numFmtId="197" formatCode="#,##0."/>
    <numFmt numFmtId="198" formatCode="#."/>
    <numFmt numFmtId="199" formatCode=";;;"/>
    <numFmt numFmtId="200" formatCode="_ * #,##0_ ;_ * \-#,##0_ ;_ * &quot;-&quot;_ ;_ @_ "/>
    <numFmt numFmtId="201" formatCode="_-* #,##0.00\ _p_t_a_-;\-* #,##0.00\ _p_t_a_-;_-* &quot;-&quot;??\ _p_t_a_-;_-@_-"/>
    <numFmt numFmtId="202" formatCode="_(&quot;R$&quot;* #,##0_);_(&quot;R$&quot;* \(#,##0\);_(&quot;R$&quot;* \-_);_(@_)"/>
    <numFmt numFmtId="203" formatCode="0.00_)"/>
    <numFmt numFmtId="204" formatCode="@\ *."/>
    <numFmt numFmtId="205" formatCode="0.0000%"/>
    <numFmt numFmtId="206" formatCode="m/d/yy\ h:mm:ss"/>
    <numFmt numFmtId="207" formatCode="_(* #,##0_);_(* \(#,##0\);_(* \-_);_(@_)"/>
    <numFmt numFmtId="208" formatCode="0.0&quot;x&quot;"/>
    <numFmt numFmtId="209" formatCode="#.00"/>
    <numFmt numFmtId="210" formatCode="_(&quot;Cr$&quot;* #,##0.00_);_(&quot;Cr$&quot;* \(#,##0.00\);_(&quot;Cr$&quot;* &quot;-&quot;??_);_(@_)"/>
    <numFmt numFmtId="211" formatCode="\$#.00"/>
    <numFmt numFmtId="212" formatCode="\$#,##0\ ;\(\$#,##0\)"/>
    <numFmt numFmtId="213" formatCode="#,##0.0000;\-#,##0.0000"/>
    <numFmt numFmtId="214" formatCode="#,##0.000000_);[Red]\(#,##0.000000\)"/>
    <numFmt numFmtId="215" formatCode="#,##0.000"/>
    <numFmt numFmtId="216" formatCode="_ &quot;$&quot;\ * #,##0.00_ ;_ &quot;$&quot;\ * \-#,##0.00_ ;_ &quot;$&quot;\ * &quot;-&quot;??_ ;_ @_ "/>
    <numFmt numFmtId="217" formatCode="#,##0;\(#,##0\)"/>
  </numFmts>
  <fonts count="212">
    <font>
      <sz val="11"/>
      <color theme="1"/>
      <name val="Calibri"/>
      <family val="2"/>
      <scheme val="minor"/>
    </font>
    <font>
      <sz val="10"/>
      <color theme="1"/>
      <name val="Arial"/>
      <family val="2"/>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amily val="2"/>
      <charset val="134"/>
    </font>
    <font>
      <sz val="11"/>
      <color rgb="FF262626"/>
      <name val="Calibri"/>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1"/>
      <color rgb="FFFFFFFF"/>
      <name val="Tahoma"/>
      <family val="2"/>
    </font>
    <font>
      <sz val="12"/>
      <color theme="1"/>
      <name val="Tahoma"/>
      <family val="2"/>
    </font>
    <font>
      <b/>
      <sz val="10"/>
      <name val="Arial"/>
      <family val="2"/>
    </font>
    <font>
      <b/>
      <sz val="11"/>
      <name val="Calibri"/>
      <family val="2"/>
      <scheme val="minor"/>
    </font>
    <font>
      <b/>
      <i/>
      <sz val="11"/>
      <name val="Calibri"/>
      <family val="2"/>
      <scheme val="minor"/>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i/>
      <sz val="10"/>
      <color rgb="FF80808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amily val="2"/>
    </font>
    <font>
      <b/>
      <sz val="9"/>
      <name val="Times New Roman"/>
      <family val="1"/>
    </font>
    <font>
      <sz val="7"/>
      <name val="Helv"/>
      <family val="2"/>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4659260841701"/>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amily val="2"/>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amily val="2"/>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b/>
      <sz val="20"/>
      <color theme="1"/>
      <name val="Calibri"/>
      <family val="2"/>
      <scheme val="minor"/>
    </font>
    <font>
      <sz val="20"/>
      <color theme="1"/>
      <name val="Calibri"/>
      <family val="2"/>
      <scheme val="minor"/>
    </font>
    <font>
      <b/>
      <sz val="10"/>
      <color rgb="FF616365"/>
      <name val="Tahoma"/>
      <family val="2"/>
    </font>
    <font>
      <sz val="10"/>
      <name val="Tahoma"/>
      <family val="2"/>
    </font>
    <font>
      <b/>
      <sz val="10"/>
      <name val="Tahoma"/>
      <family val="2"/>
    </font>
    <font>
      <sz val="10"/>
      <color theme="0"/>
      <name val="Tahoma"/>
      <family val="2"/>
    </font>
    <font>
      <sz val="10"/>
      <color rgb="FF616365"/>
      <name val="Tahoma"/>
      <family val="2"/>
    </font>
    <font>
      <b/>
      <sz val="12"/>
      <color theme="1"/>
      <name val="Tahoma"/>
      <family val="2"/>
    </font>
    <font>
      <b/>
      <sz val="11"/>
      <color rgb="FF003087"/>
      <name val="Tahoma"/>
      <family val="2"/>
    </font>
    <font>
      <sz val="10"/>
      <color theme="3"/>
      <name val="Tahoma"/>
      <family val="2"/>
    </font>
    <font>
      <sz val="8"/>
      <color theme="1" tint="0.249977111117893"/>
      <name val="Tahoma"/>
      <family val="2"/>
    </font>
    <font>
      <sz val="11"/>
      <color theme="1" tint="0.34998626667073579"/>
      <name val="Calibri"/>
      <family val="2"/>
      <scheme val="minor"/>
    </font>
    <font>
      <u/>
      <sz val="11"/>
      <color rgb="FF0563C1"/>
      <name val="Calibri"/>
      <family val="2"/>
    </font>
    <font>
      <b/>
      <sz val="10"/>
      <color rgb="FFFFFFFF"/>
      <name val="Tahoma"/>
      <family val="2"/>
    </font>
    <font>
      <b/>
      <sz val="20"/>
      <color rgb="FF000000"/>
      <name val="Calibri"/>
      <family val="2"/>
    </font>
    <font>
      <b/>
      <sz val="11"/>
      <color rgb="FF000000"/>
      <name val="Calibri"/>
      <family val="2"/>
    </font>
    <font>
      <sz val="11"/>
      <color rgb="FF000000"/>
      <name val="Calibri"/>
      <family val="2"/>
    </font>
    <font>
      <b/>
      <i/>
      <sz val="11"/>
      <color rgb="FF000000"/>
      <name val="Calibri"/>
      <family val="2"/>
    </font>
    <font>
      <sz val="10"/>
      <color rgb="FFFFFFFF"/>
      <name val="Tahoma"/>
      <family val="2"/>
    </font>
    <font>
      <b/>
      <sz val="12"/>
      <color rgb="FF000000"/>
      <name val="Tahoma"/>
      <family val="2"/>
    </font>
    <font>
      <b/>
      <sz val="8"/>
      <color rgb="FF000000"/>
      <name val="Arial"/>
      <family val="2"/>
    </font>
    <font>
      <sz val="11"/>
      <color theme="1"/>
      <name val="Calibri"/>
      <family val="2"/>
      <scheme val="minor"/>
    </font>
    <font>
      <b/>
      <sz val="12"/>
      <color theme="0"/>
      <name val="Tahoma"/>
      <family val="2"/>
    </font>
    <font>
      <b/>
      <sz val="12"/>
      <color rgb="FFFFFFFF"/>
      <name val="Tahoma"/>
      <family val="2"/>
    </font>
    <font>
      <sz val="12"/>
      <name val="Tahoma"/>
      <family val="2"/>
    </font>
    <font>
      <b/>
      <sz val="12"/>
      <color rgb="FF4D4D4D"/>
      <name val="Tahoma"/>
      <family val="2"/>
    </font>
    <font>
      <sz val="8"/>
      <name val="Calibri"/>
      <family val="2"/>
      <scheme val="minor"/>
    </font>
    <font>
      <b/>
      <sz val="11"/>
      <color theme="1"/>
      <name val="Tahoma"/>
      <family val="2"/>
    </font>
    <font>
      <u/>
      <sz val="11"/>
      <color theme="1"/>
      <name val="Calibri"/>
      <family val="2"/>
      <scheme val="minor"/>
    </font>
    <font>
      <u/>
      <sz val="11"/>
      <color theme="1"/>
      <name val="Tahoma"/>
      <family val="2"/>
    </font>
    <font>
      <sz val="12"/>
      <color theme="1"/>
      <name val="Calibri"/>
      <family val="2"/>
      <scheme val="minor"/>
    </font>
    <font>
      <sz val="12"/>
      <color rgb="FF808080"/>
      <name val="Tahoma"/>
      <family val="2"/>
    </font>
    <font>
      <b/>
      <sz val="12"/>
      <color rgb="FF808080"/>
      <name val="Tahoma"/>
      <family val="2"/>
    </font>
    <font>
      <b/>
      <sz val="12"/>
      <color rgb="FF0099FF"/>
      <name val="Tahoma"/>
      <family val="2"/>
    </font>
    <font>
      <sz val="12"/>
      <color rgb="FF595959"/>
      <name val="Tahoma"/>
      <family val="2"/>
    </font>
    <font>
      <sz val="12"/>
      <color rgb="FFFFFFFF"/>
      <name val="Tahoma"/>
      <family val="2"/>
    </font>
    <font>
      <sz val="12"/>
      <color theme="3"/>
      <name val="Tahoma"/>
      <family val="2"/>
    </font>
    <font>
      <b/>
      <sz val="12"/>
      <color theme="3"/>
      <name val="Tahoma"/>
      <family val="2"/>
    </font>
    <font>
      <sz val="12"/>
      <color theme="2" tint="-0.749992370372631"/>
      <name val="Tahoma"/>
      <family val="2"/>
    </font>
    <font>
      <sz val="10"/>
      <color theme="2" tint="-0.749992370372631"/>
      <name val="Tahoma"/>
      <family val="2"/>
    </font>
    <font>
      <sz val="9"/>
      <color indexed="81"/>
      <name val="Tahoma"/>
      <family val="2"/>
    </font>
    <font>
      <b/>
      <sz val="9"/>
      <color indexed="81"/>
      <name val="Tahoma"/>
      <family val="2"/>
    </font>
    <font>
      <u/>
      <sz val="11"/>
      <color rgb="FF0070C0"/>
      <name val="Tahoma"/>
      <family val="2"/>
    </font>
    <font>
      <sz val="11"/>
      <color rgb="FF0070C0"/>
      <name val="Calibri"/>
      <family val="2"/>
      <scheme val="minor"/>
    </font>
    <font>
      <sz val="12"/>
      <color theme="1" tint="0.249977111117893"/>
      <name val="Tahoma"/>
      <family val="2"/>
    </font>
    <font>
      <sz val="12"/>
      <color theme="1" tint="0.34998626667073579"/>
      <name val="Calibri"/>
      <family val="2"/>
      <scheme val="minor"/>
    </font>
    <font>
      <sz val="12"/>
      <color theme="1" tint="0.34998626667073579"/>
      <name val="Tahoma"/>
      <family val="2"/>
    </font>
    <font>
      <sz val="12"/>
      <color rgb="FF808080"/>
      <name val="Tahoma"/>
      <family val="2"/>
    </font>
    <font>
      <b/>
      <sz val="12"/>
      <color rgb="FF808080"/>
      <name val="Tahoma"/>
      <family val="2"/>
    </font>
    <font>
      <b/>
      <sz val="12"/>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2"/>
      <color theme="0"/>
      <name val="Tahoma"/>
      <family val="2"/>
    </font>
    <font>
      <sz val="10"/>
      <color theme="2" tint="-0.499984740745262"/>
      <name val="Tahoma"/>
      <family val="2"/>
    </font>
    <font>
      <b/>
      <u/>
      <sz val="12"/>
      <color rgb="FF4D4D4D"/>
      <name val="Tahoma"/>
      <family val="2"/>
    </font>
    <font>
      <u/>
      <sz val="12"/>
      <color theme="10"/>
      <name val="Tahoma"/>
      <family val="2"/>
    </font>
    <font>
      <sz val="14"/>
      <color theme="0"/>
      <name val="Tahoma"/>
      <family val="2"/>
    </font>
    <font>
      <sz val="16"/>
      <color theme="0"/>
      <name val="Tahoma"/>
      <family val="2"/>
    </font>
    <font>
      <sz val="20"/>
      <color theme="1"/>
      <name val="Tahoma"/>
      <family val="2"/>
    </font>
  </fonts>
  <fills count="128">
    <fill>
      <patternFill patternType="none"/>
    </fill>
    <fill>
      <patternFill patternType="gray125"/>
    </fill>
    <fill>
      <patternFill patternType="solid">
        <fgColor rgb="FFC00000"/>
        <bgColor indexed="64"/>
      </patternFill>
    </fill>
    <fill>
      <patternFill patternType="solid">
        <fgColor rgb="FF808080"/>
        <bgColor indexed="64"/>
      </patternFill>
    </fill>
    <fill>
      <patternFill patternType="solid">
        <fgColor rgb="FFDBE5F1"/>
        <bgColor indexed="64"/>
      </patternFill>
    </fill>
    <fill>
      <patternFill patternType="solid">
        <fgColor rgb="FFFFFFFF"/>
        <bgColor indexed="64"/>
      </patternFill>
    </fill>
    <fill>
      <patternFill patternType="solid">
        <fgColor rgb="FFF1F5FB"/>
        <bgColor indexed="64"/>
      </patternFill>
    </fill>
    <fill>
      <patternFill patternType="solid">
        <fgColor rgb="FFE9EFF7"/>
        <bgColor indexed="64"/>
      </patternFill>
    </fill>
    <fill>
      <patternFill patternType="solid">
        <fgColor rgb="FFC6F9C1"/>
        <bgColor indexed="64"/>
      </patternFill>
    </fill>
    <fill>
      <patternFill patternType="solid">
        <fgColor rgb="FFABEDA5"/>
        <bgColor indexed="64"/>
      </patternFill>
    </fill>
    <fill>
      <patternFill patternType="solid">
        <fgColor rgb="FF94D88F"/>
        <bgColor indexed="64"/>
      </patternFill>
    </fill>
    <fill>
      <patternFill patternType="solid">
        <fgColor rgb="FFFFFDBF"/>
        <bgColor indexed="64"/>
      </patternFill>
    </fill>
    <fill>
      <patternFill patternType="solid">
        <fgColor rgb="FFFFFB8C"/>
        <bgColor indexed="64"/>
      </patternFill>
    </fill>
    <fill>
      <patternFill patternType="solid">
        <fgColor rgb="FFFFF843"/>
        <bgColor indexed="64"/>
      </patternFill>
    </fill>
    <fill>
      <patternFill patternType="solid">
        <fgColor rgb="FFFFC7CE"/>
        <bgColor indexed="64"/>
      </patternFill>
    </fill>
    <fill>
      <patternFill patternType="solid">
        <fgColor rgb="FFFF988C"/>
        <bgColor indexed="64"/>
      </patternFill>
    </fill>
    <fill>
      <patternFill patternType="solid">
        <fgColor rgb="FFFF6758"/>
        <bgColor indexed="64"/>
      </patternFill>
    </fill>
    <fill>
      <patternFill patternType="solid">
        <fgColor rgb="FFDBE5F1"/>
        <bgColor indexed="64"/>
      </patternFill>
    </fill>
    <fill>
      <patternFill patternType="solid">
        <fgColor rgb="FFB7CFE8"/>
        <bgColor indexed="64"/>
      </patternFill>
    </fill>
    <fill>
      <patternFill patternType="solid">
        <fgColor rgb="FFC3D6EB"/>
        <bgColor indexed="64"/>
      </patternFill>
    </fill>
    <fill>
      <patternFill patternType="solid">
        <fgColor rgb="FFDBE5F2"/>
        <bgColor indexed="64"/>
      </patternFill>
    </fill>
    <fill>
      <patternFill patternType="solid">
        <fgColor rgb="FF1F497D"/>
        <bgColor indexed="64"/>
      </patternFill>
    </fill>
    <fill>
      <patternFill patternType="solid">
        <fgColor rgb="FF5DBFE4"/>
        <bgColor indexed="64"/>
      </patternFill>
    </fill>
    <fill>
      <patternFill patternType="solid">
        <fgColor rgb="FF5DBFE4"/>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1"/>
        <bgColor indexed="64"/>
      </patternFill>
    </fill>
    <fill>
      <patternFill patternType="solid">
        <fgColor theme="4" tint="0.79995117038483843"/>
        <bgColor indexed="64"/>
      </patternFill>
    </fill>
    <fill>
      <patternFill patternType="solid">
        <fgColor indexed="28"/>
        <bgColor indexed="64"/>
      </patternFill>
    </fill>
    <fill>
      <patternFill patternType="solid">
        <fgColor theme="6" tint="0.79995117038483843"/>
        <bgColor indexed="64"/>
      </patternFill>
    </fill>
    <fill>
      <patternFill patternType="solid">
        <fgColor indexed="8"/>
        <bgColor indexed="64"/>
      </patternFill>
    </fill>
    <fill>
      <patternFill patternType="solid">
        <fgColor theme="7" tint="0.79995117038483843"/>
        <bgColor indexed="64"/>
      </patternFill>
    </fill>
    <fill>
      <patternFill patternType="solid">
        <fgColor indexed="29"/>
        <bgColor indexed="64"/>
      </patternFill>
    </fill>
    <fill>
      <patternFill patternType="solid">
        <fgColor theme="8" tint="0.79995117038483843"/>
        <bgColor indexed="64"/>
      </patternFill>
    </fill>
    <fill>
      <patternFill patternType="solid">
        <fgColor indexed="15"/>
        <bgColor indexed="64"/>
      </patternFill>
    </fill>
    <fill>
      <patternFill patternType="solid">
        <fgColor theme="9" tint="0.79995117038483843"/>
        <bgColor indexed="64"/>
      </patternFill>
    </fill>
    <fill>
      <patternFill patternType="solid">
        <fgColor indexed="44"/>
        <bgColor indexed="64"/>
      </patternFill>
    </fill>
    <fill>
      <patternFill patternType="solid">
        <fgColor indexed="51"/>
        <bgColor indexed="64"/>
      </patternFill>
    </fill>
    <fill>
      <patternFill patternType="solid">
        <fgColor theme="4" tint="0.59996337778862885"/>
        <bgColor indexed="64"/>
      </patternFill>
    </fill>
    <fill>
      <patternFill patternType="solid">
        <fgColor indexed="57"/>
        <bgColor indexed="64"/>
      </patternFill>
    </fill>
    <fill>
      <patternFill patternType="solid">
        <fgColor theme="6" tint="0.59996337778862885"/>
        <bgColor indexed="64"/>
      </patternFill>
    </fill>
    <fill>
      <patternFill patternType="solid">
        <fgColor indexed="13"/>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indexed="9"/>
        <bgColor indexed="64"/>
      </patternFill>
    </fill>
    <fill>
      <patternFill patternType="solid">
        <fgColor rgb="FFF2F2F2"/>
        <bgColor indexed="64"/>
      </patternFill>
    </fill>
    <fill>
      <patternFill patternType="solid">
        <fgColor indexed="22"/>
        <bgColor indexed="64"/>
      </patternFill>
    </fill>
    <fill>
      <patternFill patternType="solid">
        <fgColor rgb="FFA5A5A5"/>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3"/>
        <bgColor indexed="64"/>
      </patternFill>
    </fill>
    <fill>
      <patternFill patternType="solid">
        <fgColor theme="4"/>
        <bgColor indexed="64"/>
      </patternFill>
    </fill>
    <fill>
      <patternFill patternType="solid">
        <fgColor indexed="21"/>
        <bgColor indexed="64"/>
      </patternFill>
    </fill>
    <fill>
      <patternFill patternType="solid">
        <fgColor theme="6"/>
        <bgColor indexed="64"/>
      </patternFill>
    </fill>
    <fill>
      <patternFill patternType="solid">
        <fgColor indexed="26"/>
        <bgColor indexed="64"/>
      </patternFill>
    </fill>
    <fill>
      <patternFill patternType="solid">
        <fgColor theme="8"/>
        <bgColor indexed="64"/>
      </patternFill>
    </fill>
    <fill>
      <patternFill patternType="solid">
        <fgColor theme="7" tint="0.59996337778862885"/>
        <bgColor indexed="64"/>
      </patternFill>
    </fill>
    <fill>
      <patternFill patternType="solid">
        <fgColor theme="7" tint="0.79995117038483843"/>
        <bgColor indexed="64"/>
      </patternFill>
    </fill>
    <fill>
      <patternFill patternType="solid">
        <fgColor theme="8" tint="-0.49995422223578601"/>
        <bgColor indexed="64"/>
      </patternFill>
    </fill>
    <fill>
      <patternFill patternType="solid">
        <fgColor rgb="FF18414C"/>
        <bgColor indexed="64"/>
      </patternFill>
    </fill>
    <fill>
      <patternFill patternType="solid">
        <fgColor indexed="24"/>
        <bgColor indexed="64"/>
      </patternFill>
    </fill>
    <fill>
      <patternFill patternType="solid">
        <fgColor rgb="FFFFC7CE"/>
        <bgColor indexed="64"/>
      </patternFill>
    </fill>
    <fill>
      <patternFill patternType="solid">
        <fgColor indexed="43"/>
        <bgColor indexed="64"/>
      </patternFill>
    </fill>
    <fill>
      <patternFill patternType="solid">
        <fgColor rgb="FFFFFFCC"/>
        <bgColor indexed="64"/>
      </patternFill>
    </fill>
    <fill>
      <patternFill patternType="mediumGray">
        <fgColor indexed="22"/>
      </patternFill>
    </fill>
    <fill>
      <patternFill patternType="gray0625">
        <fgColor indexed="11"/>
      </patternFill>
    </fill>
    <fill>
      <patternFill patternType="solid">
        <fgColor indexed="9"/>
        <bgColor indexed="64"/>
      </patternFill>
    </fill>
    <fill>
      <patternFill patternType="solid">
        <fgColor indexed="56"/>
        <bgColor indexed="64"/>
      </patternFill>
    </fill>
    <fill>
      <patternFill patternType="solid">
        <fgColor theme="5" tint="0.79995117038483843"/>
        <bgColor indexed="64"/>
      </patternFill>
    </fill>
    <fill>
      <patternFill patternType="solid">
        <fgColor indexed="58"/>
        <bgColor indexed="64"/>
      </patternFill>
    </fill>
    <fill>
      <patternFill patternType="solid">
        <fgColor theme="5" tint="0.59996337778862885"/>
        <bgColor indexed="64"/>
      </patternFill>
    </fill>
    <fill>
      <patternFill patternType="solid">
        <fgColor indexed="40"/>
        <bgColor indexed="64"/>
      </patternFill>
    </fill>
    <fill>
      <patternFill patternType="solid">
        <fgColor indexed="19"/>
        <bgColor indexed="64"/>
      </patternFill>
    </fill>
    <fill>
      <patternFill patternType="solid">
        <fgColor theme="9" tint="0.59996337778862885"/>
        <bgColor indexed="64"/>
      </patternFill>
    </fill>
    <fill>
      <patternFill patternType="solid">
        <fgColor indexed="48"/>
        <bgColor indexed="64"/>
      </patternFill>
    </fill>
    <fill>
      <patternFill patternType="solid">
        <fgColor indexed="14"/>
        <bgColor indexed="64"/>
      </patternFill>
    </fill>
    <fill>
      <patternFill patternType="solid">
        <fgColor indexed="59"/>
        <bgColor indexed="64"/>
      </patternFill>
    </fill>
    <fill>
      <patternFill patternType="solid">
        <fgColor indexed="12"/>
        <bgColor indexed="64"/>
      </patternFill>
    </fill>
    <fill>
      <patternFill patternType="solid">
        <fgColor indexed="23"/>
        <bgColor indexed="64"/>
      </patternFill>
    </fill>
    <fill>
      <patternFill patternType="solid">
        <fgColor indexed="17"/>
        <bgColor indexed="64"/>
      </patternFill>
    </fill>
    <fill>
      <patternFill patternType="solid">
        <fgColor rgb="FFFFEB9C"/>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rgb="FFC0C0C0"/>
        <bgColor indexed="64"/>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mediumGray">
        <fgColor indexed="9"/>
        <bgColor theme="0"/>
      </patternFill>
    </fill>
    <fill>
      <patternFill patternType="solid">
        <fgColor theme="2"/>
        <bgColor indexed="64"/>
      </patternFill>
    </fill>
    <fill>
      <patternFill patternType="solid">
        <fgColor rgb="FF00B0F0"/>
        <bgColor indexed="64"/>
      </patternFill>
    </fill>
    <fill>
      <patternFill patternType="solid">
        <fgColor rgb="FFAFDFFF"/>
        <bgColor indexed="64"/>
      </patternFill>
    </fill>
    <fill>
      <patternFill patternType="solid">
        <fgColor rgb="FFE1FFD1"/>
        <bgColor indexed="64"/>
      </patternFill>
    </fill>
    <fill>
      <patternFill patternType="solid">
        <fgColor theme="0"/>
        <bgColor indexed="64"/>
      </patternFill>
    </fill>
    <fill>
      <patternFill patternType="solid">
        <fgColor rgb="FF1D3382"/>
        <bgColor indexed="64"/>
      </patternFill>
    </fill>
    <fill>
      <patternFill patternType="solid">
        <fgColor rgb="FF003C69"/>
        <bgColor indexed="39"/>
      </patternFill>
    </fill>
    <fill>
      <patternFill patternType="solid">
        <fgColor theme="0" tint="-0.499984740745262"/>
        <bgColor indexed="64"/>
      </patternFill>
    </fill>
    <fill>
      <patternFill patternType="solid">
        <fgColor theme="0" tint="-4.9989318521683403E-2"/>
        <bgColor indexed="64"/>
      </patternFill>
    </fill>
    <fill>
      <patternFill patternType="solid">
        <fgColor rgb="FF002060"/>
        <bgColor indexed="39"/>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4D4D4D"/>
        <bgColor rgb="FF000000"/>
      </patternFill>
    </fill>
    <fill>
      <patternFill patternType="solid">
        <fgColor rgb="FFFFFFFF"/>
        <bgColor rgb="FF000000"/>
      </patternFill>
    </fill>
    <fill>
      <patternFill patternType="solid">
        <fgColor rgb="FFC0C0C0"/>
        <bgColor rgb="FF000000"/>
      </patternFill>
    </fill>
    <fill>
      <patternFill patternType="solid">
        <fgColor rgb="FFFAFAFA"/>
        <bgColor rgb="FF000000"/>
      </patternFill>
    </fill>
    <fill>
      <patternFill patternType="solid">
        <fgColor theme="0" tint="-0.249977111117893"/>
        <bgColor indexed="64"/>
      </patternFill>
    </fill>
    <fill>
      <patternFill patternType="solid">
        <fgColor rgb="FF002060"/>
        <bgColor indexed="64"/>
      </patternFill>
    </fill>
    <fill>
      <patternFill patternType="solid">
        <fgColor theme="0"/>
        <bgColor indexed="39"/>
      </patternFill>
    </fill>
    <fill>
      <patternFill patternType="solid">
        <fgColor rgb="FF0070C0"/>
        <bgColor indexed="64"/>
      </patternFill>
    </fill>
  </fills>
  <borders count="126">
    <border>
      <left/>
      <right/>
      <top/>
      <bottom/>
      <diagonal/>
    </border>
    <border>
      <left style="thin">
        <color theme="3" tint="-0.24991607409894101"/>
      </left>
      <right style="thin">
        <color theme="3" tint="-0.24991607409894101"/>
      </right>
      <top style="thin">
        <color theme="3" tint="-0.24991607409894101"/>
      </top>
      <bottom style="thin">
        <color theme="3" tint="-0.24991607409894101"/>
      </bottom>
      <diagonal/>
    </border>
    <border>
      <left style="thin">
        <color theme="3" tint="0.59993285927915285"/>
      </left>
      <right style="thin">
        <color theme="3" tint="0.59993285927915285"/>
      </right>
      <top style="thin">
        <color theme="3" tint="0.59993285927915285"/>
      </top>
      <bottom style="thin">
        <color theme="3" tint="0.599932859279152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double">
        <color auto="1"/>
      </left>
      <right/>
      <top/>
      <bottom style="hair">
        <color auto="1"/>
      </bottom>
      <diagonal/>
    </border>
    <border>
      <left/>
      <right/>
      <top style="thin">
        <color indexed="8"/>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rgb="FF3F3F3F"/>
      </left>
      <right style="double">
        <color rgb="FF3F3F3F"/>
      </right>
      <top style="double">
        <color rgb="FF3F3F3F"/>
      </top>
      <bottom style="double">
        <color rgb="FF3F3F3F"/>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right style="thin">
        <color auto="1"/>
      </right>
      <top/>
      <bottom style="medium">
        <color auto="1"/>
      </bottom>
      <diagonal/>
    </border>
    <border>
      <left/>
      <right/>
      <top style="medium">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rgb="FFB2B2B2"/>
      </left>
      <right style="thin">
        <color rgb="FFB2B2B2"/>
      </right>
      <top style="thin">
        <color rgb="FFB2B2B2"/>
      </top>
      <bottom style="thin">
        <color rgb="FFB2B2B2"/>
      </bottom>
      <diagonal/>
    </border>
    <border>
      <left/>
      <right style="thin">
        <color auto="1"/>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24"/>
      </top>
      <bottom/>
      <diagonal/>
    </border>
    <border>
      <left/>
      <right/>
      <top style="double">
        <color auto="1"/>
      </top>
      <bottom/>
      <diagonal/>
    </border>
    <border>
      <left/>
      <right/>
      <top style="medium">
        <color auto="1"/>
      </top>
      <bottom style="thin">
        <color auto="1"/>
      </bottom>
      <diagonal/>
    </border>
    <border>
      <left style="thin">
        <color auto="1"/>
      </left>
      <right style="thin">
        <color auto="1"/>
      </right>
      <top/>
      <bottom/>
      <diagonal/>
    </border>
    <border>
      <left/>
      <right/>
      <top/>
      <bottom style="medium">
        <color auto="1"/>
      </bottom>
      <diagonal/>
    </border>
    <border>
      <left/>
      <right/>
      <top style="thin">
        <color auto="1"/>
      </top>
      <bottom style="thick">
        <color auto="1"/>
      </bottom>
      <diagonal/>
    </border>
    <border>
      <left/>
      <right/>
      <top style="thin">
        <color auto="1"/>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right/>
      <top/>
      <bottom style="double">
        <color auto="1"/>
      </bottom>
      <diagonal/>
    </border>
    <border>
      <left/>
      <right/>
      <top style="thin">
        <color auto="1"/>
      </top>
      <bottom style="thin">
        <color auto="1"/>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style="medium">
        <color rgb="FFFFFFFF"/>
      </right>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right/>
      <top/>
      <bottom style="medium">
        <color rgb="FFFFFFFF"/>
      </bottom>
      <diagonal/>
    </border>
    <border>
      <left style="hair">
        <color theme="0"/>
      </left>
      <right style="hair">
        <color theme="0"/>
      </right>
      <top style="hair">
        <color theme="0"/>
      </top>
      <bottom style="hair">
        <color theme="0"/>
      </bottom>
      <diagonal/>
    </border>
    <border>
      <left/>
      <right/>
      <top/>
      <bottom style="thin">
        <color auto="1"/>
      </bottom>
      <diagonal/>
    </border>
    <border>
      <left style="medium">
        <color rgb="FFFFFFFF"/>
      </left>
      <right/>
      <top/>
      <bottom/>
      <diagonal/>
    </border>
    <border>
      <left style="thin">
        <color auto="1"/>
      </left>
      <right style="thin">
        <color theme="0"/>
      </right>
      <top style="thin">
        <color theme="0"/>
      </top>
      <bottom style="thin">
        <color auto="1"/>
      </bottom>
      <diagonal/>
    </border>
    <border>
      <left style="thin">
        <color theme="0"/>
      </left>
      <right/>
      <top/>
      <bottom style="thin">
        <color auto="1"/>
      </bottom>
      <diagonal/>
    </border>
    <border>
      <left style="thin">
        <color theme="0"/>
      </left>
      <right style="thin">
        <color theme="0"/>
      </right>
      <top style="thin">
        <color theme="0"/>
      </top>
      <bottom style="thin">
        <color auto="1"/>
      </bottom>
      <diagonal/>
    </border>
    <border>
      <left/>
      <right/>
      <top style="thin">
        <color rgb="FF003C69"/>
      </top>
      <bottom style="double">
        <color rgb="FF003C69"/>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right/>
      <top style="thin">
        <color rgb="FF003C69"/>
      </top>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auto="1"/>
      </bottom>
      <diagonal/>
    </border>
    <border>
      <left style="hair">
        <color theme="0"/>
      </left>
      <right style="hair">
        <color theme="0"/>
      </right>
      <top style="hair">
        <color theme="0"/>
      </top>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style="thin">
        <color theme="0"/>
      </left>
      <right/>
      <top style="thin">
        <color theme="0"/>
      </top>
      <bottom style="thin">
        <color auto="1"/>
      </bottom>
      <diagonal/>
    </border>
    <border>
      <left/>
      <right/>
      <top style="thin">
        <color theme="1" tint="0.34998626667073579"/>
      </top>
      <bottom style="thin">
        <color rgb="FF00B0F0"/>
      </bottom>
      <diagonal/>
    </border>
    <border>
      <left/>
      <right/>
      <top style="thin">
        <color rgb="FF00B0F0"/>
      </top>
      <bottom style="thin">
        <color rgb="FFD0CECE"/>
      </bottom>
      <diagonal/>
    </border>
    <border>
      <left/>
      <right/>
      <top style="thin">
        <color rgb="FFD0CECE"/>
      </top>
      <bottom style="thin">
        <color rgb="FFD0CECE"/>
      </bottom>
      <diagonal/>
    </border>
    <border>
      <left/>
      <right/>
      <top style="thin">
        <color theme="0" tint="-0.14993743705557422"/>
      </top>
      <bottom style="thin">
        <color theme="0" tint="-0.14993743705557422"/>
      </bottom>
      <diagonal/>
    </border>
    <border>
      <left style="thin">
        <color rgb="FF003C69"/>
      </left>
      <right style="thin">
        <color rgb="FF003C69"/>
      </right>
      <top style="thin">
        <color rgb="FF003C69"/>
      </top>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theme="0"/>
      </top>
      <bottom style="thin">
        <color auto="1"/>
      </bottom>
      <diagonal/>
    </border>
    <border>
      <left/>
      <right style="thin">
        <color theme="0"/>
      </right>
      <top style="thin">
        <color theme="0"/>
      </top>
      <bottom style="thin">
        <color auto="1"/>
      </bottom>
      <diagonal/>
    </border>
    <border>
      <left style="thin">
        <color rgb="FF003C69"/>
      </left>
      <right style="thin">
        <color rgb="FF003C69"/>
      </right>
      <top/>
      <bottom style="thin">
        <color auto="1"/>
      </bottom>
      <diagonal/>
    </border>
    <border>
      <left/>
      <right style="thin">
        <color theme="0"/>
      </right>
      <top/>
      <bottom style="thin">
        <color auto="1"/>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theme="1" tint="0.34998626667073579"/>
      </bottom>
      <diagonal/>
    </border>
    <border>
      <left/>
      <right/>
      <top style="thin">
        <color indexed="64"/>
      </top>
      <bottom style="thin">
        <color indexed="64"/>
      </bottom>
      <diagonal/>
    </border>
    <border>
      <left style="thin">
        <color rgb="FF003C69"/>
      </left>
      <right/>
      <top style="thin">
        <color rgb="FF003C69"/>
      </top>
      <bottom/>
      <diagonal/>
    </border>
    <border>
      <left/>
      <right/>
      <top style="thin">
        <color indexed="64"/>
      </top>
      <bottom/>
      <diagonal/>
    </border>
    <border>
      <left/>
      <right style="thin">
        <color rgb="FF003C69"/>
      </right>
      <top style="thin">
        <color indexed="64"/>
      </top>
      <bottom/>
      <diagonal/>
    </border>
    <border>
      <left style="thin">
        <color rgb="FF003C69"/>
      </left>
      <right style="thin">
        <color rgb="FF003C69"/>
      </right>
      <top style="thin">
        <color indexed="64"/>
      </top>
      <bottom/>
      <diagonal/>
    </border>
    <border>
      <left/>
      <right/>
      <top style="thin">
        <color rgb="FFD0CECE"/>
      </top>
      <bottom/>
      <diagonal/>
    </border>
    <border>
      <left/>
      <right/>
      <top/>
      <bottom style="thin">
        <color rgb="FFD0CECE"/>
      </bottom>
      <diagonal/>
    </border>
    <border>
      <left/>
      <right/>
      <top style="thin">
        <color rgb="FF00B0F0"/>
      </top>
      <bottom/>
      <diagonal/>
    </border>
    <border>
      <left/>
      <right/>
      <top/>
      <bottom style="thin">
        <color theme="0" tint="-0.24994659260841701"/>
      </bottom>
      <diagonal/>
    </border>
    <border>
      <left/>
      <right/>
      <top style="thin">
        <color rgb="FFD0CECE"/>
      </top>
      <bottom style="thin">
        <color theme="0" tint="-0.24994659260841701"/>
      </bottom>
      <diagonal/>
    </border>
    <border>
      <left/>
      <right/>
      <top style="thin">
        <color theme="0" tint="-0.14996795556505021"/>
      </top>
      <bottom style="thin">
        <color theme="0" tint="-0.14996795556505021"/>
      </bottom>
      <diagonal/>
    </border>
    <border>
      <left style="hair">
        <color rgb="FFFFFFFF"/>
      </left>
      <right style="hair">
        <color rgb="FFFFFFFF"/>
      </right>
      <top/>
      <bottom style="hair">
        <color rgb="FFFFFFFF"/>
      </bottom>
      <diagonal/>
    </border>
  </borders>
  <cellStyleXfs count="7870">
    <xf numFmtId="0" fontId="0" fillId="0" borderId="0"/>
    <xf numFmtId="181" fontId="61" fillId="0" borderId="0">
      <protection locked="0"/>
    </xf>
    <xf numFmtId="178" fontId="172" fillId="0" borderId="0" applyFont="0" applyFill="0" applyBorder="0" applyAlignment="0" applyProtection="0"/>
    <xf numFmtId="177" fontId="84"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0" fontId="4" fillId="0" borderId="0"/>
    <xf numFmtId="0" fontId="5" fillId="0" borderId="0" applyNumberFormat="0" applyFill="0" applyBorder="0" applyAlignment="0" applyProtection="0"/>
    <xf numFmtId="164" fontId="6" fillId="0" borderId="0"/>
    <xf numFmtId="165" fontId="7" fillId="0" borderId="0">
      <protection locked="0"/>
    </xf>
    <xf numFmtId="164" fontId="6" fillId="0" borderId="0"/>
    <xf numFmtId="41" fontId="172" fillId="0" borderId="0" applyFont="0" applyFill="0" applyBorder="0" applyAlignment="0" applyProtection="0"/>
    <xf numFmtId="166" fontId="172" fillId="0" borderId="0"/>
    <xf numFmtId="43" fontId="172" fillId="0" borderId="0" applyFont="0" applyFill="0" applyBorder="0" applyAlignment="0" applyProtection="0"/>
    <xf numFmtId="42" fontId="172" fillId="0" borderId="0" applyFont="0" applyFill="0" applyBorder="0" applyAlignment="0" applyProtection="0"/>
    <xf numFmtId="43" fontId="172" fillId="0" borderId="0" applyFont="0" applyFill="0" applyBorder="0" applyAlignment="0" applyProtection="0"/>
    <xf numFmtId="0" fontId="4" fillId="0" borderId="0" applyNumberFormat="0" applyFont="0" applyFill="0" applyBorder="0" applyAlignment="0" applyProtection="0"/>
    <xf numFmtId="167" fontId="172" fillId="0" borderId="0" applyFont="0" applyFill="0" applyBorder="0" applyAlignment="0" applyProtection="0"/>
    <xf numFmtId="0" fontId="4" fillId="0" borderId="0"/>
    <xf numFmtId="43" fontId="4" fillId="0" borderId="0" applyFont="0" applyFill="0" applyBorder="0" applyAlignment="0" applyProtection="0"/>
    <xf numFmtId="0" fontId="172" fillId="0" borderId="0"/>
    <xf numFmtId="0" fontId="172" fillId="0" borderId="0"/>
    <xf numFmtId="167" fontId="172" fillId="0" borderId="0" applyFont="0" applyFill="0" applyBorder="0" applyAlignment="0" applyProtection="0"/>
    <xf numFmtId="9" fontId="172" fillId="0" borderId="0" applyFont="0" applyFill="0" applyBorder="0" applyAlignment="0" applyProtection="0"/>
    <xf numFmtId="41" fontId="4" fillId="0" borderId="0" applyFont="0" applyFill="0" applyBorder="0" applyAlignment="0" applyProtection="0"/>
    <xf numFmtId="171" fontId="4" fillId="0" borderId="0" applyFont="0" applyFill="0" applyBorder="0" applyAlignment="0" applyProtection="0"/>
    <xf numFmtId="0" fontId="4" fillId="0" borderId="0"/>
    <xf numFmtId="43" fontId="172" fillId="0" borderId="0" applyFont="0" applyFill="0" applyBorder="0" applyAlignment="0" applyProtection="0"/>
    <xf numFmtId="0" fontId="41" fillId="2" borderId="0">
      <alignment horizontal="left"/>
    </xf>
    <xf numFmtId="0" fontId="44" fillId="3" borderId="0"/>
    <xf numFmtId="41" fontId="172" fillId="0" borderId="0" applyFont="0" applyFill="0" applyBorder="0" applyAlignment="0" applyProtection="0"/>
    <xf numFmtId="0" fontId="46" fillId="4" borderId="1" applyNumberFormat="0" applyProtection="0"/>
    <xf numFmtId="0" fontId="47" fillId="0" borderId="2" applyNumberFormat="0" applyProtection="0">
      <alignment horizontal="right" vertical="center"/>
    </xf>
    <xf numFmtId="0" fontId="46" fillId="0" borderId="3" applyNumberFormat="0" applyProtection="0">
      <alignment horizontal="right" vertical="center"/>
    </xf>
    <xf numFmtId="0" fontId="48" fillId="5" borderId="3" applyNumberFormat="0" applyProtection="0"/>
    <xf numFmtId="0" fontId="48" fillId="6" borderId="3" applyNumberFormat="0" applyProtection="0"/>
    <xf numFmtId="0" fontId="47" fillId="7" borderId="2" applyNumberFormat="0" applyBorder="0" applyProtection="0">
      <alignment horizontal="right" vertical="center"/>
    </xf>
    <xf numFmtId="0" fontId="48" fillId="5" borderId="3" applyNumberFormat="0" applyProtection="0"/>
    <xf numFmtId="0" fontId="46" fillId="6" borderId="3" applyNumberFormat="0" applyProtection="0">
      <alignment horizontal="right" vertical="center"/>
    </xf>
    <xf numFmtId="0" fontId="46" fillId="7" borderId="3" applyNumberFormat="0" applyBorder="0" applyProtection="0">
      <alignment horizontal="right" vertical="center"/>
    </xf>
    <xf numFmtId="0" fontId="49" fillId="8" borderId="4" applyNumberFormat="0" applyBorder="0" applyProtection="0"/>
    <xf numFmtId="0" fontId="50" fillId="9" borderId="4" applyNumberFormat="0" applyBorder="0" applyProtection="0"/>
    <xf numFmtId="0" fontId="50" fillId="10" borderId="4" applyNumberFormat="0" applyBorder="0" applyProtection="0"/>
    <xf numFmtId="0" fontId="51" fillId="11" borderId="4" applyNumberFormat="0" applyBorder="0" applyProtection="0"/>
    <xf numFmtId="0" fontId="51" fillId="12" borderId="4" applyNumberFormat="0" applyBorder="0" applyProtection="0"/>
    <xf numFmtId="0" fontId="51" fillId="13" borderId="4" applyNumberFormat="0" applyBorder="0" applyProtection="0"/>
    <xf numFmtId="0" fontId="52" fillId="14" borderId="4" applyNumberFormat="0" applyBorder="0" applyProtection="0"/>
    <xf numFmtId="0" fontId="52" fillId="15" borderId="4" applyNumberFormat="0" applyBorder="0" applyProtection="0"/>
    <xf numFmtId="0" fontId="52" fillId="16" borderId="4" applyNumberFormat="0" applyBorder="0" applyProtection="0"/>
    <xf numFmtId="0" fontId="53" fillId="0" borderId="1" applyNumberFormat="0" applyFont="0" applyFill="0" applyAlignment="0" applyProtection="0"/>
    <xf numFmtId="0" fontId="47" fillId="17" borderId="1" applyNumberFormat="0" applyProtection="0"/>
    <xf numFmtId="0" fontId="46" fillId="4" borderId="3" applyNumberFormat="0" applyProtection="0"/>
    <xf numFmtId="0" fontId="48" fillId="18" borderId="1" applyNumberFormat="0" applyProtection="0"/>
    <xf numFmtId="0" fontId="48" fillId="19" borderId="1" applyNumberFormat="0" applyProtection="0"/>
    <xf numFmtId="0" fontId="48" fillId="20" borderId="1" applyNumberFormat="0" applyProtection="0"/>
    <xf numFmtId="0" fontId="48" fillId="7" borderId="1" applyNumberFormat="0" applyProtection="0"/>
    <xf numFmtId="0" fontId="48" fillId="6" borderId="3" applyNumberFormat="0" applyProtection="0"/>
    <xf numFmtId="0" fontId="54" fillId="0" borderId="5" applyNumberFormat="0" applyFill="0" applyBorder="0" applyAlignment="0" applyProtection="0"/>
    <xf numFmtId="0" fontId="55" fillId="0" borderId="5" applyNumberFormat="0" applyBorder="0" applyAlignment="0" applyProtection="0"/>
    <xf numFmtId="0" fontId="54" fillId="5" borderId="3" applyNumberFormat="0" applyProtection="0"/>
    <xf numFmtId="0" fontId="54" fillId="5" borderId="3" applyNumberFormat="0" applyProtection="0"/>
    <xf numFmtId="0" fontId="54" fillId="6" borderId="3" applyNumberFormat="0" applyProtection="0"/>
    <xf numFmtId="0" fontId="56" fillId="6" borderId="3" applyNumberFormat="0" applyProtection="0">
      <alignment horizontal="right" vertical="center"/>
    </xf>
    <xf numFmtId="0" fontId="57" fillId="7" borderId="2" applyNumberFormat="0" applyBorder="0" applyProtection="0">
      <alignment horizontal="right" vertical="center"/>
    </xf>
    <xf numFmtId="0" fontId="56" fillId="7" borderId="3" applyNumberFormat="0" applyBorder="0" applyProtection="0">
      <alignment horizontal="right" vertical="center"/>
    </xf>
    <xf numFmtId="0" fontId="47" fillId="0" borderId="2" applyNumberFormat="0" applyFill="0" applyBorder="0" applyProtection="0"/>
    <xf numFmtId="0" fontId="47" fillId="0" borderId="2" applyNumberFormat="0" applyFill="0" applyBorder="0" applyProtection="0"/>
    <xf numFmtId="41" fontId="172" fillId="0" borderId="0" applyFont="0" applyFill="0" applyBorder="0" applyAlignment="0" applyProtection="0"/>
    <xf numFmtId="179" fontId="172" fillId="0" borderId="0" applyFont="0" applyFill="0" applyBorder="0" applyAlignment="0" applyProtection="0"/>
    <xf numFmtId="0" fontId="172" fillId="0" borderId="0"/>
    <xf numFmtId="9" fontId="4" fillId="0" borderId="0" applyFont="0" applyFill="0" applyBorder="0" applyAlignment="0" applyProtection="0"/>
    <xf numFmtId="0" fontId="58" fillId="0" borderId="0">
      <alignment horizontal="right" vertical="center"/>
    </xf>
    <xf numFmtId="0" fontId="45" fillId="21" borderId="6" applyNumberFormat="0" applyProtection="0"/>
    <xf numFmtId="0" fontId="60" fillId="0" borderId="2" applyNumberFormat="0" applyProtection="0">
      <alignment horizontal="right" vertical="center"/>
    </xf>
    <xf numFmtId="0" fontId="59" fillId="22" borderId="3" applyNumberFormat="0" applyProtection="0">
      <alignment horizontal="right" vertical="center"/>
    </xf>
    <xf numFmtId="0" fontId="53" fillId="0" borderId="6" applyNumberFormat="0" applyFont="0" applyFill="0" applyAlignment="0" applyProtection="0"/>
    <xf numFmtId="0" fontId="60" fillId="0" borderId="6" applyNumberFormat="0" applyProtection="0"/>
    <xf numFmtId="0" fontId="59" fillId="23" borderId="3" applyNumberFormat="0" applyProtection="0"/>
    <xf numFmtId="0" fontId="45" fillId="21" borderId="7" applyNumberFormat="0" applyProtection="0"/>
    <xf numFmtId="0" fontId="42" fillId="21" borderId="1" applyNumberFormat="0" applyProtection="0"/>
    <xf numFmtId="41" fontId="172" fillId="0" borderId="0" applyFont="0" applyFill="0" applyBorder="0" applyAlignment="0" applyProtection="0"/>
    <xf numFmtId="41" fontId="172" fillId="0" borderId="0" applyFont="0" applyFill="0" applyBorder="0" applyAlignment="0" applyProtection="0"/>
    <xf numFmtId="0" fontId="47" fillId="17" borderId="1" applyNumberForma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0" fontId="58" fillId="0" borderId="0">
      <alignment horizontal="right" vertical="center"/>
    </xf>
    <xf numFmtId="41" fontId="172" fillId="0" borderId="0" applyFont="0" applyFill="0" applyBorder="0" applyAlignment="0" applyProtection="0"/>
    <xf numFmtId="41" fontId="172" fillId="0" borderId="0" applyFont="0" applyFill="0" applyBorder="0" applyAlignment="0" applyProtection="0"/>
    <xf numFmtId="181" fontId="61" fillId="0" borderId="0">
      <protection locked="0"/>
    </xf>
    <xf numFmtId="0" fontId="172" fillId="0" borderId="0"/>
    <xf numFmtId="0" fontId="172" fillId="0" borderId="0"/>
    <xf numFmtId="9"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83" fontId="65" fillId="0" borderId="0" applyFont="0" applyFill="0" applyBorder="0" applyAlignment="0" applyProtection="0"/>
    <xf numFmtId="184" fontId="6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65" fillId="0" borderId="0" applyFont="0" applyFill="0" applyBorder="0" applyAlignment="0" applyProtection="0"/>
    <xf numFmtId="186" fontId="65" fillId="0" borderId="0" applyFont="0" applyFill="0" applyBorder="0" applyAlignment="0" applyProtection="0"/>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0" fontId="66" fillId="0" borderId="0">
      <alignment vertical="center"/>
    </xf>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175" fontId="6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4" borderId="0" applyNumberFormat="0" applyBorder="0" applyAlignment="0" applyProtection="0"/>
    <xf numFmtId="0" fontId="62" fillId="25" borderId="0" applyNumberFormat="0" applyBorder="0" applyAlignment="0" applyProtection="0"/>
    <xf numFmtId="0" fontId="62" fillId="26" borderId="0" applyNumberFormat="0" applyBorder="0" applyAlignment="0" applyProtection="0"/>
    <xf numFmtId="0" fontId="62" fillId="27"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7" fillId="30"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 fillId="31"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68" fillId="24" borderId="0" applyNumberFormat="0" applyBorder="0" applyAlignment="0" applyProtection="0"/>
    <xf numFmtId="0" fontId="172"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172" fillId="31" borderId="0" applyNumberFormat="0" applyBorder="0" applyAlignment="0" applyProtection="0"/>
    <xf numFmtId="0" fontId="69" fillId="24" borderId="0" applyNumberFormat="0" applyBorder="0" applyAlignment="0" applyProtection="0"/>
    <xf numFmtId="0" fontId="69" fillId="24" borderId="0" applyNumberFormat="0" applyBorder="0" applyAlignment="0" applyProtection="0"/>
    <xf numFmtId="0" fontId="68" fillId="24" borderId="0" applyNumberFormat="0" applyBorder="0" applyAlignment="0" applyProtection="0"/>
    <xf numFmtId="0" fontId="69" fillId="25" borderId="0" applyNumberFormat="0" applyBorder="0" applyAlignment="0" applyProtection="0"/>
    <xf numFmtId="0" fontId="67" fillId="32" borderId="0" applyNumberFormat="0" applyBorder="0" applyAlignment="0" applyProtection="0"/>
    <xf numFmtId="0" fontId="172" fillId="33" borderId="0" applyNumberFormat="0" applyBorder="0" applyAlignment="0" applyProtection="0"/>
    <xf numFmtId="0" fontId="69" fillId="26" borderId="0" applyNumberFormat="0" applyBorder="0" applyAlignment="0" applyProtection="0"/>
    <xf numFmtId="0" fontId="67" fillId="34" borderId="0" applyNumberFormat="0" applyBorder="0" applyAlignment="0" applyProtection="0"/>
    <xf numFmtId="0" fontId="172" fillId="35" borderId="0" applyNumberFormat="0" applyBorder="0" applyAlignment="0" applyProtection="0"/>
    <xf numFmtId="0" fontId="69" fillId="27" borderId="0" applyNumberFormat="0" applyBorder="0" applyAlignment="0" applyProtection="0"/>
    <xf numFmtId="0" fontId="172" fillId="35" borderId="0" applyNumberFormat="0" applyBorder="0" applyAlignment="0" applyProtection="0"/>
    <xf numFmtId="0" fontId="69" fillId="27"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2" fillId="37" borderId="0" applyNumberFormat="0" applyBorder="0" applyAlignment="0" applyProtection="0"/>
    <xf numFmtId="0" fontId="69" fillId="28" borderId="0" applyNumberFormat="0" applyBorder="0" applyAlignment="0" applyProtection="0"/>
    <xf numFmtId="0" fontId="67" fillId="38" borderId="0" applyNumberFormat="0" applyBorder="0" applyAlignment="0" applyProtection="0"/>
    <xf numFmtId="0" fontId="172" fillId="39" borderId="0" applyNumberFormat="0" applyBorder="0" applyAlignment="0" applyProtection="0"/>
    <xf numFmtId="0" fontId="69"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30"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7" fillId="30" borderId="0" applyNumberFormat="0" applyBorder="0" applyAlignment="0" applyProtection="0"/>
    <xf numFmtId="0" fontId="172" fillId="42" borderId="0" applyNumberFormat="0" applyBorder="0" applyAlignment="0" applyProtection="0"/>
    <xf numFmtId="0" fontId="69" fillId="40" borderId="0" applyNumberFormat="0" applyBorder="0" applyAlignment="0" applyProtection="0"/>
    <xf numFmtId="0" fontId="69" fillId="36" borderId="0" applyNumberFormat="0" applyBorder="0" applyAlignment="0" applyProtection="0"/>
    <xf numFmtId="0" fontId="67" fillId="43" borderId="0" applyNumberFormat="0" applyBorder="0" applyAlignment="0" applyProtection="0"/>
    <xf numFmtId="0" fontId="1" fillId="44" borderId="0" applyNumberFormat="0" applyBorder="0" applyAlignment="0" applyProtection="0"/>
    <xf numFmtId="0" fontId="68" fillId="30" borderId="0" applyNumberFormat="0" applyBorder="0" applyAlignment="0" applyProtection="0"/>
    <xf numFmtId="0" fontId="172" fillId="44" borderId="0" applyNumberFormat="0" applyBorder="0" applyAlignment="0" applyProtection="0"/>
    <xf numFmtId="0" fontId="69" fillId="30" borderId="0" applyNumberFormat="0" applyBorder="0" applyAlignment="0" applyProtection="0"/>
    <xf numFmtId="0" fontId="69" fillId="30" borderId="0" applyNumberFormat="0" applyBorder="0" applyAlignment="0" applyProtection="0"/>
    <xf numFmtId="0" fontId="68" fillId="30" borderId="0" applyNumberFormat="0" applyBorder="0" applyAlignment="0" applyProtection="0"/>
    <xf numFmtId="0" fontId="67" fillId="45" borderId="0" applyNumberFormat="0" applyBorder="0" applyAlignment="0" applyProtection="0"/>
    <xf numFmtId="0" fontId="172" fillId="46" borderId="0" applyNumberFormat="0" applyBorder="0" applyAlignment="0" applyProtection="0"/>
    <xf numFmtId="0" fontId="69" fillId="27" borderId="0" applyNumberFormat="0" applyBorder="0" applyAlignment="0" applyProtection="0"/>
    <xf numFmtId="0" fontId="67" fillId="36" borderId="0" applyNumberFormat="0" applyBorder="0" applyAlignment="0" applyProtection="0"/>
    <xf numFmtId="0" fontId="172" fillId="47"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1" fillId="30" borderId="0" applyNumberFormat="0" applyBorder="0" applyAlignment="0" applyProtection="0"/>
    <xf numFmtId="0" fontId="13" fillId="52" borderId="0" applyNumberFormat="0" applyBorder="0" applyAlignment="0" applyProtection="0"/>
    <xf numFmtId="0" fontId="72" fillId="48" borderId="0" applyNumberFormat="0" applyBorder="0" applyAlignment="0" applyProtection="0"/>
    <xf numFmtId="0" fontId="71" fillId="43" borderId="0" applyNumberFormat="0" applyBorder="0" applyAlignment="0" applyProtection="0"/>
    <xf numFmtId="0" fontId="13" fillId="53" borderId="0" applyNumberFormat="0" applyBorder="0" applyAlignment="0" applyProtection="0"/>
    <xf numFmtId="0" fontId="72" fillId="30" borderId="0" applyNumberFormat="0" applyBorder="0" applyAlignment="0" applyProtection="0"/>
    <xf numFmtId="0" fontId="73" fillId="0" borderId="0" applyNumberFormat="0" applyFill="0" applyBorder="0" applyAlignment="0"/>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187" fontId="28" fillId="40" borderId="8">
      <alignment horizontal="center" vertic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37" fontId="74" fillId="0" borderId="9">
      <alignment horizontal="center"/>
    </xf>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39" fontId="75" fillId="0" borderId="10" applyFill="0" applyBorder="0"/>
    <xf numFmtId="0" fontId="76" fillId="26" borderId="0" applyNumberFormat="0" applyBorder="0" applyAlignment="0" applyProtection="0"/>
    <xf numFmtId="0" fontId="4" fillId="40" borderId="11" applyNumberFormat="0" applyFont="0" applyAlignment="0" applyProtection="0"/>
    <xf numFmtId="0" fontId="77" fillId="54" borderId="12" applyNumberFormat="0" applyAlignment="0" applyProtection="0"/>
    <xf numFmtId="0" fontId="39" fillId="55" borderId="13" applyNumberFormat="0" applyAlignment="0" applyProtection="0"/>
    <xf numFmtId="0" fontId="78" fillId="56" borderId="14" applyNumberFormat="0" applyAlignment="0" applyProtection="0"/>
    <xf numFmtId="15" fontId="75" fillId="0" borderId="0">
      <alignment horizontal="center"/>
    </xf>
    <xf numFmtId="0" fontId="79" fillId="34" borderId="15" applyNumberFormat="0" applyAlignment="0" applyProtection="0"/>
    <xf numFmtId="0" fontId="40" fillId="57" borderId="16" applyNumberFormat="0" applyAlignment="0" applyProtection="0"/>
    <xf numFmtId="0" fontId="80" fillId="58" borderId="17" applyNumberFormat="0" applyAlignment="0" applyProtection="0"/>
    <xf numFmtId="0" fontId="81" fillId="58" borderId="17" applyNumberFormat="0" applyAlignment="0" applyProtection="0"/>
    <xf numFmtId="0" fontId="82" fillId="0" borderId="18" applyNumberFormat="0" applyFill="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 fontId="61"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90" fontId="61" fillId="0" borderId="0">
      <protection locked="0"/>
    </xf>
    <xf numFmtId="178"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2" fontId="4" fillId="0" borderId="0" applyFont="0" applyFill="0" applyBorder="0" applyAlignment="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70" fillId="59"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61" borderId="0" applyNumberFormat="0" applyBorder="0" applyAlignment="0" applyProtection="0"/>
    <xf numFmtId="0" fontId="71" fillId="51" borderId="0" applyNumberFormat="0" applyBorder="0" applyAlignment="0" applyProtection="0"/>
    <xf numFmtId="0" fontId="13" fillId="62" borderId="0" applyNumberFormat="0" applyBorder="0" applyAlignment="0" applyProtection="0"/>
    <xf numFmtId="0" fontId="72" fillId="59" borderId="0" applyNumberFormat="0" applyBorder="0" applyAlignment="0" applyProtection="0"/>
    <xf numFmtId="0" fontId="13" fillId="62" borderId="0" applyNumberFormat="0" applyBorder="0" applyAlignment="0" applyProtection="0"/>
    <xf numFmtId="0" fontId="71" fillId="63" borderId="0" applyNumberFormat="0" applyBorder="0" applyAlignment="0" applyProtection="0"/>
    <xf numFmtId="0" fontId="13" fillId="64" borderId="0" applyNumberFormat="0" applyBorder="0" applyAlignment="0" applyProtection="0"/>
    <xf numFmtId="0" fontId="72" fillId="43" borderId="0" applyNumberFormat="0" applyBorder="0" applyAlignment="0" applyProtection="0"/>
    <xf numFmtId="0" fontId="71" fillId="65" borderId="0" applyNumberFormat="0" applyBorder="0" applyAlignment="0" applyProtection="0"/>
    <xf numFmtId="0" fontId="13" fillId="66" borderId="0" applyNumberFormat="0" applyBorder="0" applyAlignment="0" applyProtection="0"/>
    <xf numFmtId="0" fontId="72" fillId="50" borderId="0" applyNumberFormat="0" applyBorder="0" applyAlignment="0" applyProtection="0"/>
    <xf numFmtId="0" fontId="13" fillId="6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4" fillId="0" borderId="0"/>
    <xf numFmtId="168" fontId="68" fillId="67" borderId="19" applyFont="0" applyBorder="0"/>
    <xf numFmtId="168" fontId="85" fillId="68" borderId="20">
      <protection locked="0"/>
    </xf>
    <xf numFmtId="0" fontId="4" fillId="69" borderId="0" applyFont="0"/>
    <xf numFmtId="0" fontId="4" fillId="70"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3" fontId="4" fillId="0" borderId="0" applyFont="0" applyFill="0" applyBorder="0" applyAlignment="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4" fontId="43" fillId="0" borderId="0" applyFont="0" applyFill="0" applyBorder="0" applyProtection="0"/>
    <xf numFmtId="193" fontId="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195" fontId="86" fillId="0" borderId="0">
      <alignment horizontal="right" vertical="top"/>
    </xf>
    <xf numFmtId="196" fontId="86" fillId="0" borderId="0" applyFont="0" applyFill="0">
      <alignment horizontal="right" vertical="top"/>
    </xf>
    <xf numFmtId="41" fontId="87" fillId="0" borderId="0" applyFill="0" applyBorder="0" applyProtection="0"/>
    <xf numFmtId="0" fontId="87" fillId="0" borderId="0" applyFill="0" applyBorder="0">
      <alignment horizontal="left" vertical="top"/>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61"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197" fontId="88" fillId="0" borderId="0">
      <protection locked="0"/>
    </xf>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43" fillId="56" borderId="0" applyNumberFormat="0" applyBorder="0" applyAlignment="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1"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0" fontId="92" fillId="0" borderId="0" applyNumberFormat="0" applyFill="0" applyBorder="0" applyProtection="0"/>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8" fontId="93" fillId="0" borderId="0">
      <protection locked="0"/>
    </xf>
    <xf numFmtId="199" fontId="94" fillId="0" borderId="21" applyBorder="0"/>
    <xf numFmtId="0" fontId="95" fillId="0" borderId="0" applyNumberFormat="0" applyFill="0" applyBorder="0">
      <protection locked="0"/>
    </xf>
    <xf numFmtId="0" fontId="96" fillId="0" borderId="0" applyNumberFormat="0" applyFill="0" applyBorder="0">
      <protection locked="0"/>
    </xf>
    <xf numFmtId="0" fontId="97" fillId="71" borderId="0" applyNumberFormat="0" applyBorder="0" applyAlignment="0" applyProtection="0"/>
    <xf numFmtId="0" fontId="37" fillId="72" borderId="0" applyNumberFormat="0" applyBorder="0" applyAlignment="0" applyProtection="0"/>
    <xf numFmtId="0" fontId="98" fillId="25" borderId="0" applyNumberFormat="0" applyBorder="0" applyAlignment="0" applyProtection="0"/>
    <xf numFmtId="0" fontId="99" fillId="25" borderId="0" applyNumberFormat="0" applyBorder="0" applyAlignment="0" applyProtection="0"/>
    <xf numFmtId="0" fontId="100" fillId="0" borderId="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43" fillId="65" borderId="11" applyNumberFormat="0" applyBorder="0" applyAlignment="0" applyProtection="0"/>
    <xf numFmtId="0" fontId="101" fillId="0" borderId="22" applyNumberFormat="0" applyBorder="0"/>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38" fontId="87" fillId="0" borderId="23">
      <alignment vertical="center"/>
    </xf>
    <xf numFmtId="200" fontId="4"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43" fontId="172" fillId="0" borderId="0" applyFont="0" applyFill="0" applyBorder="0" applyAlignment="0" applyProtection="0"/>
    <xf numFmtId="171" fontId="4"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20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87" fillId="0" borderId="24" applyBorder="0">
      <alignment vertical="center"/>
    </xf>
    <xf numFmtId="40" fontId="4" fillId="0" borderId="24" applyBorder="0">
      <alignment vertical="center"/>
    </xf>
    <xf numFmtId="202" fontId="4" fillId="0" borderId="0" applyFill="0" applyBorder="0" applyAlignment="0" applyProtection="0"/>
    <xf numFmtId="0" fontId="104" fillId="73" borderId="0" applyNumberFormat="0" applyBorder="0" applyAlignment="0" applyProtection="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37" fontId="105" fillId="0" borderId="0"/>
    <xf numFmtId="203" fontId="106" fillId="0" borderId="0"/>
    <xf numFmtId="0" fontId="4" fillId="0" borderId="0" applyNumberFormat="0" applyFill="0" applyBorder="0" applyAlignment="0" applyProtection="0"/>
    <xf numFmtId="0" fontId="172" fillId="0" borderId="0"/>
    <xf numFmtId="0" fontId="102" fillId="0" borderId="0"/>
    <xf numFmtId="0" fontId="4" fillId="0" borderId="0"/>
    <xf numFmtId="0" fontId="4" fillId="0" borderId="0"/>
    <xf numFmtId="0" fontId="68" fillId="0" borderId="0">
      <alignment vertical="top"/>
    </xf>
    <xf numFmtId="0" fontId="1" fillId="0" borderId="0"/>
    <xf numFmtId="0" fontId="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alignment vertical="top"/>
    </xf>
    <xf numFmtId="0" fontId="68" fillId="0" borderId="0">
      <alignment vertical="top"/>
    </xf>
    <xf numFmtId="0" fontId="4" fillId="0" borderId="0"/>
    <xf numFmtId="0" fontId="172" fillId="0" borderId="0"/>
    <xf numFmtId="0" fontId="172" fillId="0" borderId="0"/>
    <xf numFmtId="0" fontId="69" fillId="0" borderId="0"/>
    <xf numFmtId="0" fontId="69" fillId="0" borderId="0"/>
    <xf numFmtId="0" fontId="69" fillId="0" borderId="0"/>
    <xf numFmtId="0" fontId="69" fillId="0" borderId="0"/>
    <xf numFmtId="0" fontId="172" fillId="0" borderId="0"/>
    <xf numFmtId="0" fontId="69" fillId="0" borderId="0"/>
    <xf numFmtId="0" fontId="69" fillId="0" borderId="0"/>
    <xf numFmtId="0" fontId="4" fillId="0" borderId="0" applyNumberFormat="0" applyFill="0" applyBorder="0" applyAlignment="0" applyProtection="0"/>
    <xf numFmtId="0" fontId="4" fillId="0" borderId="0"/>
    <xf numFmtId="0" fontId="62" fillId="65" borderId="25" applyNumberFormat="0" applyFont="0" applyAlignment="0" applyProtection="0"/>
    <xf numFmtId="0" fontId="103" fillId="74" borderId="26" applyNumberFormat="0" applyFont="0" applyAlignment="0" applyProtection="0"/>
    <xf numFmtId="0" fontId="69" fillId="65" borderId="25" applyNumberFormat="0" applyFont="0" applyAlignment="0" applyProtection="0"/>
    <xf numFmtId="0" fontId="69"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81" fontId="61" fillId="0" borderId="0">
      <protection locked="0"/>
    </xf>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111" fillId="0" borderId="0" applyNumberFormat="0" applyFill="0" applyBorder="0" applyProtection="0">
      <alignment horizontal="left"/>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12" fillId="56" borderId="44" applyNumberFormat="0" applyAlignment="0" applyProtection="0"/>
    <xf numFmtId="0" fontId="113" fillId="54" borderId="45" applyNumberFormat="0" applyAlignment="0" applyProtection="0"/>
    <xf numFmtId="0" fontId="38" fillId="55" borderId="46" applyNumberFormat="0" applyAlignment="0" applyProtection="0"/>
    <xf numFmtId="207" fontId="4" fillId="0" borderId="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5" fillId="0" borderId="0"/>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6" fillId="0" borderId="10" applyNumberFormat="0">
      <alignment horizontal="left"/>
      <protection locked="0" hidden="1"/>
    </xf>
    <xf numFmtId="0" fontId="117"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8" fillId="0" borderId="0"/>
    <xf numFmtId="0" fontId="118" fillId="0" borderId="0"/>
    <xf numFmtId="0" fontId="118" fillId="0" borderId="0"/>
    <xf numFmtId="0" fontId="2" fillId="0" borderId="4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25" borderId="0" applyNumberFormat="0" applyBorder="0" applyAlignment="0" applyProtection="0"/>
    <xf numFmtId="0" fontId="62" fillId="26" borderId="0" applyNumberFormat="0" applyBorder="0" applyAlignment="0" applyProtection="0"/>
    <xf numFmtId="0" fontId="62" fillId="28" borderId="0" applyNumberFormat="0" applyBorder="0" applyAlignment="0" applyProtection="0"/>
    <xf numFmtId="0" fontId="62" fillId="29" borderId="0" applyNumberFormat="0" applyBorder="0" applyAlignment="0" applyProtection="0"/>
    <xf numFmtId="0" fontId="62" fillId="40" borderId="0" applyNumberFormat="0" applyBorder="0" applyAlignment="0" applyProtection="0"/>
    <xf numFmtId="0" fontId="62" fillId="36" borderId="0" applyNumberFormat="0" applyBorder="0" applyAlignment="0" applyProtection="0"/>
    <xf numFmtId="0" fontId="62" fillId="27"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70" fillId="48"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70" fillId="30"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0" fontId="4" fillId="0" borderId="0" applyNumberFormat="0" applyFill="0" applyBorder="0" applyAlignment="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39" fontId="4" fillId="0" borderId="10" applyFill="0" applyBorder="0"/>
    <xf numFmtId="0" fontId="76" fillId="26" borderId="0" applyNumberFormat="0" applyBorder="0" applyAlignment="0" applyProtection="0"/>
    <xf numFmtId="0" fontId="76" fillId="26"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56" borderId="14"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81" fillId="58" borderId="17" applyNumberFormat="0" applyAlignment="0" applyProtection="0"/>
    <xf numFmtId="0" fontId="82" fillId="0" borderId="18" applyNumberFormat="0" applyFill="0" applyAlignment="0" applyProtection="0"/>
    <xf numFmtId="0" fontId="82" fillId="0" borderId="18" applyNumberFormat="0" applyFill="0" applyAlignment="0" applyProtection="0"/>
    <xf numFmtId="0" fontId="3" fillId="75" borderId="50" applyFont="0" applyFill="0" applyBorder="0"/>
    <xf numFmtId="0" fontId="43" fillId="0" borderId="51"/>
    <xf numFmtId="0" fontId="124" fillId="0" borderId="52">
      <alignment horizontal="center"/>
    </xf>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3"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180" fontId="83"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61" fillId="0" borderId="0">
      <protection locked="0"/>
    </xf>
    <xf numFmtId="0" fontId="93" fillId="0" borderId="0">
      <protection locked="0"/>
    </xf>
    <xf numFmtId="0" fontId="93" fillId="0" borderId="0">
      <protection locked="0"/>
    </xf>
    <xf numFmtId="0" fontId="119" fillId="0" borderId="0" applyNumberFormat="0" applyFill="0" applyBorder="0" applyAlignment="0" applyProtection="0"/>
    <xf numFmtId="0" fontId="119" fillId="0" borderId="0" applyNumberFormat="0" applyFill="0" applyBorder="0" applyAlignment="0" applyProtection="0"/>
    <xf numFmtId="0" fontId="70" fillId="60" borderId="0" applyNumberFormat="0" applyBorder="0" applyAlignment="0" applyProtection="0"/>
    <xf numFmtId="0" fontId="70" fillId="60" borderId="0" applyNumberFormat="0" applyBorder="0" applyAlignment="0" applyProtection="0"/>
    <xf numFmtId="0" fontId="70" fillId="43"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25" fillId="29" borderId="14" applyNumberFormat="0" applyAlignment="0" applyProtection="0"/>
    <xf numFmtId="0" fontId="125" fillId="29" borderId="14"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6" fillId="0" borderId="0" applyFont="0" applyFill="0" applyBorder="0" applyAlignment="0" applyProtection="0"/>
    <xf numFmtId="209" fontId="61" fillId="0" borderId="0">
      <protection locked="0"/>
    </xf>
    <xf numFmtId="4" fontId="61" fillId="0" borderId="0">
      <protection locked="0"/>
    </xf>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89" fillId="0" borderId="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9" fillId="25" borderId="0" applyNumberFormat="0" applyBorder="0" applyAlignment="0" applyProtection="0"/>
    <xf numFmtId="3" fontId="127" fillId="76" borderId="11">
      <protection locked="0"/>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38" fontId="87" fillId="0" borderId="23">
      <alignment vertical="center"/>
    </xf>
    <xf numFmtId="38" fontId="87" fillId="0" borderId="23">
      <alignment vertical="center"/>
    </xf>
    <xf numFmtId="40" fontId="87" fillId="0" borderId="23">
      <alignment vertical="center"/>
    </xf>
    <xf numFmtId="40" fontId="87" fillId="0" borderId="23">
      <alignment vertical="center"/>
    </xf>
    <xf numFmtId="40" fontId="87" fillId="0" borderId="23">
      <alignment vertical="center"/>
    </xf>
    <xf numFmtId="40" fontId="87" fillId="0" borderId="23">
      <alignment vertical="center"/>
    </xf>
    <xf numFmtId="210" fontId="4" fillId="0" borderId="0" applyFont="0" applyFill="0" applyBorder="0" applyAlignment="0" applyProtection="0"/>
    <xf numFmtId="211" fontId="61" fillId="0" borderId="0">
      <protection locked="0"/>
    </xf>
    <xf numFmtId="212" fontId="126" fillId="0" borderId="0" applyFont="0" applyFill="0" applyBorder="0" applyAlignment="0" applyProtection="0"/>
    <xf numFmtId="0" fontId="104" fillId="73" borderId="0" applyNumberFormat="0" applyBorder="0" applyAlignment="0" applyProtection="0"/>
    <xf numFmtId="0" fontId="104" fillId="73" borderId="0" applyNumberFormat="0" applyBorder="0" applyAlignment="0" applyProtection="0"/>
    <xf numFmtId="213" fontId="4" fillId="0" borderId="0"/>
    <xf numFmtId="214" fontId="4" fillId="0" borderId="0"/>
    <xf numFmtId="215" fontId="4" fillId="0" borderId="0">
      <alignment horizontal="right"/>
    </xf>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0" fontId="62" fillId="65" borderId="25" applyNumberFormat="0" applyFont="0" applyAlignment="0" applyProtection="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181" fontId="61" fillId="0" borderId="0">
      <protection locked="0"/>
    </xf>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84" fillId="0" borderId="27" applyBorder="0"/>
    <xf numFmtId="9" fontId="4" fillId="0" borderId="0" applyFont="0" applyFill="0" applyBorder="0" applyAlignment="0" applyProtection="0"/>
    <xf numFmtId="9" fontId="4" fillId="0" borderId="0" applyFont="0" applyFill="0" applyBorder="0" applyAlignment="0" applyProtection="0"/>
    <xf numFmtId="37" fontId="4"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107"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37" fontId="4" fillId="0" borderId="10">
      <alignment horizontal="right"/>
      <protection locked="0" hidden="1"/>
    </xf>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0" fontId="84" fillId="0" borderId="0" applyNumberFormat="0" applyFont="0" applyFill="0" applyBorder="0" applyProtection="0"/>
    <xf numFmtId="3" fontId="126"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Border="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0" fontId="108" fillId="0" borderId="0" applyNumberFormat="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112" fillId="56" borderId="44" applyNumberFormat="0" applyAlignment="0" applyProtection="0"/>
    <xf numFmtId="0" fontId="112" fillId="56" borderId="44" applyNumberFormat="0" applyAlignment="0" applyProtection="0"/>
    <xf numFmtId="171" fontId="4" fillId="0" borderId="0" applyFont="0" applyFill="0" applyBorder="0" applyAlignment="0" applyProtection="0"/>
    <xf numFmtId="0" fontId="128" fillId="0" borderId="53">
      <alignment horizontal="left"/>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4" fillId="0" borderId="10" applyNumberFormat="0">
      <alignment horizontal="left"/>
      <protection locked="0" hidden="1"/>
    </xf>
    <xf numFmtId="0" fontId="117" fillId="0" borderId="0" applyNumberFormat="0" applyFill="0" applyBorder="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77" borderId="54" applyNumberFormat="0">
      <alignment horizontal="left"/>
    </xf>
    <xf numFmtId="0" fontId="131" fillId="0" borderId="55" applyNumberFormat="0" applyFill="0" applyAlignment="0" applyProtection="0"/>
    <xf numFmtId="0" fontId="131" fillId="0" borderId="5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63" fillId="0" borderId="58" applyNumberFormat="0" applyFill="0" applyAlignment="0" applyProtection="0"/>
    <xf numFmtId="0" fontId="63" fillId="0" borderId="58"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43" fontId="4" fillId="0" borderId="0" applyFont="0" applyFill="0" applyBorder="0" applyAlignment="0" applyProtection="0"/>
    <xf numFmtId="0" fontId="134" fillId="0" borderId="0">
      <alignment horizontal="left" vertical="center" indent="1"/>
    </xf>
    <xf numFmtId="0" fontId="96" fillId="0" borderId="0" applyNumberFormat="0" applyFill="0" applyBorder="0">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72" fillId="0" borderId="0"/>
    <xf numFmtId="171" fontId="4" fillId="0" borderId="0" applyFont="0" applyFill="0" applyBorder="0" applyAlignment="0" applyProtection="0"/>
    <xf numFmtId="0" fontId="4" fillId="0" borderId="0"/>
    <xf numFmtId="0" fontId="4" fillId="0" borderId="0" applyNumberForma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6" fontId="6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43" fontId="172" fillId="0" borderId="0" applyFont="0" applyFill="0" applyBorder="0" applyAlignment="0" applyProtection="0"/>
    <xf numFmtId="177" fontId="10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0" fontId="4" fillId="0" borderId="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2" fontId="17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178"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62" fillId="24" borderId="0" applyNumberFormat="0" applyBorder="0" applyAlignment="0" applyProtection="0"/>
    <xf numFmtId="0" fontId="67" fillId="30" borderId="0" applyNumberFormat="0" applyBorder="0" applyAlignment="0" applyProtection="0"/>
    <xf numFmtId="0" fontId="62" fillId="24" borderId="0" applyNumberFormat="0" applyBorder="0" applyAlignment="0" applyProtection="0"/>
    <xf numFmtId="0" fontId="172" fillId="31"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62" fillId="24" borderId="0" applyNumberFormat="0" applyBorder="0" applyAlignment="0" applyProtection="0"/>
    <xf numFmtId="0" fontId="133" fillId="78" borderId="0" applyNumberFormat="0" applyBorder="0" applyAlignment="0" applyProtection="0"/>
    <xf numFmtId="0" fontId="133" fillId="78"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72" fillId="79" borderId="0" applyNumberFormat="0" applyBorder="0" applyAlignment="0" applyProtection="0"/>
    <xf numFmtId="0" fontId="133" fillId="27" borderId="0" applyNumberFormat="0" applyBorder="0" applyAlignment="0" applyProtection="0"/>
    <xf numFmtId="0" fontId="172" fillId="79"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62" fillId="25"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2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03"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103" fillId="32"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67" fillId="32" borderId="0" applyNumberFormat="0" applyBorder="0" applyAlignment="0" applyProtection="0"/>
    <xf numFmtId="0" fontId="62" fillId="26" borderId="0" applyNumberFormat="0" applyBorder="0" applyAlignment="0" applyProtection="0"/>
    <xf numFmtId="0" fontId="172" fillId="33" borderId="0" applyNumberFormat="0" applyBorder="0" applyAlignment="0" applyProtection="0"/>
    <xf numFmtId="0" fontId="133" fillId="38" borderId="0" applyNumberFormat="0" applyBorder="0" applyAlignment="0" applyProtection="0"/>
    <xf numFmtId="0" fontId="172" fillId="33"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26"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03"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103" fillId="34"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67" fillId="34" borderId="0" applyNumberFormat="0" applyBorder="0" applyAlignment="0" applyProtection="0"/>
    <xf numFmtId="0" fontId="62" fillId="27" borderId="0" applyNumberFormat="0" applyBorder="0" applyAlignment="0" applyProtection="0"/>
    <xf numFmtId="0" fontId="172" fillId="35"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62" fillId="27"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67" fillId="36" borderId="0" applyNumberFormat="0" applyBorder="0" applyAlignment="0" applyProtection="0"/>
    <xf numFmtId="0" fontId="62" fillId="28" borderId="0" applyNumberFormat="0" applyBorder="0" applyAlignment="0" applyProtection="0"/>
    <xf numFmtId="0" fontId="172" fillId="37" borderId="0" applyNumberFormat="0" applyBorder="0" applyAlignment="0" applyProtection="0"/>
    <xf numFmtId="0" fontId="133" fillId="63" borderId="0" applyNumberFormat="0" applyBorder="0" applyAlignment="0" applyProtection="0"/>
    <xf numFmtId="0" fontId="172" fillId="37"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62" fillId="28"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63"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03"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103" fillId="38"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67" fillId="38" borderId="0" applyNumberFormat="0" applyBorder="0" applyAlignment="0" applyProtection="0"/>
    <xf numFmtId="0" fontId="62" fillId="29" borderId="0" applyNumberFormat="0" applyBorder="0" applyAlignment="0" applyProtection="0"/>
    <xf numFmtId="0" fontId="172" fillId="39" borderId="0" applyNumberFormat="0" applyBorder="0" applyAlignment="0" applyProtection="0"/>
    <xf numFmtId="0" fontId="133" fillId="45" borderId="0" applyNumberFormat="0" applyBorder="0" applyAlignment="0" applyProtection="0"/>
    <xf numFmtId="0" fontId="172" fillId="39"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62" fillId="29"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03"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103" fillId="3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67" fillId="30" borderId="0" applyNumberFormat="0" applyBorder="0" applyAlignment="0" applyProtection="0"/>
    <xf numFmtId="0" fontId="62" fillId="40" borderId="0" applyNumberFormat="0" applyBorder="0" applyAlignment="0" applyProtection="0"/>
    <xf numFmtId="0" fontId="172" fillId="42" borderId="0" applyNumberFormat="0" applyBorder="0" applyAlignment="0" applyProtection="0"/>
    <xf numFmtId="0" fontId="133" fillId="80" borderId="0" applyNumberFormat="0" applyBorder="0" applyAlignment="0" applyProtection="0"/>
    <xf numFmtId="0" fontId="172" fillId="42"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62" fillId="4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80"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72" fillId="81" borderId="0" applyNumberFormat="0" applyBorder="0" applyAlignment="0" applyProtection="0"/>
    <xf numFmtId="0" fontId="133" fillId="54" borderId="0" applyNumberFormat="0" applyBorder="0" applyAlignment="0" applyProtection="0"/>
    <xf numFmtId="0" fontId="172" fillId="81"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62" fillId="36"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54"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67" fillId="43" borderId="0" applyNumberFormat="0" applyBorder="0" applyAlignment="0" applyProtection="0"/>
    <xf numFmtId="0" fontId="62" fillId="30" borderId="0" applyNumberFormat="0" applyBorder="0" applyAlignment="0" applyProtection="0"/>
    <xf numFmtId="0" fontId="172" fillId="44"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62" fillId="30"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03"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103" fillId="45"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67" fillId="45" borderId="0" applyNumberFormat="0" applyBorder="0" applyAlignment="0" applyProtection="0"/>
    <xf numFmtId="0" fontId="62" fillId="27" borderId="0" applyNumberFormat="0" applyBorder="0" applyAlignment="0" applyProtection="0"/>
    <xf numFmtId="0" fontId="172" fillId="46" borderId="0" applyNumberFormat="0" applyBorder="0" applyAlignment="0" applyProtection="0"/>
    <xf numFmtId="0" fontId="133" fillId="82" borderId="0" applyNumberFormat="0" applyBorder="0" applyAlignment="0" applyProtection="0"/>
    <xf numFmtId="0" fontId="172" fillId="46"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62" fillId="27"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2"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03"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103" fillId="36"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67" fillId="36" borderId="0" applyNumberFormat="0" applyBorder="0" applyAlignment="0" applyProtection="0"/>
    <xf numFmtId="0" fontId="62" fillId="40" borderId="0" applyNumberFormat="0" applyBorder="0" applyAlignment="0" applyProtection="0"/>
    <xf numFmtId="0" fontId="172" fillId="47" borderId="0" applyNumberFormat="0" applyBorder="0" applyAlignment="0" applyProtection="0"/>
    <xf numFmtId="0" fontId="133" fillId="83" borderId="0" applyNumberFormat="0" applyBorder="0" applyAlignment="0" applyProtection="0"/>
    <xf numFmtId="0" fontId="172" fillId="47"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62" fillId="40"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83"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72" fillId="84" borderId="0" applyNumberFormat="0" applyBorder="0" applyAlignment="0" applyProtection="0"/>
    <xf numFmtId="0" fontId="133" fillId="56" borderId="0" applyNumberFormat="0" applyBorder="0" applyAlignment="0" applyProtection="0"/>
    <xf numFmtId="0" fontId="172" fillId="84"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62" fillId="41"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3" fillId="56"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30"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71" fillId="3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70" fillId="48"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80"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70" fillId="36"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54"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43"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71" fillId="43"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3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70" fillId="49"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85"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70" fillId="50"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6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70" fillId="51"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188" fontId="4" fillId="0" borderId="0" applyFont="0" applyFill="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76" fillId="26"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62" fillId="63" borderId="0" applyNumberFormat="0" applyBorder="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23" fillId="56" borderId="14" applyNumberFormat="0" applyAlignment="0" applyProtection="0"/>
    <xf numFmtId="0" fontId="112" fillId="43" borderId="60" applyNumberFormat="0" applyAlignment="0" applyProtection="0"/>
    <xf numFmtId="0" fontId="136"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36" fillId="54" borderId="12" applyNumberFormat="0" applyAlignment="0" applyProtection="0"/>
    <xf numFmtId="0" fontId="77" fillId="54" borderId="12" applyNumberFormat="0" applyAlignment="0" applyProtection="0"/>
    <xf numFmtId="0" fontId="123" fillId="56" borderId="14" applyNumberFormat="0" applyAlignment="0" applyProtection="0"/>
    <xf numFmtId="0" fontId="77" fillId="54" borderId="12" applyNumberFormat="0" applyAlignment="0" applyProtection="0"/>
    <xf numFmtId="0" fontId="123" fillId="56" borderId="14"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23" fillId="56" borderId="14"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12" fillId="43" borderId="60"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81" fillId="58" borderId="17" applyNumberFormat="0" applyAlignment="0" applyProtection="0"/>
    <xf numFmtId="0" fontId="137" fillId="85" borderId="61" applyNumberFormat="0" applyAlignment="0" applyProtection="0"/>
    <xf numFmtId="0" fontId="81"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34" borderId="15" applyNumberFormat="0" applyAlignment="0" applyProtection="0"/>
    <xf numFmtId="0" fontId="79" fillId="34" borderId="15" applyNumberFormat="0" applyAlignment="0" applyProtection="0"/>
    <xf numFmtId="0" fontId="81" fillId="58" borderId="17" applyNumberFormat="0" applyAlignment="0" applyProtection="0"/>
    <xf numFmtId="0" fontId="79" fillId="34" borderId="15" applyNumberFormat="0" applyAlignment="0" applyProtection="0"/>
    <xf numFmtId="0" fontId="81" fillId="58" borderId="17"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81" fillId="58" borderId="17"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7" fillId="85" borderId="61" applyNumberFormat="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82" fillId="0" borderId="18"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0" fontId="138" fillId="0" borderId="62" applyNumberFormat="0" applyFill="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191"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4" fillId="0" borderId="0" applyFont="0" applyFill="0" applyBorder="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70"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1"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71" fillId="51"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9"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70" fillId="60"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59"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6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71" fillId="63"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70" fillId="43"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60"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70" fillId="49"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8"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71" fillId="65"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70" fillId="50"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7"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70" fillId="61"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35" fillId="89" borderId="0" applyNumberFormat="0" applyBorder="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25" fillId="29" borderId="14"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140" fillId="41" borderId="6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41" borderId="0" applyFont="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193" fontId="4" fillId="0" borderId="0" applyFont="0" applyFill="0" applyBorder="0" applyAlignment="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2" fontId="4" fillId="0" borderId="0" applyFont="0" applyFill="0" applyBorder="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141"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141" fillId="71"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97" fillId="71"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99" fillId="25"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0" fontId="62" fillId="90" borderId="0" applyNumberFormat="0" applyBorder="0" applyAlignment="0" applyProtection="0"/>
    <xf numFmtId="200"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7"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177" fontId="102" fillId="0" borderId="0" applyFont="0" applyFill="0" applyBorder="0" applyAlignment="0" applyProtection="0"/>
    <xf numFmtId="171" fontId="102" fillId="0" borderId="0" applyFont="0" applyFill="0" applyBorder="0" applyAlignment="0" applyProtection="0"/>
    <xf numFmtId="43" fontId="4" fillId="0" borderId="0" applyFont="0" applyFill="0" applyBorder="0" applyAlignment="0" applyProtection="0"/>
    <xf numFmtId="171" fontId="102"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202" fontId="4" fillId="0" borderId="0" applyFill="0" applyBorder="0" applyAlignment="0" applyProtection="0"/>
    <xf numFmtId="182" fontId="172" fillId="0" borderId="0" applyFont="0" applyFill="0" applyBorder="0" applyAlignment="0" applyProtection="0"/>
    <xf numFmtId="216" fontId="4" fillId="0" borderId="0" applyFont="0" applyFill="0" applyBorder="0" applyAlignment="0" applyProtection="0"/>
    <xf numFmtId="216" fontId="4" fillId="0" borderId="0" applyFont="0" applyFill="0" applyBorder="0" applyAlignment="0" applyProtection="0"/>
    <xf numFmtId="182" fontId="172" fillId="0" borderId="0" applyFont="0" applyFill="0" applyBorder="0" applyAlignment="0" applyProtection="0"/>
    <xf numFmtId="182" fontId="4" fillId="0" borderId="0" applyFont="0" applyFill="0" applyBorder="0" applyAlignment="0" applyProtection="0"/>
    <xf numFmtId="182" fontId="172" fillId="0" borderId="0" applyFont="0" applyFill="0" applyBorder="0" applyAlignment="0" applyProtection="0"/>
    <xf numFmtId="182" fontId="172" fillId="0" borderId="0" applyFont="0" applyFill="0" applyBorder="0" applyAlignment="0" applyProtection="0"/>
    <xf numFmtId="182" fontId="172" fillId="0" borderId="0" applyFont="0" applyFill="0" applyBorder="0" applyAlignment="0" applyProtection="0"/>
    <xf numFmtId="182" fontId="172" fillId="0" borderId="0" applyFont="0" applyFill="0" applyBorder="0" applyAlignment="0" applyProtection="0"/>
    <xf numFmtId="182" fontId="4" fillId="0" borderId="0" applyFont="0" applyFill="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04" fillId="73"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142" fillId="91" borderId="0" applyNumberFormat="0" applyBorder="0" applyAlignment="0" applyProtection="0"/>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xf numFmtId="0" fontId="172" fillId="0" borderId="0"/>
    <xf numFmtId="0" fontId="172" fillId="0" borderId="0"/>
    <xf numFmtId="0" fontId="172"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2" fillId="0" borderId="0"/>
    <xf numFmtId="0" fontId="4" fillId="0" borderId="0"/>
    <xf numFmtId="0" fontId="172" fillId="0" borderId="0"/>
    <xf numFmtId="0" fontId="4" fillId="0" borderId="0"/>
    <xf numFmtId="0" fontId="4" fillId="0" borderId="0"/>
    <xf numFmtId="0" fontId="172" fillId="0" borderId="0"/>
    <xf numFmtId="0" fontId="4" fillId="0" borderId="0"/>
    <xf numFmtId="0" fontId="172" fillId="0" borderId="0"/>
    <xf numFmtId="0" fontId="4" fillId="0" borderId="0"/>
    <xf numFmtId="0" fontId="4" fillId="0" borderId="0"/>
    <xf numFmtId="0" fontId="4" fillId="0" borderId="0"/>
    <xf numFmtId="0" fontId="172"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68" fillId="0" borderId="0">
      <alignment vertical="top"/>
    </xf>
    <xf numFmtId="0" fontId="68" fillId="0" borderId="0">
      <alignment vertical="top"/>
    </xf>
    <xf numFmtId="0" fontId="68"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8" fillId="0" borderId="0">
      <alignment vertical="top"/>
    </xf>
    <xf numFmtId="0" fontId="4" fillId="0" borderId="0"/>
    <xf numFmtId="0" fontId="4" fillId="0" borderId="0"/>
    <xf numFmtId="0" fontId="4" fillId="0" borderId="0"/>
    <xf numFmtId="0" fontId="68" fillId="0" borderId="0">
      <alignment vertical="top"/>
    </xf>
    <xf numFmtId="0" fontId="4" fillId="0" borderId="0"/>
    <xf numFmtId="0" fontId="4" fillId="0" borderId="0"/>
    <xf numFmtId="0" fontId="172"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3" fillId="0" borderId="0"/>
    <xf numFmtId="0" fontId="4" fillId="0" borderId="0"/>
    <xf numFmtId="0" fontId="4" fillId="0" borderId="0"/>
    <xf numFmtId="0" fontId="4" fillId="0" borderId="0"/>
    <xf numFmtId="0" fontId="4" fillId="0" borderId="0"/>
    <xf numFmtId="0" fontId="103" fillId="0" borderId="0"/>
    <xf numFmtId="0" fontId="4" fillId="0" borderId="0" applyNumberFormat="0" applyFont="0" applyFill="0" applyBorder="0" applyAlignment="0" applyProtection="0"/>
    <xf numFmtId="0" fontId="103" fillId="0" borderId="0"/>
    <xf numFmtId="0" fontId="68"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8" fillId="0" borderId="0">
      <alignment vertical="top"/>
    </xf>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03" fillId="88" borderId="12" applyNumberFormat="0" applyFont="0" applyAlignment="0" applyProtection="0"/>
    <xf numFmtId="0" fontId="172" fillId="74" borderId="26" applyNumberFormat="0" applyFont="0" applyAlignment="0" applyProtection="0"/>
    <xf numFmtId="0" fontId="4" fillId="65" borderId="25"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03" fillId="88" borderId="12"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72" fillId="74" borderId="26" applyNumberFormat="0" applyFont="0" applyAlignment="0" applyProtection="0"/>
    <xf numFmtId="0" fontId="172" fillId="74" borderId="26"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133" fillId="26" borderId="59" applyNumberFormat="0" applyFont="0" applyAlignment="0" applyProtection="0"/>
    <xf numFmtId="0" fontId="4" fillId="65" borderId="25" applyNumberFormat="0" applyFont="0" applyAlignment="0" applyProtection="0"/>
    <xf numFmtId="0" fontId="172" fillId="74" borderId="26" applyNumberFormat="0" applyFont="0" applyAlignment="0" applyProtection="0"/>
    <xf numFmtId="0" fontId="4" fillId="65" borderId="25" applyNumberFormat="0" applyFont="0" applyAlignment="0" applyProtection="0"/>
    <xf numFmtId="0" fontId="172" fillId="74" borderId="26"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4" fillId="0" borderId="0" applyFont="0" applyFill="0" applyBorder="0" applyAlignment="0" applyProtection="0"/>
    <xf numFmtId="9" fontId="102"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17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4" fontId="4" fillId="0" borderId="0" applyFont="0" applyFill="0" applyBorder="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205" fontId="4" fillId="0" borderId="0" applyFont="0" applyFill="0" applyBorder="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8"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29"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0"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31"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0" borderId="12" applyNumberFormat="0" applyFont="0" applyFill="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2"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0" fontId="4" fillId="0" borderId="33"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4"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3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36"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25"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54" borderId="0" applyNumberFormat="0" applyFont="0" applyBorder="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7"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0" fontId="4" fillId="0" borderId="38" applyNumberFormat="0" applyFont="0" applyFill="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206" fontId="4" fillId="0" borderId="0" applyFont="0" applyFill="0" applyBorder="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39"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0"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1"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2"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4" fillId="0" borderId="43" applyNumberFormat="0" applyFont="0" applyFill="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12" fillId="56" borderId="44" applyNumberFormat="0" applyAlignment="0" applyProtection="0"/>
    <xf numFmtId="0" fontId="143" fillId="43" borderId="63" applyNumberFormat="0" applyAlignment="0" applyProtection="0"/>
    <xf numFmtId="0" fontId="144"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44" fillId="54" borderId="45" applyNumberFormat="0" applyAlignment="0" applyProtection="0"/>
    <xf numFmtId="0" fontId="113" fillId="54" borderId="45" applyNumberFormat="0" applyAlignment="0" applyProtection="0"/>
    <xf numFmtId="0" fontId="112" fillId="56" borderId="44" applyNumberFormat="0" applyAlignment="0" applyProtection="0"/>
    <xf numFmtId="0" fontId="113" fillId="54" borderId="45" applyNumberFormat="0" applyAlignment="0" applyProtection="0"/>
    <xf numFmtId="0" fontId="112" fillId="56" borderId="44"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12" fillId="56" borderId="44"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0" fontId="143" fillId="43" borderId="63" applyNumberFormat="0" applyAlignment="0" applyProtection="0"/>
    <xf numFmtId="207" fontId="4" fillId="0" borderId="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17"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9"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31" fillId="0" borderId="55"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6" fillId="0" borderId="6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2" fillId="0" borderId="56"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49" fillId="0" borderId="65"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19" fillId="0" borderId="57"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39" fillId="0" borderId="66" applyNumberFormat="0" applyFill="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4" fillId="0" borderId="48" applyNumberFormat="0" applyFont="0" applyFill="0" applyProtection="0"/>
    <xf numFmtId="0" fontId="4" fillId="0" borderId="48" applyNumberFormat="0" applyFont="0" applyFill="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120" fillId="0" borderId="49" applyNumberFormat="0" applyFont="0" applyFill="0" applyAlignment="0" applyProtection="0"/>
    <xf numFmtId="0" fontId="4" fillId="0" borderId="48" applyNumberFormat="0" applyFont="0" applyFill="0" applyProtection="0"/>
    <xf numFmtId="0" fontId="120" fillId="0" borderId="49" applyNumberFormat="0" applyFon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50" fillId="0" borderId="67" applyNumberFormat="0" applyFill="0" applyAlignment="0" applyProtection="0"/>
    <xf numFmtId="0" fontId="120" fillId="0" borderId="49" applyNumberFormat="0" applyFont="0" applyFill="0" applyAlignment="0" applyProtection="0"/>
    <xf numFmtId="0" fontId="120" fillId="0" borderId="49" applyNumberFormat="0" applyFont="0" applyFill="0" applyAlignment="0" applyProtection="0"/>
    <xf numFmtId="0" fontId="150" fillId="0" borderId="67" applyNumberFormat="0" applyFill="0" applyAlignment="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0" fontId="4" fillId="0" borderId="48" applyNumberFormat="0" applyFont="0" applyFill="0" applyProtection="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208" fontId="4" fillId="0" borderId="0" applyFont="0"/>
    <xf numFmtId="0" fontId="4" fillId="0" borderId="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179" fontId="172" fillId="0" borderId="0" applyFont="0" applyFill="0" applyBorder="0" applyAlignment="0" applyProtection="0"/>
    <xf numFmtId="0" fontId="58" fillId="0" borderId="0">
      <alignment horizontal="right" vertical="center"/>
    </xf>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0" fontId="58" fillId="0" borderId="0">
      <alignment horizontal="right" vertical="center"/>
    </xf>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03" fillId="0" borderId="0" applyFont="0" applyFill="0" applyBorder="0" applyAlignment="0" applyProtection="0"/>
    <xf numFmtId="43" fontId="69"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3" fillId="0" borderId="0" applyFont="0" applyFill="0" applyBorder="0" applyAlignment="0" applyProtection="0"/>
    <xf numFmtId="43" fontId="172" fillId="0" borderId="0" applyFont="0" applyFill="0" applyBorder="0" applyAlignment="0" applyProtection="0"/>
    <xf numFmtId="43" fontId="103" fillId="0" borderId="0" applyFont="0" applyFill="0" applyBorder="0" applyAlignment="0" applyProtection="0"/>
    <xf numFmtId="0" fontId="4" fillId="0" borderId="0" applyNumberFormat="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58" fillId="0" borderId="0" applyFont="0" applyFill="0" applyBorder="0" applyAlignment="0" applyProtection="0"/>
    <xf numFmtId="43"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1"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171" fontId="172" fillId="0" borderId="0" applyFont="0" applyFill="0" applyBorder="0" applyAlignment="0" applyProtection="0"/>
    <xf numFmtId="0" fontId="43" fillId="0" borderId="0">
      <alignment vertical="center"/>
    </xf>
    <xf numFmtId="43" fontId="172" fillId="0" borderId="0" applyFont="0" applyFill="0" applyBorder="0" applyAlignment="0" applyProtection="0"/>
    <xf numFmtId="43" fontId="172" fillId="0" borderId="0" applyFont="0" applyFill="0" applyBorder="0" applyAlignment="0" applyProtection="0"/>
    <xf numFmtId="43" fontId="172" fillId="0" borderId="0" applyFont="0" applyFill="0" applyBorder="0" applyAlignment="0" applyProtection="0"/>
    <xf numFmtId="43" fontId="4" fillId="0" borderId="0" applyFont="0" applyFill="0" applyBorder="0" applyAlignment="0" applyProtection="0"/>
    <xf numFmtId="0" fontId="172" fillId="0" borderId="0"/>
    <xf numFmtId="43" fontId="172" fillId="0" borderId="0" applyFont="0" applyFill="0" applyBorder="0" applyAlignment="0" applyProtection="0"/>
  </cellStyleXfs>
  <cellXfs count="705">
    <xf numFmtId="0" fontId="0" fillId="0" borderId="0" xfId="0"/>
    <xf numFmtId="0" fontId="0" fillId="0" borderId="0" xfId="0"/>
    <xf numFmtId="0" fontId="3" fillId="0" borderId="68" xfId="0" applyFont="1" applyFill="1" applyBorder="1" applyAlignment="1">
      <alignment vertical="center"/>
    </xf>
    <xf numFmtId="0" fontId="5" fillId="0" borderId="0" xfId="8"/>
    <xf numFmtId="0" fontId="5" fillId="0" borderId="68" xfId="8" applyFill="1" applyBorder="1" applyAlignment="1">
      <alignment vertical="center"/>
    </xf>
    <xf numFmtId="0" fontId="8" fillId="0" borderId="0" xfId="0" applyFont="1"/>
    <xf numFmtId="0" fontId="14" fillId="0" borderId="0" xfId="0" applyFont="1" applyAlignment="1">
      <alignment horizontal="center"/>
    </xf>
    <xf numFmtId="0" fontId="14" fillId="5" borderId="0" xfId="0" applyFont="1" applyFill="1" applyAlignment="1">
      <alignment horizontal="center"/>
    </xf>
    <xf numFmtId="0" fontId="15" fillId="0" borderId="0" xfId="0" applyFont="1"/>
    <xf numFmtId="0" fontId="16" fillId="0" borderId="0" xfId="17" applyFont="1" applyFill="1" applyBorder="1" applyAlignment="1">
      <alignment horizontal="center"/>
    </xf>
    <xf numFmtId="0" fontId="17" fillId="0" borderId="0" xfId="17" applyFont="1" applyFill="1" applyBorder="1" applyAlignment="1">
      <alignment horizontal="left"/>
    </xf>
    <xf numFmtId="0" fontId="17" fillId="0" borderId="0" xfId="17" applyFont="1" applyFill="1" applyBorder="1" applyAlignment="1">
      <alignment horizontal="center"/>
    </xf>
    <xf numFmtId="0" fontId="18" fillId="0" borderId="0" xfId="17" applyFont="1" applyFill="1" applyBorder="1" applyAlignment="1">
      <alignment horizontal="left"/>
    </xf>
    <xf numFmtId="168" fontId="18" fillId="0" borderId="0" xfId="18" applyNumberFormat="1" applyFont="1" applyFill="1" applyBorder="1" applyAlignment="1">
      <alignment horizontal="center"/>
    </xf>
    <xf numFmtId="0" fontId="19" fillId="0" borderId="0" xfId="17" applyFont="1" applyFill="1" applyBorder="1" applyAlignment="1">
      <alignment horizontal="left"/>
    </xf>
    <xf numFmtId="168" fontId="19" fillId="0" borderId="0" xfId="18" applyNumberFormat="1" applyFont="1" applyFill="1" applyBorder="1" applyAlignment="1">
      <alignment horizontal="center"/>
    </xf>
    <xf numFmtId="0" fontId="19" fillId="0" borderId="69" xfId="17" applyFont="1" applyFill="1" applyBorder="1" applyAlignment="1">
      <alignment horizontal="left"/>
    </xf>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20" fillId="0" borderId="0" xfId="0" applyFont="1" applyAlignment="1">
      <alignment vertic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10" fillId="0" borderId="0" xfId="0" applyFont="1"/>
    <xf numFmtId="0" fontId="10" fillId="92" borderId="0" xfId="0" applyFont="1" applyFill="1"/>
    <xf numFmtId="0" fontId="17" fillId="92" borderId="0" xfId="0" applyFont="1" applyFill="1" applyAlignment="1">
      <alignment horizontal="center" vertical="center"/>
    </xf>
    <xf numFmtId="0" fontId="11" fillId="93" borderId="70" xfId="0" applyFont="1" applyFill="1" applyBorder="1" applyAlignment="1">
      <alignment vertical="center"/>
    </xf>
    <xf numFmtId="0" fontId="11" fillId="93" borderId="71" xfId="0" applyFont="1" applyFill="1" applyBorder="1" applyAlignment="1">
      <alignment vertical="center"/>
    </xf>
    <xf numFmtId="0" fontId="12" fillId="94" borderId="72" xfId="0" applyFont="1" applyFill="1" applyBorder="1" applyAlignment="1">
      <alignment vertical="center" wrapText="1"/>
    </xf>
    <xf numFmtId="0" fontId="23" fillId="94" borderId="73" xfId="0" applyFont="1" applyFill="1" applyBorder="1" applyAlignment="1">
      <alignment horizontal="right" vertical="center" wrapText="1"/>
    </xf>
    <xf numFmtId="0" fontId="9" fillId="95" borderId="72" xfId="0" applyFont="1" applyFill="1" applyBorder="1" applyAlignment="1">
      <alignment horizontal="left" vertical="center" wrapText="1" indent="1"/>
    </xf>
    <xf numFmtId="168" fontId="9" fillId="0" borderId="74" xfId="16" applyNumberFormat="1" applyFont="1" applyFill="1" applyBorder="1"/>
    <xf numFmtId="0" fontId="11" fillId="96" borderId="75" xfId="0" applyFont="1" applyFill="1" applyBorder="1" applyAlignment="1">
      <alignment vertical="center"/>
    </xf>
    <xf numFmtId="169" fontId="11" fillId="96" borderId="73" xfId="16" applyNumberFormat="1" applyFont="1" applyFill="1" applyBorder="1" applyAlignment="1">
      <alignment horizontal="right" vertical="center" wrapText="1"/>
    </xf>
    <xf numFmtId="169" fontId="12" fillId="94" borderId="76" xfId="16" applyNumberFormat="1" applyFont="1" applyFill="1" applyBorder="1" applyAlignment="1">
      <alignment horizontal="right" vertical="center" wrapText="1"/>
    </xf>
    <xf numFmtId="0" fontId="11" fillId="96" borderId="0" xfId="0" applyFont="1" applyFill="1" applyAlignment="1">
      <alignment vertical="center"/>
    </xf>
    <xf numFmtId="169" fontId="11" fillId="96" borderId="76" xfId="16" applyNumberFormat="1" applyFont="1" applyFill="1" applyBorder="1" applyAlignment="1">
      <alignment horizontal="right" vertical="center" wrapText="1"/>
    </xf>
    <xf numFmtId="0" fontId="11" fillId="5" borderId="0" xfId="0" applyFont="1" applyFill="1" applyAlignment="1">
      <alignment vertical="center"/>
    </xf>
    <xf numFmtId="3" fontId="11" fillId="5" borderId="73" xfId="0" applyNumberFormat="1" applyFont="1" applyFill="1" applyBorder="1" applyAlignment="1">
      <alignment horizontal="right" vertical="center" wrapText="1"/>
    </xf>
    <xf numFmtId="0" fontId="11" fillId="93" borderId="73" xfId="0" applyFont="1" applyFill="1" applyBorder="1" applyAlignment="1">
      <alignment horizontal="right" vertical="center"/>
    </xf>
    <xf numFmtId="0" fontId="9" fillId="94" borderId="73" xfId="0" applyFont="1" applyFill="1" applyBorder="1" applyAlignment="1">
      <alignment horizontal="right" vertical="center" wrapText="1"/>
    </xf>
    <xf numFmtId="0" fontId="12" fillId="97" borderId="72" xfId="0" applyFont="1" applyFill="1" applyBorder="1" applyAlignment="1">
      <alignment vertical="center" wrapText="1"/>
    </xf>
    <xf numFmtId="0" fontId="9" fillId="97" borderId="73" xfId="0" applyFont="1" applyFill="1" applyBorder="1" applyAlignment="1">
      <alignment horizontal="right" vertical="center" wrapText="1"/>
    </xf>
    <xf numFmtId="0" fontId="12" fillId="97" borderId="70" xfId="0" applyFont="1" applyFill="1" applyBorder="1" applyAlignment="1">
      <alignment vertical="center" wrapText="1"/>
    </xf>
    <xf numFmtId="0" fontId="12" fillId="95" borderId="72" xfId="0" applyFont="1" applyFill="1" applyBorder="1" applyAlignment="1">
      <alignment vertical="center" wrapText="1"/>
    </xf>
    <xf numFmtId="169" fontId="12" fillId="95" borderId="76" xfId="16" applyNumberFormat="1" applyFont="1" applyFill="1" applyBorder="1" applyAlignment="1">
      <alignment horizontal="right" vertical="center" wrapText="1"/>
    </xf>
    <xf numFmtId="0" fontId="9" fillId="95" borderId="77" xfId="0" applyFont="1" applyFill="1" applyBorder="1" applyAlignment="1">
      <alignment horizontal="left" vertical="center" wrapText="1" indent="1"/>
    </xf>
    <xf numFmtId="0" fontId="11" fillId="96" borderId="71" xfId="0" applyFont="1" applyFill="1" applyBorder="1" applyAlignment="1">
      <alignment vertical="center"/>
    </xf>
    <xf numFmtId="43" fontId="15" fillId="0" borderId="0" xfId="16" applyFont="1" applyFill="1" applyBorder="1"/>
    <xf numFmtId="0" fontId="24" fillId="92" borderId="0" xfId="0" applyFont="1" applyFill="1" applyAlignment="1">
      <alignment horizontal="center" vertical="center"/>
    </xf>
    <xf numFmtId="168" fontId="9" fillId="0" borderId="0" xfId="16" applyNumberFormat="1" applyFont="1" applyFill="1" applyBorder="1"/>
    <xf numFmtId="0" fontId="13" fillId="0" borderId="0" xfId="0" applyFont="1"/>
    <xf numFmtId="0" fontId="25" fillId="92" borderId="0" xfId="0" applyFont="1" applyFill="1"/>
    <xf numFmtId="169" fontId="26" fillId="0" borderId="0" xfId="16" applyNumberFormat="1" applyFont="1" applyFill="1" applyBorder="1" applyAlignment="1">
      <alignment vertical="center"/>
    </xf>
    <xf numFmtId="0" fontId="10" fillId="98" borderId="0" xfId="0" applyFont="1" applyFill="1"/>
    <xf numFmtId="0" fontId="17" fillId="98" borderId="0" xfId="0" applyFont="1" applyFill="1" applyAlignment="1">
      <alignment horizontal="center" vertical="center"/>
    </xf>
    <xf numFmtId="0" fontId="11" fillId="99" borderId="70" xfId="0" applyFont="1" applyFill="1" applyBorder="1" applyAlignment="1">
      <alignment vertical="center"/>
    </xf>
    <xf numFmtId="0" fontId="11" fillId="99" borderId="71" xfId="0" applyFont="1" applyFill="1" applyBorder="1" applyAlignment="1">
      <alignment vertical="center"/>
    </xf>
    <xf numFmtId="0" fontId="12" fillId="100" borderId="72" xfId="0" applyFont="1" applyFill="1" applyBorder="1" applyAlignment="1">
      <alignment vertical="center" wrapText="1"/>
    </xf>
    <xf numFmtId="0" fontId="23" fillId="100" borderId="73" xfId="0" applyFont="1" applyFill="1" applyBorder="1" applyAlignment="1">
      <alignment horizontal="right" vertical="center" wrapText="1"/>
    </xf>
    <xf numFmtId="0" fontId="9" fillId="101" borderId="72" xfId="0" applyFont="1" applyFill="1" applyBorder="1" applyAlignment="1">
      <alignment horizontal="left" vertical="center" wrapText="1" indent="1"/>
    </xf>
    <xf numFmtId="168" fontId="9" fillId="0" borderId="78" xfId="16" applyNumberFormat="1" applyFont="1" applyFill="1" applyBorder="1"/>
    <xf numFmtId="0" fontId="11" fillId="102" borderId="75" xfId="0" applyFont="1" applyFill="1" applyBorder="1" applyAlignment="1">
      <alignment vertical="center"/>
    </xf>
    <xf numFmtId="169" fontId="11" fillId="102" borderId="73" xfId="16" applyNumberFormat="1" applyFont="1" applyFill="1" applyBorder="1" applyAlignment="1">
      <alignment horizontal="right" vertical="center" wrapText="1"/>
    </xf>
    <xf numFmtId="169" fontId="12" fillId="100" borderId="76" xfId="16" applyNumberFormat="1" applyFont="1" applyFill="1" applyBorder="1" applyAlignment="1">
      <alignment horizontal="right" vertical="center" wrapText="1"/>
    </xf>
    <xf numFmtId="0" fontId="11" fillId="102" borderId="0" xfId="0" applyFont="1" applyFill="1" applyAlignment="1">
      <alignment vertical="center"/>
    </xf>
    <xf numFmtId="169" fontId="11" fillId="102" borderId="76" xfId="16" applyNumberFormat="1" applyFont="1" applyFill="1" applyBorder="1" applyAlignment="1">
      <alignment horizontal="right" vertical="center" wrapText="1"/>
    </xf>
    <xf numFmtId="0" fontId="11" fillId="103" borderId="0" xfId="0" applyFont="1" applyFill="1" applyAlignment="1">
      <alignment vertical="center"/>
    </xf>
    <xf numFmtId="3" fontId="11" fillId="103" borderId="73" xfId="0" applyNumberFormat="1" applyFont="1" applyFill="1" applyBorder="1" applyAlignment="1">
      <alignment horizontal="right" vertical="center" wrapText="1"/>
    </xf>
    <xf numFmtId="0" fontId="11" fillId="99" borderId="73" xfId="0" applyFont="1" applyFill="1" applyBorder="1" applyAlignment="1">
      <alignment horizontal="right" vertical="center"/>
    </xf>
    <xf numFmtId="0" fontId="9" fillId="100" borderId="73" xfId="0" applyFont="1" applyFill="1" applyBorder="1" applyAlignment="1">
      <alignment horizontal="right" vertical="center" wrapText="1"/>
    </xf>
    <xf numFmtId="0" fontId="12" fillId="104" borderId="72" xfId="0" applyFont="1" applyFill="1" applyBorder="1" applyAlignment="1">
      <alignment vertical="center" wrapText="1"/>
    </xf>
    <xf numFmtId="0" fontId="9" fillId="104" borderId="73" xfId="0" applyFont="1" applyFill="1" applyBorder="1" applyAlignment="1">
      <alignment horizontal="right" vertical="center" wrapText="1"/>
    </xf>
    <xf numFmtId="0" fontId="12" fillId="104" borderId="70" xfId="0" applyFont="1" applyFill="1" applyBorder="1" applyAlignment="1">
      <alignment vertical="center" wrapText="1"/>
    </xf>
    <xf numFmtId="0" fontId="11" fillId="102" borderId="71" xfId="0" applyFont="1" applyFill="1" applyBorder="1" applyAlignment="1">
      <alignment vertical="center"/>
    </xf>
    <xf numFmtId="0" fontId="27" fillId="0" borderId="0" xfId="0" applyFont="1" applyAlignment="1">
      <alignment horizontal="center"/>
    </xf>
    <xf numFmtId="0" fontId="27" fillId="103" borderId="0" xfId="0" applyFont="1" applyFill="1" applyAlignment="1">
      <alignment horizontal="center"/>
    </xf>
    <xf numFmtId="0" fontId="16" fillId="0" borderId="0" xfId="17" applyFont="1" applyBorder="1" applyAlignment="1">
      <alignment horizontal="center"/>
    </xf>
    <xf numFmtId="0" fontId="24" fillId="105" borderId="79" xfId="0" applyFont="1" applyFill="1" applyBorder="1" applyAlignment="1">
      <alignment horizontal="left" vertical="center" wrapText="1"/>
    </xf>
    <xf numFmtId="0" fontId="24" fillId="105" borderId="79" xfId="0" applyFont="1" applyFill="1" applyBorder="1" applyAlignment="1">
      <alignment horizontal="center" vertical="center" wrapText="1"/>
    </xf>
    <xf numFmtId="0" fontId="17" fillId="0" borderId="0" xfId="17" applyFont="1" applyBorder="1" applyAlignment="1">
      <alignment horizontal="left"/>
    </xf>
    <xf numFmtId="0" fontId="17" fillId="0" borderId="0" xfId="17" applyFont="1" applyBorder="1" applyAlignment="1">
      <alignment horizontal="center"/>
    </xf>
    <xf numFmtId="0" fontId="4" fillId="103" borderId="0" xfId="19" applyFill="1"/>
    <xf numFmtId="170" fontId="28" fillId="103" borderId="0" xfId="20" applyNumberFormat="1" applyFont="1" applyFill="1" applyBorder="1"/>
    <xf numFmtId="0" fontId="28" fillId="103" borderId="0" xfId="19" applyFont="1" applyFill="1"/>
    <xf numFmtId="170" fontId="29" fillId="103" borderId="0" xfId="0" applyNumberFormat="1" applyFont="1" applyFill="1"/>
    <xf numFmtId="0" fontId="18" fillId="0" borderId="79" xfId="17" applyFont="1" applyFill="1" applyBorder="1" applyAlignment="1">
      <alignment horizontal="left"/>
    </xf>
    <xf numFmtId="168" fontId="18" fillId="0" borderId="79" xfId="18" applyNumberFormat="1" applyFont="1" applyFill="1" applyBorder="1" applyAlignment="1">
      <alignment horizontal="center"/>
    </xf>
    <xf numFmtId="0" fontId="30" fillId="0" borderId="0" xfId="21" applyFont="1"/>
    <xf numFmtId="0" fontId="31" fillId="0" borderId="0" xfId="21" applyFont="1"/>
    <xf numFmtId="0" fontId="24" fillId="98" borderId="0" xfId="0" applyFont="1" applyFill="1" applyAlignment="1">
      <alignment horizontal="center" vertical="center"/>
    </xf>
    <xf numFmtId="0" fontId="33" fillId="103" borderId="0" xfId="22" applyFont="1" applyFill="1"/>
    <xf numFmtId="0" fontId="34" fillId="103" borderId="0" xfId="22" applyFont="1" applyFill="1" applyAlignment="1">
      <alignment horizontal="center" vertical="center" wrapText="1"/>
    </xf>
    <xf numFmtId="0" fontId="24" fillId="62" borderId="84" xfId="22" applyFont="1" applyFill="1" applyBorder="1" applyAlignment="1">
      <alignment vertical="center" wrapText="1"/>
    </xf>
    <xf numFmtId="0" fontId="24" fillId="62" borderId="84" xfId="22" applyFont="1" applyFill="1" applyBorder="1" applyAlignment="1">
      <alignment horizontal="left" vertical="center" wrapText="1"/>
    </xf>
    <xf numFmtId="172" fontId="24" fillId="62" borderId="84" xfId="22" applyNumberFormat="1" applyFont="1" applyFill="1" applyBorder="1" applyAlignment="1">
      <alignment horizontal="right" vertical="center" wrapText="1"/>
    </xf>
    <xf numFmtId="168" fontId="24" fillId="62" borderId="84" xfId="23" applyNumberFormat="1" applyFont="1" applyFill="1" applyBorder="1" applyAlignment="1">
      <alignment horizontal="right" vertical="center" wrapText="1"/>
    </xf>
    <xf numFmtId="0" fontId="33" fillId="106" borderId="85" xfId="22" applyFont="1" applyFill="1" applyBorder="1" applyAlignment="1">
      <alignment horizontal="left" vertical="center" indent="1"/>
    </xf>
    <xf numFmtId="170" fontId="33" fillId="106" borderId="85" xfId="23" applyNumberFormat="1" applyFont="1" applyFill="1" applyBorder="1" applyAlignment="1">
      <alignment horizontal="center"/>
    </xf>
    <xf numFmtId="14" fontId="33" fillId="106" borderId="85" xfId="23" applyNumberFormat="1" applyFont="1" applyFill="1" applyBorder="1" applyAlignment="1">
      <alignment horizontal="center"/>
    </xf>
    <xf numFmtId="14" fontId="33" fillId="0" borderId="85" xfId="23" applyNumberFormat="1" applyFont="1" applyFill="1" applyBorder="1" applyAlignment="1">
      <alignment horizontal="center"/>
    </xf>
    <xf numFmtId="9" fontId="33" fillId="106" borderId="86" xfId="24" applyFont="1" applyFill="1" applyBorder="1" applyAlignment="1">
      <alignment horizontal="right"/>
    </xf>
    <xf numFmtId="0" fontId="33" fillId="106" borderId="87" xfId="24" applyNumberFormat="1" applyFont="1" applyFill="1" applyBorder="1" applyAlignment="1">
      <alignment horizontal="center" vertical="center" wrapText="1"/>
    </xf>
    <xf numFmtId="173" fontId="33" fillId="0" borderId="88" xfId="24" applyNumberFormat="1" applyFont="1" applyFill="1" applyBorder="1" applyAlignment="1">
      <alignment horizontal="left"/>
    </xf>
    <xf numFmtId="168" fontId="33" fillId="0" borderId="85" xfId="23" applyNumberFormat="1" applyFont="1" applyFill="1" applyBorder="1"/>
    <xf numFmtId="173" fontId="33" fillId="106" borderId="88" xfId="24" applyNumberFormat="1" applyFont="1" applyFill="1" applyBorder="1" applyAlignment="1">
      <alignment horizontal="left"/>
    </xf>
    <xf numFmtId="173" fontId="33" fillId="0" borderId="0" xfId="22" applyNumberFormat="1" applyFont="1" applyAlignment="1">
      <alignment horizontal="left"/>
    </xf>
    <xf numFmtId="172" fontId="34" fillId="107" borderId="85" xfId="22" applyNumberFormat="1" applyFont="1" applyFill="1" applyBorder="1" applyAlignment="1">
      <alignment horizontal="right" vertical="center" wrapText="1"/>
    </xf>
    <xf numFmtId="168" fontId="34" fillId="107" borderId="85" xfId="23" applyNumberFormat="1" applyFont="1" applyFill="1" applyBorder="1" applyAlignment="1">
      <alignment horizontal="right" vertical="center" wrapText="1"/>
    </xf>
    <xf numFmtId="0" fontId="33" fillId="106" borderId="0" xfId="22" applyFont="1" applyFill="1" applyAlignment="1">
      <alignment horizontal="left" vertical="center" indent="1"/>
    </xf>
    <xf numFmtId="14" fontId="33" fillId="106" borderId="0" xfId="23" applyNumberFormat="1" applyFont="1" applyFill="1" applyBorder="1" applyAlignment="1">
      <alignment horizontal="center"/>
    </xf>
    <xf numFmtId="9" fontId="33" fillId="106" borderId="0" xfId="24" applyFont="1" applyFill="1" applyBorder="1" applyAlignment="1">
      <alignment horizontal="right"/>
    </xf>
    <xf numFmtId="9" fontId="33" fillId="106" borderId="0" xfId="24" applyFont="1" applyFill="1" applyBorder="1" applyAlignment="1">
      <alignment horizontal="center"/>
    </xf>
    <xf numFmtId="173" fontId="33" fillId="106" borderId="0" xfId="24" applyNumberFormat="1" applyFont="1" applyFill="1" applyBorder="1" applyAlignment="1">
      <alignment horizontal="left"/>
    </xf>
    <xf numFmtId="170" fontId="33" fillId="106" borderId="0" xfId="23" applyNumberFormat="1" applyFont="1" applyFill="1" applyBorder="1" applyAlignment="1"/>
    <xf numFmtId="9" fontId="33" fillId="0" borderId="86" xfId="24" applyFont="1" applyFill="1" applyBorder="1" applyAlignment="1">
      <alignment horizontal="right"/>
    </xf>
    <xf numFmtId="0" fontId="33" fillId="0" borderId="87" xfId="24" applyNumberFormat="1" applyFont="1" applyFill="1" applyBorder="1" applyAlignment="1">
      <alignment horizontal="center" vertical="center" wrapText="1"/>
    </xf>
    <xf numFmtId="0" fontId="33" fillId="0" borderId="85" xfId="22" applyFont="1" applyBorder="1" applyAlignment="1">
      <alignment horizontal="left" vertical="center" indent="1"/>
    </xf>
    <xf numFmtId="1" fontId="33" fillId="0" borderId="85" xfId="22" applyNumberFormat="1" applyFont="1" applyBorder="1" applyAlignment="1">
      <alignment horizontal="center"/>
    </xf>
    <xf numFmtId="170" fontId="33" fillId="106" borderId="0" xfId="23" applyNumberFormat="1" applyFont="1" applyFill="1" applyBorder="1" applyAlignment="1">
      <alignment horizontal="center"/>
    </xf>
    <xf numFmtId="173" fontId="33" fillId="106" borderId="0" xfId="24" applyNumberFormat="1" applyFont="1" applyFill="1" applyBorder="1" applyAlignment="1">
      <alignment horizontal="center"/>
    </xf>
    <xf numFmtId="173" fontId="33" fillId="0" borderId="0" xfId="24" applyNumberFormat="1" applyFont="1" applyFill="1" applyBorder="1" applyAlignment="1">
      <alignment horizontal="center"/>
    </xf>
    <xf numFmtId="0" fontId="34" fillId="0" borderId="0" xfId="22" applyFont="1" applyAlignment="1">
      <alignment horizontal="center" vertical="center" wrapText="1"/>
    </xf>
    <xf numFmtId="0" fontId="33" fillId="106" borderId="0" xfId="22" applyFont="1" applyFill="1" applyAlignment="1">
      <alignment horizontal="left" vertical="center" wrapText="1"/>
    </xf>
    <xf numFmtId="170" fontId="33" fillId="106" borderId="0" xfId="23" applyNumberFormat="1" applyFont="1" applyFill="1" applyBorder="1" applyAlignment="1">
      <alignment vertical="center" wrapText="1"/>
    </xf>
    <xf numFmtId="14" fontId="33" fillId="106" borderId="0" xfId="23" applyNumberFormat="1" applyFont="1" applyFill="1" applyBorder="1" applyAlignment="1">
      <alignment horizontal="center" vertical="center" wrapText="1"/>
    </xf>
    <xf numFmtId="170" fontId="33" fillId="106" borderId="0" xfId="23" applyNumberFormat="1" applyFont="1" applyFill="1" applyBorder="1" applyAlignment="1">
      <alignment horizontal="center" vertical="center" wrapText="1"/>
    </xf>
    <xf numFmtId="9" fontId="33" fillId="106" borderId="0" xfId="24" applyFont="1" applyFill="1" applyBorder="1" applyAlignment="1">
      <alignment horizontal="right" vertical="center" wrapText="1"/>
    </xf>
    <xf numFmtId="9" fontId="33" fillId="106" borderId="0" xfId="24" applyFont="1" applyFill="1" applyBorder="1" applyAlignment="1">
      <alignment horizontal="center" vertical="center" wrapText="1"/>
    </xf>
    <xf numFmtId="173" fontId="33" fillId="106" borderId="0" xfId="24" applyNumberFormat="1" applyFont="1" applyFill="1" applyBorder="1" applyAlignment="1">
      <alignment horizontal="left" vertical="center" wrapText="1"/>
    </xf>
    <xf numFmtId="173" fontId="33" fillId="0" borderId="0" xfId="24" applyNumberFormat="1" applyFont="1" applyFill="1" applyBorder="1" applyAlignment="1">
      <alignment horizontal="left" vertical="center" wrapText="1"/>
    </xf>
    <xf numFmtId="170" fontId="33" fillId="106" borderId="0" xfId="22" applyNumberFormat="1" applyFont="1" applyFill="1" applyAlignment="1">
      <alignment horizontal="left" vertical="center" indent="1"/>
    </xf>
    <xf numFmtId="10" fontId="33" fillId="106" borderId="88" xfId="24" applyNumberFormat="1" applyFont="1" applyFill="1" applyBorder="1" applyAlignment="1">
      <alignment horizontal="left"/>
    </xf>
    <xf numFmtId="0" fontId="33" fillId="103" borderId="0" xfId="22" applyFont="1" applyFill="1" applyAlignment="1">
      <alignment horizontal="center"/>
    </xf>
    <xf numFmtId="168" fontId="33" fillId="103" borderId="0" xfId="23" applyNumberFormat="1" applyFont="1" applyFill="1"/>
    <xf numFmtId="0" fontId="32" fillId="98" borderId="81" xfId="22" applyFont="1" applyFill="1" applyBorder="1" applyAlignment="1">
      <alignment horizontal="center" vertical="center" wrapText="1"/>
    </xf>
    <xf numFmtId="0" fontId="32" fillId="98" borderId="83" xfId="22" applyFont="1" applyFill="1" applyBorder="1" applyAlignment="1">
      <alignment horizontal="center" vertical="center" wrapText="1"/>
    </xf>
    <xf numFmtId="170" fontId="33" fillId="0" borderId="85" xfId="23" applyNumberFormat="1" applyFont="1" applyFill="1" applyBorder="1" applyAlignment="1">
      <alignment horizontal="center"/>
    </xf>
    <xf numFmtId="9" fontId="33" fillId="106" borderId="87" xfId="24" applyFont="1" applyFill="1" applyBorder="1" applyAlignment="1">
      <alignment horizontal="center"/>
    </xf>
    <xf numFmtId="173" fontId="33" fillId="106" borderId="0" xfId="23" applyNumberFormat="1" applyFont="1" applyFill="1" applyBorder="1" applyAlignment="1">
      <alignment horizontal="center"/>
    </xf>
    <xf numFmtId="170" fontId="33" fillId="0" borderId="0" xfId="26" applyNumberFormat="1" applyFont="1" applyFill="1" applyBorder="1" applyAlignment="1">
      <alignment horizontal="center"/>
    </xf>
    <xf numFmtId="168" fontId="19" fillId="0" borderId="0" xfId="17" applyNumberFormat="1" applyFont="1" applyFill="1" applyBorder="1" applyAlignment="1">
      <alignment horizontal="left"/>
    </xf>
    <xf numFmtId="0" fontId="36" fillId="0" borderId="79" xfId="17" quotePrefix="1" applyFont="1" applyFill="1" applyBorder="1" applyAlignment="1">
      <alignment horizontal="left" vertical="center" wrapText="1"/>
    </xf>
    <xf numFmtId="168" fontId="8" fillId="0" borderId="0" xfId="0" applyNumberFormat="1" applyFont="1"/>
    <xf numFmtId="168" fontId="0" fillId="0" borderId="0" xfId="0" applyNumberFormat="1"/>
    <xf numFmtId="168" fontId="14" fillId="0" borderId="0" xfId="0" applyNumberFormat="1" applyFont="1" applyAlignment="1">
      <alignment horizontal="center"/>
    </xf>
    <xf numFmtId="168" fontId="12" fillId="94" borderId="76" xfId="0" applyNumberFormat="1" applyFont="1" applyFill="1" applyBorder="1" applyAlignment="1">
      <alignment wrapText="1"/>
    </xf>
    <xf numFmtId="169" fontId="11" fillId="96" borderId="76" xfId="0" applyNumberFormat="1" applyFont="1" applyFill="1" applyBorder="1" applyAlignment="1">
      <alignment wrapText="1"/>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0" fontId="17" fillId="0" borderId="0" xfId="17" applyFont="1" applyFill="1" applyBorder="1" applyAlignment="1">
      <alignment horizontal="center"/>
    </xf>
    <xf numFmtId="168" fontId="18" fillId="0" borderId="0" xfId="28" applyNumberFormat="1" applyFont="1" applyFill="1" applyBorder="1" applyAlignment="1">
      <alignment horizontal="center"/>
    </xf>
    <xf numFmtId="169" fontId="19" fillId="0" borderId="69" xfId="28" applyNumberFormat="1" applyFont="1" applyFill="1" applyBorder="1" applyAlignment="1">
      <alignment horizontal="center"/>
    </xf>
    <xf numFmtId="168" fontId="19" fillId="0" borderId="69" xfId="28" applyNumberFormat="1" applyFont="1" applyFill="1" applyBorder="1" applyAlignment="1">
      <alignment horizontal="center"/>
    </xf>
    <xf numFmtId="169" fontId="0" fillId="0" borderId="0" xfId="0" applyNumberFormat="1"/>
    <xf numFmtId="0" fontId="24" fillId="0" borderId="0" xfId="0" applyFont="1" applyAlignment="1">
      <alignment horizontal="center" vertical="center"/>
    </xf>
    <xf numFmtId="0" fontId="151" fillId="0" borderId="0" xfId="0" applyFont="1"/>
    <xf numFmtId="0" fontId="152" fillId="0" borderId="0" xfId="0" applyFont="1"/>
    <xf numFmtId="8" fontId="2" fillId="42" borderId="0" xfId="0" applyNumberFormat="1" applyFont="1" applyFill="1"/>
    <xf numFmtId="0" fontId="2" fillId="42" borderId="0" xfId="0" applyFont="1" applyFill="1"/>
    <xf numFmtId="0" fontId="0" fillId="103" borderId="0" xfId="0" applyFill="1"/>
    <xf numFmtId="0" fontId="5" fillId="103" borderId="0" xfId="8" applyFill="1"/>
    <xf numFmtId="0" fontId="5" fillId="0" borderId="0" xfId="8" applyAlignment="1"/>
    <xf numFmtId="169" fontId="0" fillId="0" borderId="0" xfId="16" applyNumberFormat="1" applyFont="1"/>
    <xf numFmtId="169" fontId="16" fillId="0" borderId="0" xfId="17" applyNumberFormat="1" applyFont="1" applyBorder="1" applyAlignment="1">
      <alignment horizontal="center"/>
    </xf>
    <xf numFmtId="0" fontId="0" fillId="0" borderId="0" xfId="0"/>
    <xf numFmtId="0" fontId="18" fillId="0" borderId="0" xfId="17" applyFont="1" applyFill="1" applyBorder="1" applyAlignment="1">
      <alignment horizontal="left"/>
    </xf>
    <xf numFmtId="0" fontId="19" fillId="0" borderId="0" xfId="17" applyFont="1" applyFill="1" applyBorder="1" applyAlignment="1">
      <alignment horizontal="left"/>
    </xf>
    <xf numFmtId="43" fontId="0" fillId="0" borderId="0" xfId="16" applyFont="1"/>
    <xf numFmtId="0" fontId="0" fillId="0" borderId="0" xfId="0"/>
    <xf numFmtId="0" fontId="0" fillId="0" borderId="0" xfId="0" applyFill="1"/>
    <xf numFmtId="169" fontId="18" fillId="0" borderId="0" xfId="16" applyNumberFormat="1" applyFont="1" applyFill="1" applyBorder="1" applyAlignment="1">
      <alignment horizontal="center"/>
    </xf>
    <xf numFmtId="0" fontId="17" fillId="0" borderId="0" xfId="17" applyFont="1" applyBorder="1" applyAlignment="1">
      <alignment horizontal="left"/>
    </xf>
    <xf numFmtId="0" fontId="18" fillId="0" borderId="0" xfId="17" applyFont="1" applyFill="1" applyBorder="1" applyAlignment="1">
      <alignment horizontal="left"/>
    </xf>
    <xf numFmtId="0" fontId="19" fillId="0" borderId="69" xfId="17" applyFont="1" applyFill="1" applyBorder="1" applyAlignment="1">
      <alignment horizontal="left"/>
    </xf>
    <xf numFmtId="0" fontId="17" fillId="0" borderId="0" xfId="17" applyFont="1" applyFill="1" applyBorder="1" applyAlignment="1">
      <alignment horizontal="center"/>
    </xf>
    <xf numFmtId="0" fontId="19" fillId="0" borderId="0" xfId="17" applyFont="1" applyFill="1" applyBorder="1" applyAlignment="1">
      <alignment horizontal="left"/>
    </xf>
    <xf numFmtId="0" fontId="0" fillId="0" borderId="0" xfId="0"/>
    <xf numFmtId="0" fontId="0" fillId="0" borderId="0" xfId="0"/>
    <xf numFmtId="0" fontId="0" fillId="0" borderId="0" xfId="0"/>
    <xf numFmtId="168" fontId="17" fillId="0" borderId="0" xfId="17" applyNumberFormat="1" applyFont="1" applyFill="1" applyBorder="1" applyAlignment="1">
      <alignment horizontal="center"/>
    </xf>
    <xf numFmtId="0" fontId="18" fillId="103" borderId="0" xfId="17" applyFont="1" applyFill="1" applyBorder="1" applyAlignment="1">
      <alignment horizontal="left"/>
    </xf>
    <xf numFmtId="168" fontId="18" fillId="103" borderId="0" xfId="18" applyNumberFormat="1" applyFont="1" applyFill="1" applyBorder="1" applyAlignment="1">
      <alignment horizontal="center"/>
    </xf>
    <xf numFmtId="0" fontId="12" fillId="103" borderId="72" xfId="0" applyFont="1" applyFill="1" applyBorder="1" applyAlignment="1">
      <alignment vertical="center" wrapText="1"/>
    </xf>
    <xf numFmtId="168" fontId="12" fillId="103" borderId="76" xfId="16" applyNumberFormat="1" applyFont="1" applyFill="1" applyBorder="1" applyAlignment="1">
      <alignment horizontal="right" vertical="center" wrapText="1"/>
    </xf>
    <xf numFmtId="0" fontId="11" fillId="103" borderId="71" xfId="0" applyFont="1" applyFill="1" applyBorder="1" applyAlignment="1">
      <alignment vertical="center"/>
    </xf>
    <xf numFmtId="168" fontId="11" fillId="103" borderId="76" xfId="16" applyNumberFormat="1" applyFont="1" applyFill="1" applyBorder="1" applyAlignment="1">
      <alignment horizontal="right" vertical="center" wrapText="1"/>
    </xf>
    <xf numFmtId="0" fontId="8" fillId="103" borderId="0" xfId="0" applyFont="1" applyFill="1"/>
    <xf numFmtId="0" fontId="23" fillId="100" borderId="77" xfId="0" applyFont="1" applyFill="1" applyBorder="1" applyAlignment="1">
      <alignment horizontal="right" vertical="center" wrapText="1"/>
    </xf>
    <xf numFmtId="169" fontId="11" fillId="102" borderId="77" xfId="16" applyNumberFormat="1" applyFont="1" applyFill="1" applyBorder="1" applyAlignment="1">
      <alignment horizontal="right" vertical="center" wrapText="1"/>
    </xf>
    <xf numFmtId="169" fontId="12" fillId="100" borderId="72" xfId="16" applyNumberFormat="1" applyFont="1" applyFill="1" applyBorder="1" applyAlignment="1">
      <alignment horizontal="right" vertical="center" wrapText="1"/>
    </xf>
    <xf numFmtId="169" fontId="11" fillId="102" borderId="72" xfId="16" applyNumberFormat="1" applyFont="1" applyFill="1" applyBorder="1" applyAlignment="1">
      <alignment horizontal="right" vertical="center" wrapText="1"/>
    </xf>
    <xf numFmtId="3" fontId="11" fillId="103" borderId="77" xfId="0" applyNumberFormat="1" applyFont="1" applyFill="1" applyBorder="1" applyAlignment="1">
      <alignment horizontal="right" vertical="center" wrapText="1"/>
    </xf>
    <xf numFmtId="0" fontId="11" fillId="99" borderId="77" xfId="0" applyFont="1" applyFill="1" applyBorder="1" applyAlignment="1">
      <alignment horizontal="right" vertical="center"/>
    </xf>
    <xf numFmtId="0" fontId="9" fillId="100" borderId="77" xfId="0" applyFont="1" applyFill="1" applyBorder="1" applyAlignment="1">
      <alignment horizontal="right" vertical="center" wrapText="1"/>
    </xf>
    <xf numFmtId="0" fontId="9" fillId="104" borderId="77" xfId="0" applyFont="1" applyFill="1" applyBorder="1" applyAlignment="1">
      <alignment horizontal="right" vertical="center" wrapText="1"/>
    </xf>
    <xf numFmtId="168" fontId="9" fillId="0" borderId="95" xfId="16" applyNumberFormat="1" applyFont="1" applyFill="1" applyBorder="1"/>
    <xf numFmtId="168" fontId="12" fillId="103" borderId="72" xfId="16" applyNumberFormat="1" applyFont="1" applyFill="1" applyBorder="1" applyAlignment="1">
      <alignment horizontal="right" vertical="center" wrapText="1"/>
    </xf>
    <xf numFmtId="168" fontId="11" fillId="103" borderId="72" xfId="16" applyNumberFormat="1" applyFont="1" applyFill="1" applyBorder="1" applyAlignment="1">
      <alignment horizontal="right" vertical="center" wrapText="1"/>
    </xf>
    <xf numFmtId="0" fontId="0" fillId="0" borderId="0" xfId="0" applyBorder="1"/>
    <xf numFmtId="3" fontId="11" fillId="103" borderId="0" xfId="0" applyNumberFormat="1" applyFont="1" applyFill="1" applyBorder="1" applyAlignment="1">
      <alignment horizontal="right" vertical="center" wrapText="1"/>
    </xf>
    <xf numFmtId="0" fontId="0" fillId="103" borderId="0" xfId="0" applyFill="1" applyBorder="1"/>
    <xf numFmtId="0" fontId="11" fillId="103" borderId="0" xfId="0" applyFont="1" applyFill="1" applyBorder="1" applyAlignment="1">
      <alignment vertical="center"/>
    </xf>
    <xf numFmtId="168" fontId="9" fillId="103" borderId="0" xfId="16" applyNumberFormat="1" applyFont="1" applyFill="1" applyBorder="1"/>
    <xf numFmtId="0" fontId="11" fillId="102" borderId="96" xfId="0" applyFont="1" applyFill="1" applyBorder="1" applyAlignment="1">
      <alignment vertical="center"/>
    </xf>
    <xf numFmtId="0" fontId="12" fillId="100" borderId="77" xfId="0" applyFont="1" applyFill="1" applyBorder="1" applyAlignment="1">
      <alignment vertical="center" wrapText="1"/>
    </xf>
    <xf numFmtId="0" fontId="20" fillId="0" borderId="0" xfId="0" applyFont="1" applyAlignment="1">
      <alignment vertical="center"/>
    </xf>
    <xf numFmtId="169" fontId="19" fillId="0" borderId="69" xfId="18" applyNumberFormat="1" applyFont="1" applyBorder="1" applyAlignment="1">
      <alignment horizontal="center"/>
    </xf>
    <xf numFmtId="43" fontId="0" fillId="103" borderId="0" xfId="16" applyFont="1" applyFill="1"/>
    <xf numFmtId="168" fontId="18" fillId="0" borderId="0" xfId="18" applyNumberFormat="1" applyFont="1" applyAlignment="1">
      <alignment horizontal="center"/>
    </xf>
    <xf numFmtId="168" fontId="18" fillId="0" borderId="0" xfId="18" applyNumberFormat="1" applyFont="1" applyFill="1" applyAlignment="1">
      <alignment horizontal="center"/>
    </xf>
    <xf numFmtId="169" fontId="19" fillId="0" borderId="69" xfId="18" applyNumberFormat="1" applyFont="1" applyFill="1" applyBorder="1" applyAlignment="1">
      <alignment horizontal="center"/>
    </xf>
    <xf numFmtId="0" fontId="17" fillId="0" borderId="0" xfId="17" applyFont="1" applyAlignment="1">
      <alignment horizontal="left"/>
    </xf>
    <xf numFmtId="0" fontId="17" fillId="0" borderId="0" xfId="17" applyFont="1" applyAlignment="1">
      <alignment horizontal="center"/>
    </xf>
    <xf numFmtId="0" fontId="18" fillId="0" borderId="0" xfId="17" applyFont="1" applyAlignment="1">
      <alignment horizontal="left"/>
    </xf>
    <xf numFmtId="0" fontId="19" fillId="0" borderId="0" xfId="17" applyFont="1" applyAlignment="1">
      <alignment horizontal="left"/>
    </xf>
    <xf numFmtId="168" fontId="19" fillId="0" borderId="0" xfId="18" applyNumberFormat="1" applyFont="1" applyAlignment="1">
      <alignment horizontal="center"/>
    </xf>
    <xf numFmtId="0" fontId="19" fillId="0" borderId="69" xfId="17" applyFont="1" applyBorder="1" applyAlignment="1">
      <alignment horizontal="left"/>
    </xf>
    <xf numFmtId="168" fontId="8" fillId="0" borderId="0" xfId="0" applyNumberFormat="1" applyFont="1"/>
    <xf numFmtId="0" fontId="0" fillId="0" borderId="0" xfId="0" applyAlignment="1">
      <alignment horizontal="center"/>
    </xf>
    <xf numFmtId="168" fontId="18" fillId="0" borderId="0" xfId="28" applyNumberFormat="1" applyFont="1" applyFill="1" applyBorder="1" applyAlignment="1">
      <alignment horizontal="left" indent="2"/>
    </xf>
    <xf numFmtId="169" fontId="19" fillId="0" borderId="0" xfId="28" applyNumberFormat="1" applyFont="1" applyFill="1" applyBorder="1" applyAlignment="1">
      <alignment horizontal="left" indent="2"/>
    </xf>
    <xf numFmtId="0" fontId="0" fillId="0" borderId="0" xfId="0" applyAlignment="1">
      <alignment horizontal="center" vertical="center"/>
    </xf>
    <xf numFmtId="0" fontId="32" fillId="98" borderId="0" xfId="5265" applyFont="1" applyFill="1" applyAlignment="1">
      <alignment vertical="center" wrapText="1"/>
    </xf>
    <xf numFmtId="0" fontId="154" fillId="0" borderId="0" xfId="2109" applyFont="1"/>
    <xf numFmtId="0" fontId="154" fillId="0" borderId="0" xfId="2109" applyFont="1" applyAlignment="1">
      <alignment horizontal="center"/>
    </xf>
    <xf numFmtId="0" fontId="154" fillId="0" borderId="0" xfId="2109" applyFont="1" applyAlignment="1">
      <alignment horizontal="center" vertical="center"/>
    </xf>
    <xf numFmtId="0" fontId="156" fillId="0" borderId="0" xfId="0" applyFont="1" applyAlignment="1">
      <alignment horizontal="center" vertical="center"/>
    </xf>
    <xf numFmtId="0" fontId="157" fillId="0" borderId="0" xfId="0" applyFont="1" applyAlignment="1">
      <alignment vertical="center"/>
    </xf>
    <xf numFmtId="0" fontId="157" fillId="0" borderId="0" xfId="0" applyFont="1" applyAlignment="1">
      <alignment horizontal="center" vertical="center"/>
    </xf>
    <xf numFmtId="0" fontId="158" fillId="0" borderId="0" xfId="0" applyFont="1" applyAlignment="1">
      <alignment horizontal="left"/>
    </xf>
    <xf numFmtId="169" fontId="17" fillId="0" borderId="0" xfId="17" applyNumberFormat="1" applyFont="1" applyFill="1" applyBorder="1" applyAlignment="1">
      <alignment horizontal="center"/>
    </xf>
    <xf numFmtId="0" fontId="159" fillId="0" borderId="0" xfId="0" applyFont="1" applyAlignment="1">
      <alignment vertical="center"/>
    </xf>
    <xf numFmtId="0" fontId="11" fillId="99" borderId="97" xfId="0" applyFont="1" applyFill="1" applyBorder="1" applyAlignment="1">
      <alignment vertical="center"/>
    </xf>
    <xf numFmtId="0" fontId="11" fillId="99" borderId="96" xfId="0" applyFont="1" applyFill="1" applyBorder="1" applyAlignment="1">
      <alignment vertical="center"/>
    </xf>
    <xf numFmtId="0" fontId="12" fillId="100" borderId="0" xfId="0" applyFont="1" applyFill="1" applyBorder="1" applyAlignment="1">
      <alignment vertical="center" wrapText="1"/>
    </xf>
    <xf numFmtId="0" fontId="23" fillId="100" borderId="0" xfId="0" applyFont="1" applyFill="1" applyBorder="1" applyAlignment="1">
      <alignment horizontal="right" vertical="center" wrapText="1"/>
    </xf>
    <xf numFmtId="0" fontId="9" fillId="101" borderId="0" xfId="0" applyFont="1" applyFill="1" applyBorder="1" applyAlignment="1">
      <alignment horizontal="left" vertical="center" wrapText="1" indent="1"/>
    </xf>
    <xf numFmtId="0" fontId="11" fillId="102" borderId="0" xfId="0" applyFont="1" applyFill="1" applyBorder="1" applyAlignment="1">
      <alignment vertical="center"/>
    </xf>
    <xf numFmtId="169" fontId="11" fillId="102" borderId="0" xfId="16" applyNumberFormat="1" applyFont="1" applyFill="1" applyBorder="1" applyAlignment="1">
      <alignment horizontal="right" vertical="center" wrapText="1"/>
    </xf>
    <xf numFmtId="169" fontId="12" fillId="100" borderId="0" xfId="16" applyNumberFormat="1" applyFont="1" applyFill="1" applyBorder="1" applyAlignment="1">
      <alignment horizontal="right" vertical="center" wrapText="1"/>
    </xf>
    <xf numFmtId="0" fontId="11" fillId="99" borderId="0" xfId="0" applyFont="1" applyFill="1" applyBorder="1" applyAlignment="1">
      <alignment vertical="center"/>
    </xf>
    <xf numFmtId="0" fontId="11" fillId="99" borderId="0" xfId="0" applyFont="1" applyFill="1" applyBorder="1" applyAlignment="1">
      <alignment horizontal="right" vertical="center"/>
    </xf>
    <xf numFmtId="0" fontId="9" fillId="100" borderId="0" xfId="0" applyFont="1" applyFill="1" applyBorder="1" applyAlignment="1">
      <alignment horizontal="right" vertical="center" wrapText="1"/>
    </xf>
    <xf numFmtId="0" fontId="12" fillId="104" borderId="0" xfId="0" applyFont="1" applyFill="1" applyBorder="1" applyAlignment="1">
      <alignment vertical="center" wrapText="1"/>
    </xf>
    <xf numFmtId="0" fontId="9" fillId="104" borderId="0" xfId="0" applyFont="1" applyFill="1" applyBorder="1" applyAlignment="1">
      <alignment horizontal="right" vertical="center" wrapText="1"/>
    </xf>
    <xf numFmtId="0" fontId="9" fillId="103" borderId="0" xfId="0" applyFont="1" applyFill="1" applyBorder="1" applyAlignment="1">
      <alignment horizontal="left" vertical="center" wrapText="1" indent="1"/>
    </xf>
    <xf numFmtId="0" fontId="9" fillId="103" borderId="72" xfId="0" applyFont="1" applyFill="1" applyBorder="1" applyAlignment="1">
      <alignment horizontal="left" vertical="center" wrapText="1" indent="1"/>
    </xf>
    <xf numFmtId="168" fontId="9" fillId="103" borderId="78" xfId="16" applyNumberFormat="1" applyFont="1" applyFill="1" applyBorder="1"/>
    <xf numFmtId="0" fontId="10" fillId="0" borderId="0" xfId="0" applyFont="1" applyBorder="1"/>
    <xf numFmtId="0" fontId="8" fillId="0" borderId="0" xfId="0" applyFont="1" applyBorder="1"/>
    <xf numFmtId="0" fontId="9" fillId="103" borderId="80" xfId="0" applyFont="1" applyFill="1" applyBorder="1" applyAlignment="1">
      <alignment horizontal="left" vertical="center" wrapText="1" indent="1"/>
    </xf>
    <xf numFmtId="168" fontId="9" fillId="103" borderId="94" xfId="16" applyNumberFormat="1" applyFont="1" applyFill="1" applyBorder="1"/>
    <xf numFmtId="43" fontId="8" fillId="0" borderId="0" xfId="16" applyFont="1"/>
    <xf numFmtId="43" fontId="8" fillId="0" borderId="0" xfId="16" applyFont="1" applyBorder="1"/>
    <xf numFmtId="0" fontId="25" fillId="98" borderId="0" xfId="0" applyFont="1" applyFill="1"/>
    <xf numFmtId="0" fontId="11" fillId="99" borderId="0" xfId="0" applyFont="1" applyFill="1" applyAlignment="1">
      <alignment vertical="center"/>
    </xf>
    <xf numFmtId="0" fontId="12" fillId="100" borderId="0" xfId="0" applyFont="1" applyFill="1" applyAlignment="1">
      <alignment vertical="center" wrapText="1"/>
    </xf>
    <xf numFmtId="0" fontId="23" fillId="100" borderId="0" xfId="0" applyFont="1" applyFill="1" applyAlignment="1">
      <alignment horizontal="right" vertical="center" wrapText="1"/>
    </xf>
    <xf numFmtId="0" fontId="9" fillId="101" borderId="0" xfId="0" applyFont="1" applyFill="1" applyAlignment="1">
      <alignment horizontal="left" vertical="center" wrapText="1" indent="1"/>
    </xf>
    <xf numFmtId="3" fontId="11" fillId="103" borderId="0" xfId="0" applyNumberFormat="1" applyFont="1" applyFill="1" applyAlignment="1">
      <alignment horizontal="right" vertical="center" wrapText="1"/>
    </xf>
    <xf numFmtId="0" fontId="11" fillId="99" borderId="0" xfId="0" applyFont="1" applyFill="1" applyAlignment="1">
      <alignment horizontal="right" vertical="center"/>
    </xf>
    <xf numFmtId="0" fontId="9" fillId="100" borderId="0" xfId="0" applyFont="1" applyFill="1" applyAlignment="1">
      <alignment horizontal="right" vertical="center" wrapText="1"/>
    </xf>
    <xf numFmtId="0" fontId="12" fillId="104" borderId="0" xfId="0" applyFont="1" applyFill="1" applyAlignment="1">
      <alignment vertical="center" wrapText="1"/>
    </xf>
    <xf numFmtId="0" fontId="9" fillId="104" borderId="0" xfId="0" applyFont="1" applyFill="1" applyAlignment="1">
      <alignment horizontal="right" vertical="center" wrapText="1"/>
    </xf>
    <xf numFmtId="0" fontId="33" fillId="103" borderId="0" xfId="22" applyFont="1" applyFill="1" applyBorder="1"/>
    <xf numFmtId="0" fontId="32" fillId="103" borderId="0" xfId="22" applyFont="1" applyFill="1" applyBorder="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0" fontId="32" fillId="98" borderId="98" xfId="22" applyFont="1" applyFill="1" applyBorder="1" applyAlignment="1">
      <alignment horizontal="center" vertical="center" wrapText="1"/>
    </xf>
    <xf numFmtId="0" fontId="161" fillId="0" borderId="0" xfId="0" applyFont="1" applyAlignment="1">
      <alignment horizontal="center" vertical="center"/>
    </xf>
    <xf numFmtId="0" fontId="161" fillId="0" borderId="0" xfId="0" applyFont="1" applyAlignment="1">
      <alignment horizontal="left" vertical="center"/>
    </xf>
    <xf numFmtId="3" fontId="161" fillId="0" borderId="0" xfId="0" applyNumberFormat="1" applyFont="1" applyAlignment="1">
      <alignment horizontal="center" vertical="center"/>
    </xf>
    <xf numFmtId="174" fontId="161" fillId="0" borderId="0" xfId="0" applyNumberFormat="1" applyFont="1" applyAlignment="1">
      <alignment horizontal="center" vertical="center"/>
    </xf>
    <xf numFmtId="0" fontId="162" fillId="0" borderId="0" xfId="0" applyFont="1" applyAlignment="1">
      <alignment horizontal="left" vertical="center"/>
    </xf>
    <xf numFmtId="0" fontId="2" fillId="0" borderId="11" xfId="0" applyFont="1" applyBorder="1" applyAlignment="1">
      <alignment horizontal="center"/>
    </xf>
    <xf numFmtId="0" fontId="2" fillId="109" borderId="11" xfId="0" applyFont="1" applyFill="1" applyBorder="1" applyAlignment="1">
      <alignment horizontal="center" vertical="center"/>
    </xf>
    <xf numFmtId="38" fontId="0" fillId="0" borderId="11" xfId="0" applyNumberFormat="1" applyBorder="1" applyAlignment="1">
      <alignment horizontal="center" vertical="center"/>
    </xf>
    <xf numFmtId="38" fontId="2" fillId="0" borderId="11" xfId="0" applyNumberFormat="1" applyFont="1" applyBorder="1" applyAlignment="1">
      <alignment horizontal="center" vertical="center"/>
    </xf>
    <xf numFmtId="0" fontId="0" fillId="0" borderId="11" xfId="0" applyFont="1" applyBorder="1"/>
    <xf numFmtId="169" fontId="19" fillId="0" borderId="69" xfId="18" applyNumberFormat="1" applyFont="1" applyFill="1" applyBorder="1" applyAlignment="1">
      <alignment horizontal="center"/>
    </xf>
    <xf numFmtId="168" fontId="19" fillId="0" borderId="69" xfId="18" applyNumberFormat="1" applyFont="1" applyFill="1" applyBorder="1" applyAlignment="1">
      <alignment horizontal="center"/>
    </xf>
    <xf numFmtId="0" fontId="17" fillId="0" borderId="0" xfId="17" applyFont="1" applyAlignment="1">
      <alignment horizontal="center"/>
    </xf>
    <xf numFmtId="168" fontId="18" fillId="0" borderId="0" xfId="18" applyNumberFormat="1" applyFont="1" applyAlignment="1">
      <alignment horizontal="center"/>
    </xf>
    <xf numFmtId="168" fontId="19" fillId="0" borderId="0" xfId="18" applyNumberFormat="1" applyFont="1" applyAlignment="1">
      <alignment horizontal="center"/>
    </xf>
    <xf numFmtId="169" fontId="19" fillId="0" borderId="69" xfId="18" applyNumberFormat="1" applyFont="1" applyBorder="1" applyAlignment="1">
      <alignment horizontal="center"/>
    </xf>
    <xf numFmtId="0" fontId="35" fillId="103" borderId="0" xfId="22" applyFont="1" applyFill="1" applyAlignment="1">
      <alignment horizontal="center"/>
    </xf>
    <xf numFmtId="0" fontId="23" fillId="110" borderId="85" xfId="22" applyFont="1" applyFill="1" applyBorder="1" applyAlignment="1">
      <alignment horizontal="left" vertical="center"/>
    </xf>
    <xf numFmtId="172" fontId="33" fillId="0" borderId="85" xfId="23" applyNumberFormat="1" applyFont="1" applyFill="1" applyBorder="1"/>
    <xf numFmtId="0" fontId="167" fillId="0" borderId="0" xfId="0" applyFont="1"/>
    <xf numFmtId="0" fontId="173" fillId="105" borderId="79" xfId="0" applyFont="1" applyFill="1" applyBorder="1" applyAlignment="1">
      <alignment horizontal="center" vertical="center" wrapText="1"/>
    </xf>
    <xf numFmtId="0" fontId="174" fillId="99" borderId="97" xfId="0" applyFont="1" applyFill="1" applyBorder="1" applyAlignment="1">
      <alignment vertical="center"/>
    </xf>
    <xf numFmtId="0" fontId="175" fillId="100" borderId="0" xfId="0" applyFont="1" applyFill="1" applyAlignment="1">
      <alignment horizontal="right" vertical="center" wrapText="1"/>
    </xf>
    <xf numFmtId="168" fontId="22" fillId="111" borderId="0" xfId="16" applyNumberFormat="1" applyFont="1" applyFill="1" applyBorder="1"/>
    <xf numFmtId="169" fontId="174" fillId="102" borderId="0" xfId="16" applyNumberFormat="1" applyFont="1" applyFill="1" applyBorder="1" applyAlignment="1">
      <alignment horizontal="right" vertical="center" wrapText="1"/>
    </xf>
    <xf numFmtId="169" fontId="176" fillId="100" borderId="0" xfId="16" applyNumberFormat="1" applyFont="1" applyFill="1" applyBorder="1" applyAlignment="1">
      <alignment horizontal="right" vertical="center" wrapText="1"/>
    </xf>
    <xf numFmtId="3" fontId="174" fillId="111" borderId="0" xfId="0" applyNumberFormat="1" applyFont="1" applyFill="1" applyAlignment="1">
      <alignment horizontal="right" vertical="center" wrapText="1"/>
    </xf>
    <xf numFmtId="0" fontId="174" fillId="99" borderId="0" xfId="0" applyFont="1" applyFill="1" applyAlignment="1">
      <alignment horizontal="right" vertical="center"/>
    </xf>
    <xf numFmtId="0" fontId="22" fillId="100" borderId="0" xfId="0" applyFont="1" applyFill="1" applyAlignment="1">
      <alignment horizontal="right" vertical="center" wrapText="1"/>
    </xf>
    <xf numFmtId="0" fontId="22" fillId="104" borderId="0" xfId="0" applyFont="1" applyFill="1" applyAlignment="1">
      <alignment horizontal="right" vertical="center" wrapText="1"/>
    </xf>
    <xf numFmtId="0" fontId="11" fillId="105" borderId="79" xfId="0" applyFont="1" applyFill="1" applyBorder="1" applyAlignment="1">
      <alignment horizontal="center" vertical="center" wrapText="1"/>
    </xf>
    <xf numFmtId="0" fontId="0" fillId="0" borderId="79" xfId="0" applyBorder="1"/>
    <xf numFmtId="0" fontId="178" fillId="0" borderId="0" xfId="0" applyFont="1"/>
    <xf numFmtId="0" fontId="179" fillId="0" borderId="0" xfId="0" applyFont="1"/>
    <xf numFmtId="0" fontId="0" fillId="111" borderId="0" xfId="0" applyFill="1"/>
    <xf numFmtId="0" fontId="180" fillId="111" borderId="0" xfId="0" applyFont="1" applyFill="1" applyBorder="1"/>
    <xf numFmtId="0" fontId="0" fillId="111" borderId="0" xfId="0" applyFill="1" applyBorder="1"/>
    <xf numFmtId="0" fontId="5" fillId="0" borderId="0" xfId="8" applyFill="1"/>
    <xf numFmtId="1" fontId="32" fillId="113" borderId="0" xfId="0" applyNumberFormat="1" applyFont="1" applyFill="1" applyAlignment="1">
      <alignment horizontal="center" vertical="center" wrapText="1"/>
    </xf>
    <xf numFmtId="0" fontId="32" fillId="113" borderId="0" xfId="0" applyFont="1" applyFill="1" applyAlignment="1">
      <alignment horizontal="center" vertical="center" wrapText="1"/>
    </xf>
    <xf numFmtId="0" fontId="19" fillId="0" borderId="114" xfId="17" applyFont="1" applyFill="1" applyBorder="1" applyAlignment="1">
      <alignment horizontal="left"/>
    </xf>
    <xf numFmtId="169" fontId="19" fillId="0" borderId="114" xfId="28" applyNumberFormat="1" applyFont="1" applyFill="1" applyBorder="1" applyAlignment="1">
      <alignment horizontal="left" indent="2"/>
    </xf>
    <xf numFmtId="0" fontId="155" fillId="111" borderId="0" xfId="7" applyFont="1" applyFill="1" applyAlignment="1">
      <alignment vertical="center"/>
    </xf>
    <xf numFmtId="0" fontId="155" fillId="111" borderId="0" xfId="7" applyFont="1" applyFill="1" applyAlignment="1">
      <alignment horizontal="center" vertical="center"/>
    </xf>
    <xf numFmtId="0" fontId="32" fillId="114" borderId="0" xfId="7868" applyFont="1" applyFill="1" applyAlignment="1">
      <alignment horizontal="left" vertical="center"/>
    </xf>
    <xf numFmtId="169" fontId="32" fillId="114" borderId="0" xfId="16" applyNumberFormat="1" applyFont="1" applyFill="1" applyAlignment="1">
      <alignment horizontal="center" vertical="center"/>
    </xf>
    <xf numFmtId="0" fontId="155" fillId="115" borderId="0" xfId="7" applyFont="1" applyFill="1" applyAlignment="1">
      <alignment vertical="center"/>
    </xf>
    <xf numFmtId="0" fontId="155" fillId="115" borderId="0" xfId="7" applyFont="1" applyFill="1" applyAlignment="1">
      <alignment horizontal="center" vertical="center"/>
    </xf>
    <xf numFmtId="1" fontId="32" fillId="116" borderId="0" xfId="0" applyNumberFormat="1" applyFont="1" applyFill="1" applyAlignment="1">
      <alignment horizontal="center" vertical="center" wrapText="1"/>
    </xf>
    <xf numFmtId="0" fontId="32" fillId="116" borderId="0" xfId="0" applyFont="1" applyFill="1" applyAlignment="1">
      <alignment horizontal="center" vertical="center" wrapText="1"/>
    </xf>
    <xf numFmtId="169" fontId="32" fillId="114" borderId="0" xfId="16" applyNumberFormat="1" applyFont="1" applyFill="1" applyAlignment="1">
      <alignment horizontal="left" vertical="center"/>
    </xf>
    <xf numFmtId="217" fontId="32" fillId="114" borderId="0" xfId="7868" applyNumberFormat="1" applyFont="1" applyFill="1" applyAlignment="1">
      <alignment horizontal="left" vertical="center" indent="3"/>
    </xf>
    <xf numFmtId="0" fontId="19" fillId="0" borderId="114" xfId="17" applyFont="1" applyFill="1" applyBorder="1" applyAlignment="1">
      <alignment horizontal="left" wrapText="1"/>
    </xf>
    <xf numFmtId="169" fontId="32" fillId="114" borderId="0" xfId="5112" applyNumberFormat="1" applyFont="1" applyFill="1" applyAlignment="1">
      <alignment horizontal="center" vertical="center"/>
    </xf>
    <xf numFmtId="0" fontId="153" fillId="111" borderId="0" xfId="0" applyFont="1" applyFill="1" applyAlignment="1">
      <alignment vertical="center"/>
    </xf>
    <xf numFmtId="217" fontId="157" fillId="111" borderId="0" xfId="7867" applyNumberFormat="1" applyFont="1" applyFill="1" applyBorder="1" applyAlignment="1">
      <alignment horizontal="center" vertical="center"/>
    </xf>
    <xf numFmtId="168" fontId="18" fillId="0" borderId="0" xfId="28" applyNumberFormat="1" applyFont="1" applyFill="1" applyBorder="1" applyAlignment="1">
      <alignment horizontal="right" indent="2"/>
    </xf>
    <xf numFmtId="0" fontId="156" fillId="111" borderId="0" xfId="0" applyFont="1" applyFill="1" applyAlignment="1">
      <alignment vertical="center"/>
    </xf>
    <xf numFmtId="0" fontId="157" fillId="111" borderId="0" xfId="0" applyFont="1" applyFill="1" applyAlignment="1">
      <alignment horizontal="center" vertical="center"/>
    </xf>
    <xf numFmtId="0" fontId="157" fillId="111" borderId="0" xfId="0" applyFont="1" applyFill="1" applyAlignment="1">
      <alignment vertical="center"/>
    </xf>
    <xf numFmtId="0" fontId="153" fillId="111" borderId="0" xfId="7" applyFont="1" applyFill="1" applyAlignment="1">
      <alignment vertical="center"/>
    </xf>
    <xf numFmtId="217" fontId="153" fillId="111" borderId="0" xfId="7867" applyNumberFormat="1" applyFont="1" applyFill="1" applyBorder="1" applyAlignment="1">
      <alignment horizontal="center" vertical="center"/>
    </xf>
    <xf numFmtId="169" fontId="153" fillId="111" borderId="0" xfId="5112" applyNumberFormat="1" applyFont="1" applyFill="1" applyBorder="1" applyAlignment="1">
      <alignment horizontal="center" vertical="center"/>
    </xf>
    <xf numFmtId="0" fontId="32" fillId="111" borderId="0" xfId="7868" applyFont="1" applyFill="1" applyAlignment="1">
      <alignment horizontal="left" vertical="center"/>
    </xf>
    <xf numFmtId="217" fontId="32" fillId="111" borderId="0" xfId="7867" applyNumberFormat="1" applyFont="1" applyFill="1" applyBorder="1" applyAlignment="1">
      <alignment horizontal="center" vertical="center"/>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0" fontId="24" fillId="117" borderId="0" xfId="0" applyFont="1" applyFill="1" applyAlignment="1">
      <alignment horizontal="center" vertical="center"/>
    </xf>
    <xf numFmtId="169" fontId="19" fillId="0" borderId="114" xfId="18" applyNumberFormat="1" applyFont="1" applyFill="1" applyBorder="1" applyAlignment="1">
      <alignment horizontal="center"/>
    </xf>
    <xf numFmtId="168" fontId="19" fillId="0" borderId="114" xfId="18" applyNumberFormat="1" applyFont="1" applyFill="1" applyBorder="1" applyAlignment="1">
      <alignment horizontal="center"/>
    </xf>
    <xf numFmtId="0" fontId="17" fillId="117" borderId="0" xfId="0" applyFont="1" applyFill="1" applyAlignment="1">
      <alignment horizontal="center" vertical="center"/>
    </xf>
    <xf numFmtId="0" fontId="11" fillId="118" borderId="70" xfId="0" applyFont="1" applyFill="1" applyBorder="1" applyAlignment="1">
      <alignment vertical="center"/>
    </xf>
    <xf numFmtId="0" fontId="23" fillId="119" borderId="73" xfId="0" applyFont="1" applyFill="1" applyBorder="1" applyAlignment="1">
      <alignment horizontal="right" vertical="center" wrapText="1"/>
    </xf>
    <xf numFmtId="169" fontId="11" fillId="120" borderId="73" xfId="16" applyNumberFormat="1" applyFont="1" applyFill="1" applyBorder="1" applyAlignment="1">
      <alignment horizontal="right" vertical="center" wrapText="1"/>
    </xf>
    <xf numFmtId="169" fontId="12" fillId="119" borderId="76" xfId="16" applyNumberFormat="1" applyFont="1" applyFill="1" applyBorder="1" applyAlignment="1">
      <alignment horizontal="right" vertical="center" wrapText="1"/>
    </xf>
    <xf numFmtId="169" fontId="11" fillId="120" borderId="76" xfId="16" applyNumberFormat="1" applyFont="1" applyFill="1" applyBorder="1" applyAlignment="1">
      <alignment horizontal="right" vertical="center" wrapText="1"/>
    </xf>
    <xf numFmtId="3" fontId="11" fillId="121" borderId="73" xfId="0" applyNumberFormat="1" applyFont="1" applyFill="1" applyBorder="1" applyAlignment="1">
      <alignment horizontal="right" vertical="center" wrapText="1"/>
    </xf>
    <xf numFmtId="0" fontId="11" fillId="118" borderId="73" xfId="0" applyFont="1" applyFill="1" applyBorder="1" applyAlignment="1">
      <alignment horizontal="right" vertical="center"/>
    </xf>
    <xf numFmtId="0" fontId="9" fillId="119" borderId="73" xfId="0" applyFont="1" applyFill="1" applyBorder="1" applyAlignment="1">
      <alignment horizontal="right" vertical="center" wrapText="1"/>
    </xf>
    <xf numFmtId="0" fontId="9" fillId="122" borderId="73" xfId="0" applyFont="1" applyFill="1" applyBorder="1" applyAlignment="1">
      <alignment horizontal="right" vertical="center" wrapText="1"/>
    </xf>
    <xf numFmtId="169" fontId="12" fillId="123" borderId="76" xfId="16" applyNumberFormat="1" applyFont="1" applyFill="1" applyBorder="1" applyAlignment="1">
      <alignment horizontal="right" vertical="center" wrapText="1"/>
    </xf>
    <xf numFmtId="0" fontId="181" fillId="0" borderId="0" xfId="0" applyFont="1"/>
    <xf numFmtId="0" fontId="173" fillId="117" borderId="0" xfId="0" applyFont="1" applyFill="1" applyAlignment="1">
      <alignment horizontal="center" vertical="center"/>
    </xf>
    <xf numFmtId="168" fontId="182" fillId="0" borderId="0" xfId="28" applyNumberFormat="1" applyFont="1" applyFill="1" applyBorder="1" applyAlignment="1">
      <alignment horizontal="center"/>
    </xf>
    <xf numFmtId="169" fontId="183" fillId="0" borderId="114" xfId="28" applyNumberFormat="1" applyFont="1" applyFill="1" applyBorder="1" applyAlignment="1">
      <alignment horizontal="center"/>
    </xf>
    <xf numFmtId="168" fontId="183" fillId="0" borderId="114" xfId="28" applyNumberFormat="1" applyFont="1" applyFill="1" applyBorder="1" applyAlignment="1">
      <alignment horizontal="center"/>
    </xf>
    <xf numFmtId="0" fontId="184" fillId="0" borderId="0" xfId="0" applyFont="1" applyAlignment="1">
      <alignment vertical="center"/>
    </xf>
    <xf numFmtId="0" fontId="175" fillId="0" borderId="0" xfId="0" applyFont="1" applyAlignment="1">
      <alignment vertical="center"/>
    </xf>
    <xf numFmtId="0" fontId="185" fillId="0" borderId="0" xfId="0" applyFont="1"/>
    <xf numFmtId="0" fontId="16" fillId="117" borderId="0" xfId="0" applyFont="1" applyFill="1" applyAlignment="1">
      <alignment horizontal="center" vertical="center"/>
    </xf>
    <xf numFmtId="0" fontId="174" fillId="118" borderId="70" xfId="0" applyFont="1" applyFill="1" applyBorder="1" applyAlignment="1">
      <alignment vertical="center"/>
    </xf>
    <xf numFmtId="0" fontId="175" fillId="119" borderId="73" xfId="0" applyFont="1" applyFill="1" applyBorder="1" applyAlignment="1">
      <alignment horizontal="right" vertical="center" wrapText="1"/>
    </xf>
    <xf numFmtId="168" fontId="22" fillId="0" borderId="74" xfId="16" applyNumberFormat="1" applyFont="1" applyFill="1" applyBorder="1"/>
    <xf numFmtId="169" fontId="174" fillId="120" borderId="73" xfId="16" applyNumberFormat="1" applyFont="1" applyFill="1" applyBorder="1" applyAlignment="1">
      <alignment horizontal="right" vertical="center" wrapText="1"/>
    </xf>
    <xf numFmtId="169" fontId="176" fillId="119" borderId="76" xfId="16" applyNumberFormat="1" applyFont="1" applyFill="1" applyBorder="1" applyAlignment="1">
      <alignment horizontal="right" vertical="center" wrapText="1"/>
    </xf>
    <xf numFmtId="169" fontId="174" fillId="120" borderId="76" xfId="16" applyNumberFormat="1" applyFont="1" applyFill="1" applyBorder="1" applyAlignment="1">
      <alignment horizontal="right" vertical="center" wrapText="1"/>
    </xf>
    <xf numFmtId="3" fontId="174" fillId="121" borderId="73" xfId="0" applyNumberFormat="1" applyFont="1" applyFill="1" applyBorder="1" applyAlignment="1">
      <alignment horizontal="right" vertical="center" wrapText="1"/>
    </xf>
    <xf numFmtId="0" fontId="174" fillId="118" borderId="73" xfId="0" applyFont="1" applyFill="1" applyBorder="1" applyAlignment="1">
      <alignment horizontal="right" vertical="center"/>
    </xf>
    <xf numFmtId="0" fontId="22" fillId="119" borderId="73" xfId="0" applyFont="1" applyFill="1" applyBorder="1" applyAlignment="1">
      <alignment horizontal="right" vertical="center" wrapText="1"/>
    </xf>
    <xf numFmtId="0" fontId="22" fillId="122" borderId="73" xfId="0" applyFont="1" applyFill="1" applyBorder="1" applyAlignment="1">
      <alignment horizontal="right" vertical="center" wrapText="1"/>
    </xf>
    <xf numFmtId="43" fontId="14" fillId="0" borderId="0" xfId="16" applyFont="1" applyFill="1" applyBorder="1"/>
    <xf numFmtId="168" fontId="181" fillId="0" borderId="0" xfId="0" applyNumberFormat="1" applyFont="1"/>
    <xf numFmtId="168" fontId="22" fillId="0" borderId="78" xfId="16" applyNumberFormat="1" applyFont="1" applyFill="1" applyBorder="1"/>
    <xf numFmtId="0" fontId="14" fillId="0" borderId="0" xfId="0" applyFont="1"/>
    <xf numFmtId="168" fontId="182" fillId="0" borderId="0" xfId="18" applyNumberFormat="1" applyFont="1" applyFill="1" applyBorder="1" applyAlignment="1">
      <alignment horizontal="center"/>
    </xf>
    <xf numFmtId="169" fontId="183" fillId="0" borderId="114" xfId="18" applyNumberFormat="1" applyFont="1" applyFill="1" applyBorder="1" applyAlignment="1">
      <alignment horizontal="center"/>
    </xf>
    <xf numFmtId="168" fontId="183" fillId="0" borderId="114" xfId="18" applyNumberFormat="1" applyFont="1" applyFill="1" applyBorder="1" applyAlignment="1">
      <alignment horizontal="center"/>
    </xf>
    <xf numFmtId="169" fontId="186" fillId="0" borderId="0" xfId="16" applyNumberFormat="1" applyFont="1" applyFill="1" applyBorder="1" applyAlignment="1">
      <alignment vertical="center"/>
    </xf>
    <xf numFmtId="169" fontId="181" fillId="0" borderId="0" xfId="0" applyNumberFormat="1" applyFont="1"/>
    <xf numFmtId="0" fontId="16" fillId="98" borderId="0" xfId="0" applyFont="1" applyFill="1" applyAlignment="1">
      <alignment horizontal="center" vertical="center"/>
    </xf>
    <xf numFmtId="0" fontId="174" fillId="99" borderId="70" xfId="0" applyFont="1" applyFill="1" applyBorder="1" applyAlignment="1">
      <alignment vertical="center"/>
    </xf>
    <xf numFmtId="0" fontId="175" fillId="100" borderId="73" xfId="0" applyFont="1" applyFill="1" applyBorder="1" applyAlignment="1">
      <alignment horizontal="right" vertical="center" wrapText="1"/>
    </xf>
    <xf numFmtId="169" fontId="174" fillId="102" borderId="73" xfId="16" applyNumberFormat="1" applyFont="1" applyFill="1" applyBorder="1" applyAlignment="1">
      <alignment horizontal="right" vertical="center" wrapText="1"/>
    </xf>
    <xf numFmtId="169" fontId="176" fillId="100" borderId="76" xfId="16" applyNumberFormat="1" applyFont="1" applyFill="1" applyBorder="1" applyAlignment="1">
      <alignment horizontal="right" vertical="center" wrapText="1"/>
    </xf>
    <xf numFmtId="169" fontId="174" fillId="102" borderId="76" xfId="16" applyNumberFormat="1" applyFont="1" applyFill="1" applyBorder="1" applyAlignment="1">
      <alignment horizontal="right" vertical="center" wrapText="1"/>
    </xf>
    <xf numFmtId="3" fontId="174" fillId="111" borderId="73" xfId="0" applyNumberFormat="1" applyFont="1" applyFill="1" applyBorder="1" applyAlignment="1">
      <alignment horizontal="right" vertical="center" wrapText="1"/>
    </xf>
    <xf numFmtId="0" fontId="174" fillId="99" borderId="73" xfId="0" applyFont="1" applyFill="1" applyBorder="1" applyAlignment="1">
      <alignment horizontal="right" vertical="center"/>
    </xf>
    <xf numFmtId="0" fontId="22" fillId="100" borderId="73" xfId="0" applyFont="1" applyFill="1" applyBorder="1" applyAlignment="1">
      <alignment horizontal="right" vertical="center" wrapText="1"/>
    </xf>
    <xf numFmtId="168" fontId="22" fillId="0" borderId="0" xfId="16" applyNumberFormat="1" applyFont="1" applyFill="1" applyBorder="1"/>
    <xf numFmtId="0" fontId="22" fillId="104" borderId="73" xfId="0" applyFont="1" applyFill="1" applyBorder="1" applyAlignment="1">
      <alignment horizontal="right" vertical="center" wrapText="1"/>
    </xf>
    <xf numFmtId="168" fontId="183" fillId="0" borderId="0" xfId="18" applyNumberFormat="1" applyFont="1" applyFill="1" applyBorder="1" applyAlignment="1">
      <alignment horizontal="center"/>
    </xf>
    <xf numFmtId="0" fontId="27" fillId="0" borderId="0" xfId="0" applyFont="1"/>
    <xf numFmtId="168" fontId="22" fillId="111" borderId="78" xfId="16" applyNumberFormat="1" applyFont="1" applyFill="1" applyBorder="1"/>
    <xf numFmtId="168" fontId="22" fillId="111" borderId="94" xfId="16" applyNumberFormat="1" applyFont="1" applyFill="1" applyBorder="1"/>
    <xf numFmtId="43" fontId="27" fillId="0" borderId="0" xfId="16" applyFont="1" applyBorder="1"/>
    <xf numFmtId="0" fontId="173" fillId="98" borderId="0" xfId="0" applyFont="1" applyFill="1" applyAlignment="1">
      <alignment horizontal="center" vertical="center"/>
    </xf>
    <xf numFmtId="0" fontId="174" fillId="99" borderId="0" xfId="0" applyFont="1" applyFill="1" applyAlignment="1">
      <alignment vertical="center"/>
    </xf>
    <xf numFmtId="43" fontId="27" fillId="0" borderId="0" xfId="16" applyFont="1"/>
    <xf numFmtId="0" fontId="187" fillId="106" borderId="88" xfId="22" applyFont="1" applyFill="1" applyBorder="1" applyAlignment="1">
      <alignment horizontal="left" vertical="center" indent="1"/>
    </xf>
    <xf numFmtId="170" fontId="187" fillId="106" borderId="85" xfId="23" applyNumberFormat="1" applyFont="1" applyFill="1" applyBorder="1" applyAlignment="1">
      <alignment horizontal="center"/>
    </xf>
    <xf numFmtId="14" fontId="187" fillId="106" borderId="85" xfId="23" applyNumberFormat="1" applyFont="1" applyFill="1" applyBorder="1" applyAlignment="1">
      <alignment horizontal="center"/>
    </xf>
    <xf numFmtId="14" fontId="187" fillId="0" borderId="85" xfId="23" applyNumberFormat="1" applyFont="1" applyFill="1" applyBorder="1" applyAlignment="1">
      <alignment horizontal="center"/>
    </xf>
    <xf numFmtId="1" fontId="187" fillId="111" borderId="85" xfId="22" applyNumberFormat="1" applyFont="1" applyFill="1" applyBorder="1" applyAlignment="1">
      <alignment horizontal="center"/>
    </xf>
    <xf numFmtId="9" fontId="187" fillId="106" borderId="86" xfId="24" applyFont="1" applyFill="1" applyBorder="1" applyAlignment="1">
      <alignment horizontal="right"/>
    </xf>
    <xf numFmtId="0" fontId="187" fillId="106" borderId="87" xfId="24" applyNumberFormat="1" applyFont="1" applyFill="1" applyBorder="1" applyAlignment="1">
      <alignment horizontal="center" vertical="center" wrapText="1"/>
    </xf>
    <xf numFmtId="173" fontId="187" fillId="0" borderId="88" xfId="24" applyNumberFormat="1" applyFont="1" applyFill="1" applyBorder="1" applyAlignment="1">
      <alignment horizontal="left"/>
    </xf>
    <xf numFmtId="173" fontId="187" fillId="106" borderId="88" xfId="24" applyNumberFormat="1" applyFont="1" applyFill="1" applyBorder="1" applyAlignment="1">
      <alignment horizontal="left"/>
    </xf>
    <xf numFmtId="168" fontId="187" fillId="0" borderId="85" xfId="23" applyNumberFormat="1" applyFont="1" applyFill="1" applyBorder="1"/>
    <xf numFmtId="172" fontId="187" fillId="111" borderId="85" xfId="23" applyNumberFormat="1" applyFont="1" applyFill="1" applyBorder="1"/>
    <xf numFmtId="168" fontId="187" fillId="111" borderId="85" xfId="23" applyNumberFormat="1" applyFont="1" applyFill="1" applyBorder="1"/>
    <xf numFmtId="173" fontId="187" fillId="0" borderId="0" xfId="22" applyNumberFormat="1" applyFont="1" applyAlignment="1">
      <alignment horizontal="left"/>
    </xf>
    <xf numFmtId="172" fontId="188" fillId="107" borderId="85" xfId="22" applyNumberFormat="1" applyFont="1" applyFill="1" applyBorder="1" applyAlignment="1">
      <alignment horizontal="right" vertical="center" wrapText="1"/>
    </xf>
    <xf numFmtId="168" fontId="188" fillId="107" borderId="85" xfId="23" applyNumberFormat="1" applyFont="1" applyFill="1" applyBorder="1" applyAlignment="1">
      <alignment horizontal="right" vertical="center" wrapText="1"/>
    </xf>
    <xf numFmtId="171" fontId="187" fillId="111" borderId="0" xfId="26" applyFont="1" applyFill="1" applyBorder="1" applyAlignment="1">
      <alignment horizontal="right" vertical="center" indent="1"/>
    </xf>
    <xf numFmtId="171" fontId="189" fillId="111" borderId="0" xfId="26" applyFont="1" applyFill="1" applyBorder="1" applyAlignment="1">
      <alignment horizontal="right" vertical="center" indent="1"/>
    </xf>
    <xf numFmtId="0" fontId="187" fillId="106" borderId="110" xfId="22" applyFont="1" applyFill="1" applyBorder="1" applyAlignment="1">
      <alignment horizontal="left" vertical="center" indent="1"/>
    </xf>
    <xf numFmtId="170" fontId="187" fillId="106" borderId="103" xfId="23" applyNumberFormat="1" applyFont="1" applyFill="1" applyBorder="1" applyAlignment="1">
      <alignment horizontal="center"/>
    </xf>
    <xf numFmtId="14" fontId="187" fillId="106" borderId="103" xfId="23" applyNumberFormat="1" applyFont="1" applyFill="1" applyBorder="1" applyAlignment="1">
      <alignment horizontal="center"/>
    </xf>
    <xf numFmtId="14" fontId="187" fillId="0" borderId="103" xfId="23" applyNumberFormat="1" applyFont="1" applyFill="1" applyBorder="1" applyAlignment="1">
      <alignment horizontal="center"/>
    </xf>
    <xf numFmtId="1" fontId="187" fillId="111" borderId="103" xfId="22" applyNumberFormat="1" applyFont="1" applyFill="1" applyBorder="1" applyAlignment="1">
      <alignment horizontal="center"/>
    </xf>
    <xf numFmtId="9" fontId="187" fillId="106" borderId="115" xfId="24" applyFont="1" applyFill="1" applyBorder="1" applyAlignment="1">
      <alignment horizontal="right"/>
    </xf>
    <xf numFmtId="0" fontId="187" fillId="106" borderId="89" xfId="24" applyNumberFormat="1" applyFont="1" applyFill="1" applyBorder="1" applyAlignment="1">
      <alignment horizontal="center" vertical="center" wrapText="1"/>
    </xf>
    <xf numFmtId="173" fontId="187" fillId="106" borderId="110" xfId="24" applyNumberFormat="1" applyFont="1" applyFill="1" applyBorder="1" applyAlignment="1">
      <alignment horizontal="left"/>
    </xf>
    <xf numFmtId="168" fontId="187" fillId="0" borderId="103" xfId="23" applyNumberFormat="1" applyFont="1" applyFill="1" applyBorder="1"/>
    <xf numFmtId="0" fontId="187" fillId="0" borderId="85" xfId="22" applyFont="1" applyBorder="1" applyAlignment="1">
      <alignment horizontal="left" vertical="center" indent="1"/>
    </xf>
    <xf numFmtId="1" fontId="187" fillId="0" borderId="85" xfId="22" applyNumberFormat="1" applyFont="1" applyBorder="1" applyAlignment="1">
      <alignment horizontal="center"/>
    </xf>
    <xf numFmtId="9" fontId="187" fillId="0" borderId="86" xfId="24" applyFont="1" applyFill="1" applyBorder="1" applyAlignment="1">
      <alignment horizontal="right"/>
    </xf>
    <xf numFmtId="0" fontId="187" fillId="0" borderId="87" xfId="24" applyNumberFormat="1" applyFont="1" applyFill="1" applyBorder="1" applyAlignment="1">
      <alignment horizontal="center" vertical="center" wrapText="1"/>
    </xf>
    <xf numFmtId="0" fontId="187" fillId="106" borderId="0" xfId="22" applyFont="1" applyFill="1" applyAlignment="1">
      <alignment horizontal="left" vertical="center" indent="1"/>
    </xf>
    <xf numFmtId="170" fontId="187" fillId="106" borderId="0" xfId="23" applyNumberFormat="1" applyFont="1" applyFill="1" applyBorder="1" applyAlignment="1"/>
    <xf numFmtId="14" fontId="187" fillId="106" borderId="0" xfId="23" applyNumberFormat="1" applyFont="1" applyFill="1" applyBorder="1" applyAlignment="1">
      <alignment horizontal="center"/>
    </xf>
    <xf numFmtId="170" fontId="187" fillId="106" borderId="0" xfId="23" applyNumberFormat="1" applyFont="1" applyFill="1" applyBorder="1" applyAlignment="1">
      <alignment horizontal="center"/>
    </xf>
    <xf numFmtId="9" fontId="187" fillId="106" borderId="0" xfId="24" applyFont="1" applyFill="1" applyBorder="1" applyAlignment="1">
      <alignment horizontal="center"/>
    </xf>
    <xf numFmtId="173" fontId="187" fillId="106" borderId="0" xfId="24" applyNumberFormat="1" applyFont="1" applyFill="1" applyBorder="1" applyAlignment="1">
      <alignment horizontal="center"/>
    </xf>
    <xf numFmtId="173" fontId="187" fillId="0" borderId="0" xfId="24" applyNumberFormat="1" applyFont="1" applyFill="1" applyBorder="1" applyAlignment="1">
      <alignment horizontal="center"/>
    </xf>
    <xf numFmtId="172" fontId="188" fillId="111" borderId="0" xfId="22" applyNumberFormat="1" applyFont="1" applyFill="1" applyAlignment="1">
      <alignment horizontal="right" vertical="center" wrapText="1"/>
    </xf>
    <xf numFmtId="0" fontId="33" fillId="111" borderId="0" xfId="22" applyFont="1" applyFill="1"/>
    <xf numFmtId="1" fontId="187" fillId="111" borderId="0" xfId="22" applyNumberFormat="1" applyFont="1" applyFill="1" applyAlignment="1">
      <alignment horizontal="center"/>
    </xf>
    <xf numFmtId="171" fontId="160" fillId="111" borderId="0" xfId="26" applyFont="1" applyFill="1" applyBorder="1" applyAlignment="1">
      <alignment horizontal="right" vertical="center" indent="1"/>
    </xf>
    <xf numFmtId="172" fontId="33" fillId="111" borderId="85" xfId="23" applyNumberFormat="1" applyFont="1" applyFill="1" applyBorder="1"/>
    <xf numFmtId="168" fontId="33" fillId="111" borderId="85" xfId="23" applyNumberFormat="1" applyFont="1" applyFill="1" applyBorder="1"/>
    <xf numFmtId="171" fontId="190" fillId="111" borderId="0" xfId="26" applyFont="1" applyFill="1" applyBorder="1" applyAlignment="1">
      <alignment horizontal="right" vertical="center" indent="1"/>
    </xf>
    <xf numFmtId="0" fontId="33" fillId="111" borderId="89" xfId="22" applyFont="1" applyFill="1" applyBorder="1" applyAlignment="1">
      <alignment horizontal="center" vertical="center"/>
    </xf>
    <xf numFmtId="0" fontId="34" fillId="111" borderId="0" xfId="22" applyFont="1" applyFill="1" applyAlignment="1">
      <alignment horizontal="left" vertical="center" wrapText="1"/>
    </xf>
    <xf numFmtId="0" fontId="34" fillId="111" borderId="0" xfId="22" applyFont="1" applyFill="1" applyAlignment="1">
      <alignment horizontal="center" vertical="center" wrapText="1"/>
    </xf>
    <xf numFmtId="0" fontId="34" fillId="111" borderId="0" xfId="22" applyFont="1" applyFill="1" applyAlignment="1">
      <alignment vertical="center" wrapText="1"/>
    </xf>
    <xf numFmtId="172" fontId="34" fillId="111" borderId="0" xfId="22" applyNumberFormat="1" applyFont="1" applyFill="1" applyAlignment="1">
      <alignment horizontal="right" vertical="center" wrapText="1"/>
    </xf>
    <xf numFmtId="0" fontId="33" fillId="0" borderId="110" xfId="22" applyFont="1" applyBorder="1" applyAlignment="1">
      <alignment horizontal="center" vertical="center"/>
    </xf>
    <xf numFmtId="1" fontId="33" fillId="111" borderId="85" xfId="22" applyNumberFormat="1" applyFont="1" applyFill="1" applyBorder="1" applyAlignment="1">
      <alignment horizontal="center"/>
    </xf>
    <xf numFmtId="0" fontId="33" fillId="111" borderId="89" xfId="22" applyFont="1" applyFill="1" applyBorder="1"/>
    <xf numFmtId="1" fontId="33" fillId="111" borderId="0" xfId="22" applyNumberFormat="1" applyFont="1" applyFill="1" applyAlignment="1">
      <alignment horizontal="center"/>
    </xf>
    <xf numFmtId="0" fontId="187" fillId="106" borderId="85" xfId="22" applyFont="1" applyFill="1" applyBorder="1" applyAlignment="1">
      <alignment horizontal="left" vertical="center" indent="1"/>
    </xf>
    <xf numFmtId="168" fontId="22" fillId="0" borderId="85" xfId="23" applyNumberFormat="1" applyFont="1" applyFill="1" applyBorder="1"/>
    <xf numFmtId="9" fontId="187" fillId="106" borderId="88" xfId="24" applyFont="1" applyFill="1" applyBorder="1" applyAlignment="1">
      <alignment horizontal="left"/>
    </xf>
    <xf numFmtId="0" fontId="187" fillId="111" borderId="88" xfId="22" applyFont="1" applyFill="1" applyBorder="1" applyAlignment="1">
      <alignment horizontal="left" vertical="center" indent="1"/>
    </xf>
    <xf numFmtId="0" fontId="187" fillId="111" borderId="85" xfId="22" applyFont="1" applyFill="1" applyBorder="1" applyAlignment="1">
      <alignment horizontal="left" vertical="center" indent="1"/>
    </xf>
    <xf numFmtId="14" fontId="187" fillId="111" borderId="85" xfId="23" applyNumberFormat="1" applyFont="1" applyFill="1" applyBorder="1" applyAlignment="1">
      <alignment horizontal="center"/>
    </xf>
    <xf numFmtId="9" fontId="187" fillId="111" borderId="86" xfId="24" applyFont="1" applyFill="1" applyBorder="1" applyAlignment="1">
      <alignment horizontal="right"/>
    </xf>
    <xf numFmtId="0" fontId="187" fillId="111" borderId="87" xfId="24" applyNumberFormat="1" applyFont="1" applyFill="1" applyBorder="1" applyAlignment="1">
      <alignment horizontal="center" vertical="center" wrapText="1"/>
    </xf>
    <xf numFmtId="173" fontId="187" fillId="111" borderId="88" xfId="24" applyNumberFormat="1" applyFont="1" applyFill="1" applyBorder="1" applyAlignment="1">
      <alignment horizontal="left"/>
    </xf>
    <xf numFmtId="0" fontId="187" fillId="0" borderId="88" xfId="22" applyFont="1" applyBorder="1" applyAlignment="1">
      <alignment horizontal="left" vertical="center" indent="1"/>
    </xf>
    <xf numFmtId="172" fontId="187" fillId="0" borderId="85" xfId="23" applyNumberFormat="1" applyFont="1" applyFill="1" applyBorder="1"/>
    <xf numFmtId="0" fontId="173" fillId="114" borderId="84" xfId="22" applyFont="1" applyFill="1" applyBorder="1" applyAlignment="1">
      <alignment horizontal="center" vertical="center" wrapText="1"/>
    </xf>
    <xf numFmtId="173" fontId="173" fillId="114" borderId="84" xfId="22" applyNumberFormat="1" applyFont="1" applyFill="1" applyBorder="1" applyAlignment="1">
      <alignment horizontal="center" vertical="center" wrapText="1"/>
    </xf>
    <xf numFmtId="172" fontId="173" fillId="114" borderId="92" xfId="22" applyNumberFormat="1" applyFont="1" applyFill="1" applyBorder="1" applyAlignment="1">
      <alignment horizontal="right" vertical="center" wrapText="1"/>
    </xf>
    <xf numFmtId="168" fontId="173" fillId="114" borderId="84" xfId="23" applyNumberFormat="1" applyFont="1" applyFill="1" applyBorder="1" applyAlignment="1">
      <alignment horizontal="center" vertical="center" wrapText="1"/>
    </xf>
    <xf numFmtId="0" fontId="193" fillId="111" borderId="79" xfId="0" applyFont="1" applyFill="1" applyBorder="1"/>
    <xf numFmtId="0" fontId="194" fillId="111" borderId="79" xfId="0" applyFont="1" applyFill="1" applyBorder="1"/>
    <xf numFmtId="0" fontId="0" fillId="111" borderId="79" xfId="0" applyFill="1" applyBorder="1"/>
    <xf numFmtId="0" fontId="173" fillId="62" borderId="84" xfId="22" applyFont="1" applyFill="1" applyBorder="1" applyAlignment="1">
      <alignment vertical="center" wrapText="1"/>
    </xf>
    <xf numFmtId="0" fontId="25" fillId="62" borderId="84" xfId="22" applyFont="1" applyFill="1" applyBorder="1" applyAlignment="1">
      <alignment vertical="center" wrapText="1"/>
    </xf>
    <xf numFmtId="0" fontId="173" fillId="62" borderId="84" xfId="22" applyFont="1" applyFill="1" applyBorder="1" applyAlignment="1">
      <alignment horizontal="left" vertical="center" wrapText="1"/>
    </xf>
    <xf numFmtId="172" fontId="173" fillId="62" borderId="84" xfId="22" applyNumberFormat="1" applyFont="1" applyFill="1" applyBorder="1" applyAlignment="1">
      <alignment horizontal="right" vertical="center" wrapText="1"/>
    </xf>
    <xf numFmtId="168" fontId="173" fillId="62" borderId="84" xfId="23" applyNumberFormat="1" applyFont="1" applyFill="1" applyBorder="1" applyAlignment="1">
      <alignment horizontal="right" vertical="center" wrapText="1"/>
    </xf>
    <xf numFmtId="0" fontId="188" fillId="111" borderId="0" xfId="22" applyFont="1" applyFill="1" applyAlignment="1">
      <alignment horizontal="left" vertical="center" wrapText="1"/>
    </xf>
    <xf numFmtId="0" fontId="188" fillId="111" borderId="0" xfId="22" applyFont="1" applyFill="1" applyAlignment="1">
      <alignment horizontal="center" vertical="center" wrapText="1"/>
    </xf>
    <xf numFmtId="0" fontId="187" fillId="111" borderId="11" xfId="22" applyFont="1" applyFill="1" applyBorder="1"/>
    <xf numFmtId="0" fontId="187" fillId="111" borderId="0" xfId="22" applyFont="1" applyFill="1"/>
    <xf numFmtId="0" fontId="187" fillId="111" borderId="0" xfId="22" applyFont="1" applyFill="1" applyAlignment="1">
      <alignment horizontal="right"/>
    </xf>
    <xf numFmtId="173" fontId="187" fillId="111" borderId="0" xfId="22" applyNumberFormat="1" applyFont="1" applyFill="1" applyAlignment="1">
      <alignment horizontal="left"/>
    </xf>
    <xf numFmtId="0" fontId="187" fillId="106" borderId="116" xfId="22" applyFont="1" applyFill="1" applyBorder="1" applyAlignment="1">
      <alignment horizontal="left" vertical="center" indent="1"/>
    </xf>
    <xf numFmtId="14" fontId="187" fillId="106" borderId="116" xfId="23" applyNumberFormat="1" applyFont="1" applyFill="1" applyBorder="1" applyAlignment="1">
      <alignment horizontal="center"/>
    </xf>
    <xf numFmtId="1" fontId="187" fillId="111" borderId="116" xfId="22" applyNumberFormat="1" applyFont="1" applyFill="1" applyBorder="1" applyAlignment="1">
      <alignment horizontal="center"/>
    </xf>
    <xf numFmtId="9" fontId="187" fillId="106" borderId="116" xfId="24" applyFont="1" applyFill="1" applyBorder="1" applyAlignment="1">
      <alignment horizontal="right"/>
    </xf>
    <xf numFmtId="9" fontId="187" fillId="106" borderId="116" xfId="24" applyFont="1" applyFill="1" applyBorder="1" applyAlignment="1">
      <alignment horizontal="center"/>
    </xf>
    <xf numFmtId="173" fontId="187" fillId="106" borderId="116" xfId="24" applyNumberFormat="1" applyFont="1" applyFill="1" applyBorder="1" applyAlignment="1">
      <alignment horizontal="left"/>
    </xf>
    <xf numFmtId="171" fontId="187" fillId="111" borderId="116" xfId="26" applyFont="1" applyFill="1" applyBorder="1" applyAlignment="1">
      <alignment horizontal="right" vertical="center" indent="1"/>
    </xf>
    <xf numFmtId="173" fontId="187" fillId="0" borderId="117" xfId="24" applyNumberFormat="1" applyFont="1" applyFill="1" applyBorder="1" applyAlignment="1">
      <alignment horizontal="left"/>
    </xf>
    <xf numFmtId="1" fontId="187" fillId="106" borderId="0" xfId="23" applyNumberFormat="1" applyFont="1" applyFill="1" applyBorder="1" applyAlignment="1">
      <alignment horizontal="center"/>
    </xf>
    <xf numFmtId="10" fontId="187" fillId="106" borderId="0" xfId="24" applyNumberFormat="1" applyFont="1" applyFill="1" applyBorder="1" applyAlignment="1">
      <alignment horizontal="right"/>
    </xf>
    <xf numFmtId="10" fontId="187" fillId="106" borderId="0" xfId="24" applyNumberFormat="1" applyFont="1" applyFill="1" applyBorder="1" applyAlignment="1">
      <alignment horizontal="center"/>
    </xf>
    <xf numFmtId="173" fontId="187" fillId="106" borderId="0" xfId="24" applyNumberFormat="1" applyFont="1" applyFill="1" applyBorder="1" applyAlignment="1">
      <alignment horizontal="left"/>
    </xf>
    <xf numFmtId="173" fontId="187" fillId="0" borderId="0" xfId="24" applyNumberFormat="1" applyFont="1" applyFill="1" applyBorder="1" applyAlignment="1">
      <alignment horizontal="left"/>
    </xf>
    <xf numFmtId="174" fontId="33" fillId="111" borderId="85" xfId="22" applyNumberFormat="1" applyFont="1" applyFill="1" applyBorder="1" applyAlignment="1">
      <alignment horizontal="center"/>
    </xf>
    <xf numFmtId="0" fontId="188" fillId="111" borderId="0" xfId="22" applyFont="1" applyFill="1" applyAlignment="1">
      <alignment vertical="center" wrapText="1"/>
    </xf>
    <xf numFmtId="0" fontId="187" fillId="111" borderId="0" xfId="22" applyFont="1" applyFill="1" applyAlignment="1">
      <alignment horizontal="center" vertical="center"/>
    </xf>
    <xf numFmtId="170" fontId="187" fillId="106" borderId="0" xfId="22" applyNumberFormat="1" applyFont="1" applyFill="1" applyAlignment="1">
      <alignment horizontal="left" vertical="center" indent="1"/>
    </xf>
    <xf numFmtId="172" fontId="188" fillId="111" borderId="0" xfId="22" applyNumberFormat="1" applyFont="1" applyFill="1" applyAlignment="1">
      <alignment horizontal="center" vertical="center" wrapText="1"/>
    </xf>
    <xf numFmtId="0" fontId="187" fillId="111" borderId="85" xfId="22" applyFont="1" applyFill="1" applyBorder="1" applyAlignment="1">
      <alignment horizontal="center" vertical="center"/>
    </xf>
    <xf numFmtId="0" fontId="187" fillId="111" borderId="85" xfId="22" applyFont="1" applyFill="1" applyBorder="1" applyAlignment="1">
      <alignment horizontal="center" vertical="center" wrapText="1"/>
    </xf>
    <xf numFmtId="168" fontId="187" fillId="111" borderId="0" xfId="23" applyNumberFormat="1" applyFont="1" applyFill="1" applyBorder="1" applyAlignment="1">
      <alignment horizontal="center" vertical="center"/>
    </xf>
    <xf numFmtId="168" fontId="187" fillId="111" borderId="0" xfId="23" applyNumberFormat="1" applyFont="1" applyFill="1" applyBorder="1" applyAlignment="1">
      <alignment vertical="center"/>
    </xf>
    <xf numFmtId="173" fontId="188" fillId="111" borderId="0" xfId="22" applyNumberFormat="1" applyFont="1" applyFill="1" applyAlignment="1">
      <alignment horizontal="center" vertical="center" wrapText="1"/>
    </xf>
    <xf numFmtId="10" fontId="187" fillId="106" borderId="88" xfId="24" applyNumberFormat="1" applyFont="1" applyFill="1" applyBorder="1" applyAlignment="1">
      <alignment horizontal="left"/>
    </xf>
    <xf numFmtId="14" fontId="187" fillId="106" borderId="115" xfId="23" applyNumberFormat="1" applyFont="1" applyFill="1" applyBorder="1" applyAlignment="1">
      <alignment horizontal="center"/>
    </xf>
    <xf numFmtId="14" fontId="187" fillId="106" borderId="89" xfId="23" applyNumberFormat="1" applyFont="1" applyFill="1" applyBorder="1" applyAlignment="1">
      <alignment horizontal="center"/>
    </xf>
    <xf numFmtId="170" fontId="187" fillId="106" borderId="89" xfId="23" applyNumberFormat="1" applyFont="1" applyFill="1" applyBorder="1" applyAlignment="1">
      <alignment horizontal="center"/>
    </xf>
    <xf numFmtId="14" fontId="187" fillId="106" borderId="91" xfId="23" applyNumberFormat="1" applyFont="1" applyFill="1" applyBorder="1" applyAlignment="1">
      <alignment horizontal="center"/>
    </xf>
    <xf numFmtId="170" fontId="187" fillId="106" borderId="91" xfId="23" applyNumberFormat="1" applyFont="1" applyFill="1" applyBorder="1" applyAlignment="1">
      <alignment horizontal="center"/>
    </xf>
    <xf numFmtId="168" fontId="188" fillId="111" borderId="0" xfId="23" applyNumberFormat="1" applyFont="1" applyFill="1" applyBorder="1" applyAlignment="1">
      <alignment horizontal="right" vertical="center" wrapText="1"/>
    </xf>
    <xf numFmtId="14" fontId="187" fillId="106" borderId="90" xfId="23" applyNumberFormat="1" applyFont="1" applyFill="1" applyBorder="1" applyAlignment="1">
      <alignment horizontal="center"/>
    </xf>
    <xf numFmtId="0" fontId="187" fillId="111" borderId="91" xfId="22" applyFont="1" applyFill="1" applyBorder="1"/>
    <xf numFmtId="172" fontId="188" fillId="111" borderId="85" xfId="22" applyNumberFormat="1" applyFont="1" applyFill="1" applyBorder="1" applyAlignment="1">
      <alignment horizontal="right" vertical="center" wrapText="1"/>
    </xf>
    <xf numFmtId="0" fontId="187" fillId="106" borderId="90" xfId="24" applyNumberFormat="1" applyFont="1" applyFill="1" applyBorder="1" applyAlignment="1">
      <alignment horizontal="center" vertical="center" wrapText="1"/>
    </xf>
    <xf numFmtId="0" fontId="187" fillId="111" borderId="0" xfId="22" applyFont="1" applyFill="1" applyAlignment="1">
      <alignment horizontal="center"/>
    </xf>
    <xf numFmtId="173" fontId="187" fillId="111" borderId="0" xfId="22" applyNumberFormat="1" applyFont="1" applyFill="1" applyAlignment="1">
      <alignment horizontal="center"/>
    </xf>
    <xf numFmtId="173" fontId="188" fillId="0" borderId="0" xfId="22" applyNumberFormat="1" applyFont="1" applyAlignment="1">
      <alignment horizontal="center" vertical="center" wrapText="1"/>
    </xf>
    <xf numFmtId="0" fontId="187" fillId="0" borderId="90" xfId="24" applyNumberFormat="1" applyFont="1" applyFill="1" applyBorder="1" applyAlignment="1">
      <alignment horizontal="center" vertical="center" wrapText="1"/>
    </xf>
    <xf numFmtId="10" fontId="187" fillId="0" borderId="88" xfId="24" applyNumberFormat="1" applyFont="1" applyFill="1" applyBorder="1" applyAlignment="1">
      <alignment horizontal="left"/>
    </xf>
    <xf numFmtId="0" fontId="33" fillId="111" borderId="0" xfId="22" applyFont="1" applyFill="1" applyAlignment="1">
      <alignment horizontal="center"/>
    </xf>
    <xf numFmtId="167" fontId="33" fillId="111" borderId="0" xfId="22" applyNumberFormat="1" applyFont="1" applyFill="1" applyAlignment="1">
      <alignment horizontal="center"/>
    </xf>
    <xf numFmtId="168" fontId="35" fillId="111" borderId="0" xfId="23" applyNumberFormat="1" applyFont="1" applyFill="1"/>
    <xf numFmtId="168" fontId="33" fillId="111" borderId="0" xfId="23" applyNumberFormat="1" applyFont="1" applyFill="1"/>
    <xf numFmtId="171" fontId="33" fillId="0" borderId="0" xfId="26" applyFont="1"/>
    <xf numFmtId="172" fontId="33" fillId="111" borderId="0" xfId="22" applyNumberFormat="1" applyFont="1" applyFill="1"/>
    <xf numFmtId="0" fontId="35" fillId="111" borderId="0" xfId="22" applyFont="1" applyFill="1" applyAlignment="1">
      <alignment horizontal="center"/>
    </xf>
    <xf numFmtId="0" fontId="34" fillId="111" borderId="91" xfId="22" applyFont="1" applyFill="1" applyBorder="1" applyAlignment="1">
      <alignment horizontal="left" vertical="center" wrapText="1"/>
    </xf>
    <xf numFmtId="168" fontId="34" fillId="111" borderId="0" xfId="23" applyNumberFormat="1" applyFont="1" applyFill="1" applyBorder="1" applyAlignment="1">
      <alignment horizontal="right" vertical="center" wrapText="1"/>
    </xf>
    <xf numFmtId="0" fontId="33" fillId="111" borderId="85" xfId="22" applyFont="1" applyFill="1" applyBorder="1" applyAlignment="1">
      <alignment horizontal="left" vertical="center"/>
    </xf>
    <xf numFmtId="172" fontId="33" fillId="111" borderId="88" xfId="23" applyNumberFormat="1" applyFont="1" applyFill="1" applyBorder="1"/>
    <xf numFmtId="0" fontId="33" fillId="111" borderId="0" xfId="22" applyFont="1" applyFill="1" applyAlignment="1">
      <alignment horizontal="left"/>
    </xf>
    <xf numFmtId="173" fontId="33" fillId="111" borderId="0" xfId="22" applyNumberFormat="1" applyFont="1" applyFill="1" applyAlignment="1">
      <alignment horizontal="center"/>
    </xf>
    <xf numFmtId="168" fontId="33" fillId="111" borderId="0" xfId="23" applyNumberFormat="1" applyFont="1" applyFill="1" applyBorder="1"/>
    <xf numFmtId="0" fontId="33" fillId="111" borderId="85" xfId="22" applyFont="1" applyFill="1" applyBorder="1" applyAlignment="1">
      <alignment horizontal="left" vertical="center" wrapText="1"/>
    </xf>
    <xf numFmtId="0" fontId="33" fillId="111" borderId="88" xfId="22" applyFont="1" applyFill="1" applyBorder="1" applyAlignment="1">
      <alignment horizontal="left" vertical="center"/>
    </xf>
    <xf numFmtId="0" fontId="33" fillId="111" borderId="93" xfId="22" applyFont="1" applyFill="1" applyBorder="1" applyAlignment="1">
      <alignment horizontal="center" vertical="center"/>
    </xf>
    <xf numFmtId="173" fontId="34" fillId="111" borderId="0" xfId="22" applyNumberFormat="1" applyFont="1" applyFill="1" applyAlignment="1">
      <alignment horizontal="center" vertical="center" wrapText="1"/>
    </xf>
    <xf numFmtId="10" fontId="33" fillId="111" borderId="0" xfId="22" applyNumberFormat="1" applyFont="1" applyFill="1" applyAlignment="1">
      <alignment horizontal="right"/>
    </xf>
    <xf numFmtId="10" fontId="33" fillId="111" borderId="0" xfId="22" applyNumberFormat="1" applyFont="1" applyFill="1" applyAlignment="1">
      <alignment horizontal="center"/>
    </xf>
    <xf numFmtId="173" fontId="33" fillId="111" borderId="0" xfId="22" applyNumberFormat="1" applyFont="1" applyFill="1" applyAlignment="1">
      <alignment horizontal="left"/>
    </xf>
    <xf numFmtId="0" fontId="24" fillId="114" borderId="84" xfId="22" applyFont="1" applyFill="1" applyBorder="1" applyAlignment="1">
      <alignment horizontal="center" vertical="center" wrapText="1"/>
    </xf>
    <xf numFmtId="172" fontId="24" fillId="114" borderId="84" xfId="22" applyNumberFormat="1" applyFont="1" applyFill="1" applyBorder="1" applyAlignment="1">
      <alignment horizontal="right" vertical="center" wrapText="1"/>
    </xf>
    <xf numFmtId="0" fontId="32" fillId="111" borderId="0" xfId="22" applyFont="1" applyFill="1" applyAlignment="1">
      <alignment horizontal="center" vertical="center" wrapText="1"/>
    </xf>
    <xf numFmtId="0" fontId="164" fillId="98" borderId="83" xfId="22" applyFont="1" applyFill="1" applyBorder="1" applyAlignment="1">
      <alignment horizontal="center" vertical="center" wrapText="1"/>
    </xf>
    <xf numFmtId="0" fontId="33" fillId="98" borderId="0" xfId="22" applyFont="1" applyFill="1"/>
    <xf numFmtId="170" fontId="174" fillId="108" borderId="0" xfId="26" applyNumberFormat="1" applyFont="1" applyFill="1" applyBorder="1" applyAlignment="1">
      <alignment vertical="center"/>
    </xf>
    <xf numFmtId="168" fontId="22" fillId="0" borderId="94" xfId="26" applyNumberFormat="1" applyFont="1" applyFill="1" applyBorder="1"/>
    <xf numFmtId="170" fontId="186" fillId="124" borderId="0" xfId="26" applyNumberFormat="1" applyFont="1" applyFill="1" applyBorder="1" applyAlignment="1">
      <alignment vertical="center"/>
    </xf>
    <xf numFmtId="170" fontId="186" fillId="108" borderId="0" xfId="26" applyNumberFormat="1" applyFont="1" applyFill="1" applyBorder="1" applyAlignment="1">
      <alignment vertical="center"/>
    </xf>
    <xf numFmtId="170" fontId="186" fillId="0" borderId="0" xfId="26" applyNumberFormat="1" applyFont="1" applyFill="1" applyBorder="1" applyAlignment="1">
      <alignment vertical="center"/>
    </xf>
    <xf numFmtId="170" fontId="175" fillId="0" borderId="0" xfId="21" applyNumberFormat="1" applyFont="1"/>
    <xf numFmtId="168" fontId="22" fillId="0" borderId="0" xfId="26" applyNumberFormat="1" applyFont="1" applyFill="1" applyBorder="1"/>
    <xf numFmtId="170" fontId="186" fillId="114" borderId="0" xfId="26" applyNumberFormat="1" applyFont="1" applyFill="1" applyBorder="1" applyAlignment="1">
      <alignment vertical="center"/>
    </xf>
    <xf numFmtId="0" fontId="22" fillId="101" borderId="80" xfId="0" applyFont="1" applyFill="1" applyBorder="1" applyAlignment="1">
      <alignment horizontal="left" vertical="center" wrapText="1" indent="1"/>
    </xf>
    <xf numFmtId="170" fontId="174" fillId="124" borderId="0" xfId="26" applyNumberFormat="1" applyFont="1" applyFill="1" applyBorder="1" applyAlignment="1">
      <alignment vertical="center"/>
    </xf>
    <xf numFmtId="0" fontId="22" fillId="101" borderId="80" xfId="0" applyFont="1" applyFill="1" applyBorder="1" applyAlignment="1">
      <alignment horizontal="left" vertical="center" wrapText="1" indent="2"/>
    </xf>
    <xf numFmtId="0" fontId="175" fillId="0" borderId="0" xfId="21" applyFont="1"/>
    <xf numFmtId="170" fontId="174" fillId="114" borderId="0" xfId="26" applyNumberFormat="1" applyFont="1" applyFill="1" applyBorder="1" applyAlignment="1">
      <alignment vertical="center"/>
    </xf>
    <xf numFmtId="0" fontId="195" fillId="0" borderId="100" xfId="0" applyFont="1" applyBorder="1" applyAlignment="1">
      <alignment horizontal="left" vertical="center"/>
    </xf>
    <xf numFmtId="3" fontId="195" fillId="0" borderId="100" xfId="0" applyNumberFormat="1" applyFont="1" applyBorder="1" applyAlignment="1">
      <alignment horizontal="center" vertical="center"/>
    </xf>
    <xf numFmtId="14" fontId="195" fillId="0" borderId="100" xfId="0" applyNumberFormat="1" applyFont="1" applyBorder="1" applyAlignment="1">
      <alignment horizontal="center" vertical="center"/>
    </xf>
    <xf numFmtId="9" fontId="195" fillId="0" borderId="102" xfId="0" applyNumberFormat="1" applyFont="1" applyBorder="1" applyAlignment="1">
      <alignment horizontal="center" vertical="center"/>
    </xf>
    <xf numFmtId="174" fontId="195" fillId="0" borderId="100" xfId="0" applyNumberFormat="1" applyFont="1" applyBorder="1" applyAlignment="1">
      <alignment horizontal="center" vertical="center"/>
    </xf>
    <xf numFmtId="0" fontId="195" fillId="0" borderId="101" xfId="0" applyFont="1" applyBorder="1" applyAlignment="1">
      <alignment horizontal="left" vertical="center"/>
    </xf>
    <xf numFmtId="3" fontId="195" fillId="0" borderId="101" xfId="0" applyNumberFormat="1" applyFont="1" applyBorder="1" applyAlignment="1">
      <alignment horizontal="center" vertical="center"/>
    </xf>
    <xf numFmtId="14" fontId="195" fillId="0" borderId="101" xfId="0" applyNumberFormat="1" applyFont="1" applyBorder="1" applyAlignment="1">
      <alignment horizontal="center" vertical="center"/>
    </xf>
    <xf numFmtId="174" fontId="195" fillId="0" borderId="101" xfId="0" applyNumberFormat="1" applyFont="1" applyBorder="1" applyAlignment="1">
      <alignment horizontal="center" vertical="center"/>
    </xf>
    <xf numFmtId="0" fontId="195" fillId="0" borderId="101" xfId="0" applyFont="1" applyBorder="1" applyAlignment="1">
      <alignment horizontal="center" vertical="center"/>
    </xf>
    <xf numFmtId="0" fontId="173" fillId="108" borderId="99" xfId="0" applyFont="1" applyFill="1" applyBorder="1" applyAlignment="1">
      <alignment horizontal="center" vertical="center" wrapText="1"/>
    </xf>
    <xf numFmtId="0" fontId="196" fillId="0" borderId="122" xfId="0" applyFont="1" applyBorder="1" applyAlignment="1">
      <alignment horizontal="left" vertical="center"/>
    </xf>
    <xf numFmtId="0" fontId="195" fillId="0" borderId="123" xfId="0" applyFont="1" applyBorder="1" applyAlignment="1">
      <alignment horizontal="left" vertical="center"/>
    </xf>
    <xf numFmtId="0" fontId="196" fillId="0" borderId="124" xfId="0" applyFont="1" applyBorder="1" applyAlignment="1">
      <alignment horizontal="left" vertical="center"/>
    </xf>
    <xf numFmtId="0" fontId="197" fillId="0" borderId="0" xfId="0" applyFont="1" applyAlignment="1">
      <alignment horizontal="left" vertical="center"/>
    </xf>
    <xf numFmtId="0" fontId="185" fillId="0" borderId="0" xfId="0" applyFont="1" applyAlignment="1">
      <alignment horizontal="left" vertical="center"/>
    </xf>
    <xf numFmtId="0" fontId="24" fillId="105" borderId="0" xfId="0" applyFont="1" applyFill="1" applyBorder="1" applyAlignment="1">
      <alignment horizontal="center" vertical="center" wrapText="1"/>
    </xf>
    <xf numFmtId="168" fontId="198" fillId="0" borderId="0" xfId="18" applyNumberFormat="1" applyFont="1" applyAlignment="1">
      <alignment horizontal="center"/>
    </xf>
    <xf numFmtId="168" fontId="199" fillId="0" borderId="0" xfId="18" applyNumberFormat="1" applyFont="1" applyAlignment="1">
      <alignment horizontal="center"/>
    </xf>
    <xf numFmtId="0" fontId="200" fillId="0" borderId="0" xfId="17" applyFont="1" applyAlignment="1">
      <alignment horizontal="center"/>
    </xf>
    <xf numFmtId="169" fontId="199" fillId="0" borderId="114" xfId="18" applyNumberFormat="1" applyFont="1" applyBorder="1" applyAlignment="1">
      <alignment horizontal="center"/>
    </xf>
    <xf numFmtId="168" fontId="199" fillId="0" borderId="114" xfId="18" applyNumberFormat="1" applyFont="1" applyBorder="1" applyAlignment="1">
      <alignment horizontal="center"/>
    </xf>
    <xf numFmtId="169" fontId="201" fillId="102" borderId="77" xfId="16" applyNumberFormat="1" applyFont="1" applyFill="1" applyBorder="1" applyAlignment="1">
      <alignment horizontal="right" vertical="center" wrapText="1"/>
    </xf>
    <xf numFmtId="0" fontId="202" fillId="100" borderId="77" xfId="0" applyFont="1" applyFill="1" applyBorder="1" applyAlignment="1">
      <alignment horizontal="right" vertical="center" wrapText="1"/>
    </xf>
    <xf numFmtId="169" fontId="203" fillId="100" borderId="72" xfId="16" applyNumberFormat="1" applyFont="1" applyFill="1" applyBorder="1" applyAlignment="1">
      <alignment horizontal="right" vertical="center" wrapText="1"/>
    </xf>
    <xf numFmtId="169" fontId="201" fillId="102" borderId="72" xfId="16" applyNumberFormat="1" applyFont="1" applyFill="1" applyBorder="1" applyAlignment="1">
      <alignment horizontal="right" vertical="center" wrapText="1"/>
    </xf>
    <xf numFmtId="3" fontId="201" fillId="111" borderId="77" xfId="0" applyNumberFormat="1" applyFont="1" applyFill="1" applyBorder="1" applyAlignment="1">
      <alignment horizontal="right" vertical="center" wrapText="1"/>
    </xf>
    <xf numFmtId="0" fontId="201" fillId="99" borderId="77" xfId="0" applyFont="1" applyFill="1" applyBorder="1" applyAlignment="1">
      <alignment horizontal="right" vertical="center"/>
    </xf>
    <xf numFmtId="0" fontId="204" fillId="100" borderId="77" xfId="0" applyFont="1" applyFill="1" applyBorder="1" applyAlignment="1">
      <alignment horizontal="right" vertical="center" wrapText="1"/>
    </xf>
    <xf numFmtId="0" fontId="204" fillId="104" borderId="77" xfId="0" applyFont="1" applyFill="1" applyBorder="1" applyAlignment="1">
      <alignment horizontal="right" vertical="center" wrapText="1"/>
    </xf>
    <xf numFmtId="169" fontId="198" fillId="0" borderId="0" xfId="16" applyNumberFormat="1" applyFont="1" applyAlignment="1">
      <alignment horizontal="center"/>
    </xf>
    <xf numFmtId="168" fontId="200" fillId="0" borderId="0" xfId="17" applyNumberFormat="1" applyFont="1" applyAlignment="1">
      <alignment horizontal="center"/>
    </xf>
    <xf numFmtId="168" fontId="204" fillId="0" borderId="78" xfId="16" applyNumberFormat="1" applyFont="1" applyBorder="1"/>
    <xf numFmtId="168" fontId="204" fillId="0" borderId="0" xfId="16" applyNumberFormat="1" applyFont="1"/>
    <xf numFmtId="168" fontId="204" fillId="0" borderId="95" xfId="16" applyNumberFormat="1" applyFont="1" applyBorder="1"/>
    <xf numFmtId="169" fontId="203" fillId="100" borderId="76" xfId="16" applyNumberFormat="1" applyFont="1" applyFill="1" applyBorder="1" applyAlignment="1">
      <alignment horizontal="right" vertical="center" wrapText="1"/>
    </xf>
    <xf numFmtId="169" fontId="201" fillId="102" borderId="76" xfId="16" applyNumberFormat="1" applyFont="1" applyFill="1" applyBorder="1" applyAlignment="1">
      <alignment horizontal="right" vertical="center" wrapText="1"/>
    </xf>
    <xf numFmtId="0" fontId="201" fillId="99" borderId="73" xfId="0" applyFont="1" applyFill="1" applyBorder="1" applyAlignment="1">
      <alignment horizontal="right" vertical="center"/>
    </xf>
    <xf numFmtId="0" fontId="204" fillId="100" borderId="73" xfId="0" applyFont="1" applyFill="1" applyBorder="1" applyAlignment="1">
      <alignment horizontal="right" vertical="center" wrapText="1"/>
    </xf>
    <xf numFmtId="0" fontId="182" fillId="0" borderId="0" xfId="0" applyFont="1" applyAlignment="1">
      <alignment wrapText="1"/>
    </xf>
    <xf numFmtId="0" fontId="183" fillId="0" borderId="114" xfId="0" applyFont="1" applyBorder="1" applyAlignment="1">
      <alignment wrapText="1"/>
    </xf>
    <xf numFmtId="0" fontId="16" fillId="0" borderId="0" xfId="0" applyFont="1" applyAlignment="1">
      <alignment wrapText="1"/>
    </xf>
    <xf numFmtId="0" fontId="16" fillId="117" borderId="0" xfId="0" applyFont="1" applyFill="1" applyAlignment="1">
      <alignment wrapText="1"/>
    </xf>
    <xf numFmtId="0" fontId="174" fillId="118" borderId="70" xfId="0" applyFont="1" applyFill="1" applyBorder="1" applyAlignment="1">
      <alignment wrapText="1"/>
    </xf>
    <xf numFmtId="0" fontId="175" fillId="119" borderId="73" xfId="0" applyFont="1" applyFill="1" applyBorder="1" applyAlignment="1">
      <alignment wrapText="1"/>
    </xf>
    <xf numFmtId="0" fontId="22" fillId="0" borderId="74" xfId="0" applyFont="1" applyBorder="1" applyAlignment="1">
      <alignment wrapText="1"/>
    </xf>
    <xf numFmtId="0" fontId="22" fillId="0" borderId="125" xfId="0" applyFont="1" applyBorder="1" applyAlignment="1">
      <alignment wrapText="1"/>
    </xf>
    <xf numFmtId="0" fontId="174" fillId="120" borderId="73" xfId="0" applyFont="1" applyFill="1" applyBorder="1" applyAlignment="1">
      <alignment wrapText="1"/>
    </xf>
    <xf numFmtId="0" fontId="176" fillId="119" borderId="76" xfId="0" applyFont="1" applyFill="1" applyBorder="1" applyAlignment="1">
      <alignment wrapText="1"/>
    </xf>
    <xf numFmtId="0" fontId="174" fillId="120" borderId="76" xfId="0" applyFont="1" applyFill="1" applyBorder="1" applyAlignment="1">
      <alignment wrapText="1"/>
    </xf>
    <xf numFmtId="0" fontId="174" fillId="121" borderId="73" xfId="0" applyFont="1" applyFill="1" applyBorder="1" applyAlignment="1">
      <alignment wrapText="1"/>
    </xf>
    <xf numFmtId="0" fontId="174" fillId="118" borderId="73" xfId="0" applyFont="1" applyFill="1" applyBorder="1" applyAlignment="1">
      <alignment wrapText="1"/>
    </xf>
    <xf numFmtId="0" fontId="22" fillId="119" borderId="73" xfId="0" applyFont="1" applyFill="1" applyBorder="1" applyAlignment="1">
      <alignment wrapText="1"/>
    </xf>
    <xf numFmtId="0" fontId="22" fillId="122" borderId="73" xfId="0" applyFont="1" applyFill="1" applyBorder="1" applyAlignment="1">
      <alignment wrapText="1"/>
    </xf>
    <xf numFmtId="3" fontId="11" fillId="111" borderId="73" xfId="0" applyNumberFormat="1" applyFont="1" applyFill="1" applyBorder="1" applyAlignment="1">
      <alignment horizontal="right" vertical="center" wrapText="1"/>
    </xf>
    <xf numFmtId="169" fontId="12" fillId="101" borderId="76" xfId="16" applyNumberFormat="1" applyFont="1" applyFill="1" applyBorder="1" applyAlignment="1">
      <alignment horizontal="right" vertical="center" wrapText="1"/>
    </xf>
    <xf numFmtId="170" fontId="92" fillId="111" borderId="0" xfId="20" applyNumberFormat="1" applyFont="1" applyFill="1" applyBorder="1"/>
    <xf numFmtId="0" fontId="205" fillId="125" borderId="79" xfId="0" applyFont="1" applyFill="1" applyBorder="1" applyAlignment="1">
      <alignment horizontal="center" vertical="center" wrapText="1"/>
    </xf>
    <xf numFmtId="1" fontId="32" fillId="126" borderId="0" xfId="0" applyNumberFormat="1" applyFont="1" applyFill="1" applyAlignment="1">
      <alignment horizontal="center" vertical="center" wrapText="1"/>
    </xf>
    <xf numFmtId="1" fontId="32" fillId="113" borderId="0" xfId="0" applyNumberFormat="1" applyFont="1" applyFill="1" applyAlignment="1">
      <alignment vertical="center"/>
    </xf>
    <xf numFmtId="169" fontId="18" fillId="0" borderId="0" xfId="16" applyNumberFormat="1" applyFont="1" applyFill="1" applyBorder="1" applyAlignment="1">
      <alignment horizontal="left" indent="2"/>
    </xf>
    <xf numFmtId="169" fontId="18" fillId="0" borderId="0" xfId="16" applyNumberFormat="1" applyFont="1" applyFill="1" applyBorder="1" applyAlignment="1">
      <alignment horizontal="right" indent="2"/>
    </xf>
    <xf numFmtId="169" fontId="19" fillId="0" borderId="114" xfId="16" applyNumberFormat="1" applyFont="1" applyFill="1" applyBorder="1" applyAlignment="1">
      <alignment horizontal="right" indent="2"/>
    </xf>
    <xf numFmtId="169" fontId="19" fillId="0" borderId="114" xfId="7869" applyNumberFormat="1" applyFont="1" applyFill="1" applyBorder="1" applyAlignment="1">
      <alignment horizontal="right"/>
    </xf>
    <xf numFmtId="169" fontId="19" fillId="0" borderId="114" xfId="7869" applyNumberFormat="1" applyFont="1" applyFill="1" applyBorder="1" applyAlignment="1">
      <alignment horizontal="right" indent="2"/>
    </xf>
    <xf numFmtId="169" fontId="19" fillId="0" borderId="0" xfId="16" applyNumberFormat="1" applyFont="1" applyFill="1" applyBorder="1" applyAlignment="1">
      <alignment horizontal="right" indent="2"/>
    </xf>
    <xf numFmtId="169" fontId="32" fillId="114" borderId="0" xfId="16" applyNumberFormat="1" applyFont="1" applyFill="1" applyAlignment="1">
      <alignment horizontal="right" vertical="center"/>
    </xf>
    <xf numFmtId="169" fontId="155" fillId="115" borderId="0" xfId="16" applyNumberFormat="1" applyFont="1" applyFill="1" applyAlignment="1">
      <alignment horizontal="right" vertical="center"/>
    </xf>
    <xf numFmtId="169" fontId="32" fillId="116" borderId="0" xfId="16" applyNumberFormat="1" applyFont="1" applyFill="1" applyAlignment="1">
      <alignment horizontal="right" vertical="center" wrapText="1"/>
    </xf>
    <xf numFmtId="169" fontId="155" fillId="111" borderId="0" xfId="16" applyNumberFormat="1" applyFont="1" applyFill="1" applyAlignment="1">
      <alignment horizontal="right" vertical="center"/>
    </xf>
    <xf numFmtId="169" fontId="0" fillId="0" borderId="0" xfId="16" applyNumberFormat="1" applyFont="1" applyAlignment="1">
      <alignment horizontal="right"/>
    </xf>
    <xf numFmtId="169" fontId="154" fillId="0" borderId="0" xfId="16" applyNumberFormat="1" applyFont="1" applyAlignment="1">
      <alignment horizontal="right"/>
    </xf>
    <xf numFmtId="217" fontId="206" fillId="111" borderId="0" xfId="7868" applyNumberFormat="1" applyFont="1" applyFill="1" applyAlignment="1">
      <alignment vertical="center"/>
    </xf>
    <xf numFmtId="217" fontId="32" fillId="111" borderId="0" xfId="7868" applyNumberFormat="1" applyFont="1" applyFill="1" applyAlignment="1">
      <alignment horizontal="left" vertical="center" indent="3"/>
    </xf>
    <xf numFmtId="169" fontId="32" fillId="111" borderId="0" xfId="16" applyNumberFormat="1" applyFont="1" applyFill="1" applyAlignment="1">
      <alignment horizontal="right" vertical="center"/>
    </xf>
    <xf numFmtId="169" fontId="157" fillId="111" borderId="0" xfId="16" applyNumberFormat="1" applyFont="1" applyFill="1" applyBorder="1" applyAlignment="1">
      <alignment horizontal="right" vertical="center"/>
    </xf>
    <xf numFmtId="1" fontId="32" fillId="116" borderId="0" xfId="0" applyNumberFormat="1" applyFont="1" applyFill="1" applyAlignment="1">
      <alignment vertical="center"/>
    </xf>
    <xf numFmtId="169" fontId="32" fillId="111" borderId="0" xfId="16" applyNumberFormat="1" applyFont="1" applyFill="1" applyBorder="1" applyAlignment="1">
      <alignment horizontal="right" vertical="center"/>
    </xf>
    <xf numFmtId="169" fontId="157" fillId="0" borderId="0" xfId="16" applyNumberFormat="1" applyFont="1" applyAlignment="1">
      <alignment horizontal="right" vertical="center"/>
    </xf>
    <xf numFmtId="0" fontId="0" fillId="0" borderId="0" xfId="0" applyAlignment="1">
      <alignment wrapText="1"/>
    </xf>
    <xf numFmtId="0" fontId="207" fillId="0" borderId="0" xfId="0" applyFont="1" applyAlignment="1">
      <alignment vertical="center"/>
    </xf>
    <xf numFmtId="169" fontId="19" fillId="0" borderId="114" xfId="28" applyNumberFormat="1" applyFont="1" applyFill="1" applyBorder="1" applyAlignment="1">
      <alignment horizontal="center"/>
    </xf>
    <xf numFmtId="168" fontId="19" fillId="0" borderId="114" xfId="28" applyNumberFormat="1" applyFont="1" applyFill="1" applyBorder="1" applyAlignment="1">
      <alignment horizontal="center"/>
    </xf>
    <xf numFmtId="0" fontId="173" fillId="105" borderId="0" xfId="0" applyFont="1" applyFill="1" applyAlignment="1">
      <alignment horizontal="center" vertical="center" wrapText="1"/>
    </xf>
    <xf numFmtId="0" fontId="174" fillId="99" borderId="96" xfId="0" applyFont="1" applyFill="1" applyBorder="1" applyAlignment="1">
      <alignment vertical="center"/>
    </xf>
    <xf numFmtId="0" fontId="208" fillId="0" borderId="0" xfId="8" applyFont="1" applyBorder="1"/>
    <xf numFmtId="8" fontId="27" fillId="0" borderId="0" xfId="0" applyNumberFormat="1" applyFont="1"/>
    <xf numFmtId="0" fontId="8" fillId="127" borderId="0" xfId="0" applyFont="1" applyFill="1"/>
    <xf numFmtId="0" fontId="25" fillId="127" borderId="0" xfId="0" applyFont="1" applyFill="1"/>
    <xf numFmtId="0" fontId="209" fillId="127" borderId="0" xfId="0" applyFont="1" applyFill="1"/>
    <xf numFmtId="8" fontId="209" fillId="127" borderId="0" xfId="0" applyNumberFormat="1" applyFont="1" applyFill="1"/>
    <xf numFmtId="0" fontId="210" fillId="127" borderId="0" xfId="0" applyFont="1" applyFill="1"/>
    <xf numFmtId="0" fontId="211" fillId="0" borderId="0" xfId="0" applyFont="1"/>
    <xf numFmtId="1" fontId="32" fillId="113" borderId="0" xfId="0" applyNumberFormat="1" applyFont="1" applyFill="1" applyAlignment="1">
      <alignment vertical="center" wrapText="1"/>
    </xf>
    <xf numFmtId="39" fontId="32" fillId="113" borderId="0" xfId="0" applyNumberFormat="1" applyFont="1" applyFill="1" applyAlignment="1">
      <alignment horizontal="left" vertical="center" wrapText="1"/>
    </xf>
    <xf numFmtId="39" fontId="32" fillId="116" borderId="0" xfId="0" applyNumberFormat="1" applyFont="1" applyFill="1" applyAlignment="1">
      <alignment horizontal="left" vertical="center" wrapText="1"/>
    </xf>
    <xf numFmtId="0" fontId="32" fillId="98" borderId="98" xfId="22" applyFont="1" applyFill="1" applyBorder="1" applyAlignment="1">
      <alignment horizontal="center" vertical="center" wrapText="1"/>
    </xf>
    <xf numFmtId="0" fontId="32" fillId="98" borderId="106" xfId="22" applyFont="1" applyFill="1" applyBorder="1" applyAlignment="1">
      <alignment horizontal="center" vertical="center" wrapText="1"/>
    </xf>
    <xf numFmtId="0" fontId="32" fillId="98" borderId="107" xfId="22" applyFont="1" applyFill="1" applyBorder="1" applyAlignment="1">
      <alignment horizontal="center" vertical="center" wrapText="1"/>
    </xf>
    <xf numFmtId="0" fontId="187" fillId="111" borderId="11" xfId="22" applyFont="1" applyFill="1" applyBorder="1" applyAlignment="1">
      <alignment horizontal="center" vertical="center"/>
    </xf>
    <xf numFmtId="0" fontId="187" fillId="111" borderId="23" xfId="22" applyFont="1" applyFill="1" applyBorder="1" applyAlignment="1">
      <alignment horizontal="center" vertical="center"/>
    </xf>
    <xf numFmtId="0" fontId="187" fillId="111" borderId="51" xfId="22" applyFont="1" applyFill="1" applyBorder="1" applyAlignment="1">
      <alignment horizontal="center" vertical="center"/>
    </xf>
    <xf numFmtId="0" fontId="187" fillId="111" borderId="10" xfId="22" applyFont="1" applyFill="1" applyBorder="1" applyAlignment="1">
      <alignment horizontal="center" vertical="center"/>
    </xf>
    <xf numFmtId="0" fontId="187" fillId="111" borderId="103" xfId="22" applyFont="1" applyFill="1" applyBorder="1" applyAlignment="1">
      <alignment horizontal="center" vertical="center"/>
    </xf>
    <xf numFmtId="0" fontId="187" fillId="111" borderId="104" xfId="22" applyFont="1" applyFill="1" applyBorder="1" applyAlignment="1">
      <alignment horizontal="center" vertical="center"/>
    </xf>
    <xf numFmtId="0" fontId="187" fillId="111" borderId="105" xfId="22" applyFont="1" applyFill="1" applyBorder="1" applyAlignment="1">
      <alignment horizontal="center" vertical="center"/>
    </xf>
    <xf numFmtId="0" fontId="173" fillId="114" borderId="84" xfId="22" applyFont="1" applyFill="1" applyBorder="1" applyAlignment="1">
      <alignment horizontal="center" vertical="center" wrapText="1"/>
    </xf>
    <xf numFmtId="0" fontId="187" fillId="0" borderId="11" xfId="22" applyFont="1" applyBorder="1" applyAlignment="1">
      <alignment horizontal="center" vertical="center"/>
    </xf>
    <xf numFmtId="0" fontId="33" fillId="0" borderId="110" xfId="22" applyFont="1" applyBorder="1" applyAlignment="1">
      <alignment horizontal="center" vertical="center"/>
    </xf>
    <xf numFmtId="0" fontId="33" fillId="0" borderId="112" xfId="22" applyFont="1" applyBorder="1" applyAlignment="1">
      <alignment horizontal="center" vertical="center"/>
    </xf>
    <xf numFmtId="0" fontId="33" fillId="0" borderId="111" xfId="22" applyFont="1" applyBorder="1" applyAlignment="1">
      <alignment horizontal="center" vertical="center"/>
    </xf>
    <xf numFmtId="0" fontId="187" fillId="0" borderId="103" xfId="22" applyFont="1" applyBorder="1" applyAlignment="1">
      <alignment horizontal="center" vertical="center"/>
    </xf>
    <xf numFmtId="0" fontId="187" fillId="0" borderId="104" xfId="22" applyFont="1" applyBorder="1" applyAlignment="1">
      <alignment horizontal="center" vertical="center"/>
    </xf>
    <xf numFmtId="0" fontId="187" fillId="0" borderId="108" xfId="22" applyFont="1" applyBorder="1" applyAlignment="1">
      <alignment horizontal="center" vertical="center"/>
    </xf>
    <xf numFmtId="0" fontId="187" fillId="111" borderId="11" xfId="22" applyFont="1" applyFill="1" applyBorder="1" applyAlignment="1">
      <alignment horizontal="center" vertical="center" wrapText="1"/>
    </xf>
    <xf numFmtId="0" fontId="33" fillId="111" borderId="85" xfId="22" applyFont="1" applyFill="1" applyBorder="1" applyAlignment="1">
      <alignment horizontal="center" vertical="center" wrapText="1"/>
    </xf>
    <xf numFmtId="0" fontId="24" fillId="114" borderId="84" xfId="22" applyFont="1" applyFill="1" applyBorder="1" applyAlignment="1">
      <alignment horizontal="center" vertical="center" wrapText="1"/>
    </xf>
    <xf numFmtId="0" fontId="32" fillId="111" borderId="0" xfId="22" applyFont="1" applyFill="1" applyAlignment="1">
      <alignment horizontal="center" vertical="center" wrapText="1"/>
    </xf>
    <xf numFmtId="0" fontId="32" fillId="98" borderId="82" xfId="22" applyFont="1" applyFill="1" applyBorder="1" applyAlignment="1">
      <alignment horizontal="center" vertical="center" wrapText="1"/>
    </xf>
    <xf numFmtId="0" fontId="32" fillId="98" borderId="79" xfId="22" applyFont="1" applyFill="1" applyBorder="1" applyAlignment="1">
      <alignment horizontal="center" vertical="center" wrapText="1"/>
    </xf>
    <xf numFmtId="0" fontId="32" fillId="98" borderId="109" xfId="22" applyFont="1" applyFill="1" applyBorder="1" applyAlignment="1">
      <alignment horizontal="center" vertical="center" wrapText="1"/>
    </xf>
    <xf numFmtId="0" fontId="33" fillId="111" borderId="110" xfId="22" applyFont="1" applyFill="1" applyBorder="1" applyAlignment="1">
      <alignment horizontal="center" vertical="center"/>
    </xf>
    <xf numFmtId="0" fontId="33" fillId="111" borderId="111" xfId="22" applyFont="1" applyFill="1" applyBorder="1" applyAlignment="1">
      <alignment horizontal="center" vertical="center"/>
    </xf>
    <xf numFmtId="0" fontId="33" fillId="111" borderId="112" xfId="22" applyFont="1" applyFill="1" applyBorder="1" applyAlignment="1">
      <alignment horizontal="center" vertical="center"/>
    </xf>
    <xf numFmtId="0" fontId="33" fillId="111" borderId="118" xfId="22" applyFont="1" applyFill="1" applyBorder="1" applyAlignment="1">
      <alignment horizontal="center" vertical="center"/>
    </xf>
    <xf numFmtId="0" fontId="33" fillId="111" borderId="105" xfId="22" applyFont="1" applyFill="1" applyBorder="1" applyAlignment="1">
      <alignment horizontal="center" vertical="center"/>
    </xf>
    <xf numFmtId="0" fontId="33" fillId="111" borderId="103" xfId="22" applyFont="1" applyFill="1" applyBorder="1" applyAlignment="1">
      <alignment horizontal="center" vertical="center"/>
    </xf>
    <xf numFmtId="0" fontId="33" fillId="111" borderId="23" xfId="22" applyFont="1" applyFill="1" applyBorder="1" applyAlignment="1">
      <alignment horizontal="center" vertical="center"/>
    </xf>
    <xf numFmtId="0" fontId="33" fillId="111" borderId="51" xfId="22" applyFont="1" applyFill="1" applyBorder="1" applyAlignment="1">
      <alignment horizontal="center" vertical="center"/>
    </xf>
    <xf numFmtId="0" fontId="33" fillId="111" borderId="10" xfId="22" applyFont="1" applyFill="1" applyBorder="1" applyAlignment="1">
      <alignment horizontal="center" vertical="center"/>
    </xf>
    <xf numFmtId="0" fontId="33" fillId="111" borderId="103" xfId="22" applyFont="1" applyFill="1" applyBorder="1" applyAlignment="1">
      <alignment horizontal="center" vertical="center" wrapText="1"/>
    </xf>
    <xf numFmtId="0" fontId="33" fillId="111" borderId="104" xfId="22" applyFont="1" applyFill="1" applyBorder="1" applyAlignment="1">
      <alignment horizontal="center" vertical="center" wrapText="1"/>
    </xf>
    <xf numFmtId="0" fontId="33" fillId="111" borderId="105" xfId="22" applyFont="1" applyFill="1" applyBorder="1" applyAlignment="1">
      <alignment horizontal="center" vertical="center" wrapText="1"/>
    </xf>
    <xf numFmtId="0" fontId="173" fillId="62" borderId="0" xfId="0" applyFont="1" applyFill="1" applyAlignment="1">
      <alignment horizontal="center" vertical="center"/>
    </xf>
    <xf numFmtId="0" fontId="174" fillId="62" borderId="0" xfId="0" applyFont="1" applyFill="1" applyAlignment="1">
      <alignment horizontal="center" vertical="center"/>
    </xf>
    <xf numFmtId="0" fontId="173" fillId="112" borderId="113" xfId="0" applyFont="1" applyFill="1" applyBorder="1" applyAlignment="1">
      <alignment horizontal="center" vertical="center"/>
    </xf>
    <xf numFmtId="0" fontId="195" fillId="0" borderId="121" xfId="0" applyFont="1" applyBorder="1" applyAlignment="1">
      <alignment horizontal="center" vertical="center"/>
    </xf>
    <xf numFmtId="0" fontId="195" fillId="0" borderId="120" xfId="0" applyFont="1" applyBorder="1" applyAlignment="1">
      <alignment horizontal="center" vertical="center"/>
    </xf>
    <xf numFmtId="0" fontId="195" fillId="0" borderId="119" xfId="0" applyFont="1" applyBorder="1" applyAlignment="1">
      <alignment horizontal="center" vertical="center"/>
    </xf>
    <xf numFmtId="0" fontId="195" fillId="0" borderId="0" xfId="0" applyFont="1" applyBorder="1" applyAlignment="1">
      <alignment horizontal="center" vertical="center"/>
    </xf>
    <xf numFmtId="0" fontId="165" fillId="0" borderId="0" xfId="0" applyFont="1"/>
  </cellXfs>
  <cellStyles count="7870">
    <cellStyle name="_x000a_386grabber=M" xfId="95" xr:uid="{00000000-0005-0000-0000-00005F000000}"/>
    <cellStyle name="_x000a_386grabber=M 2" xfId="96" xr:uid="{00000000-0005-0000-0000-000060000000}"/>
    <cellStyle name="_x000a_386grabber=M 2 2" xfId="97" xr:uid="{00000000-0005-0000-0000-000061000000}"/>
    <cellStyle name="_x000a_386grabber=M 2 2 2" xfId="3823" xr:uid="{00000000-0005-0000-0000-0000EF0E0000}"/>
    <cellStyle name="_x000a_386grabber=M 2 3" xfId="98" xr:uid="{00000000-0005-0000-0000-000062000000}"/>
    <cellStyle name="_x000a_386grabber=M 2 3 2" xfId="3824" xr:uid="{00000000-0005-0000-0000-0000F00E0000}"/>
    <cellStyle name="_x000a_386grabber=M 2 4" xfId="99" xr:uid="{00000000-0005-0000-0000-000063000000}"/>
    <cellStyle name="_x000a_386grabber=M 2 4 2" xfId="3825" xr:uid="{00000000-0005-0000-0000-0000F10E0000}"/>
    <cellStyle name="_x000a_386grabber=M 2 5" xfId="100" xr:uid="{00000000-0005-0000-0000-000064000000}"/>
    <cellStyle name="_x000a_386grabber=M 2 5 2" xfId="3826" xr:uid="{00000000-0005-0000-0000-0000F20E0000}"/>
    <cellStyle name="_x000a_386grabber=M 2 6" xfId="101" xr:uid="{00000000-0005-0000-0000-000065000000}"/>
    <cellStyle name="_x000a_386grabber=M 2 6 2" xfId="3827" xr:uid="{00000000-0005-0000-0000-0000F30E0000}"/>
    <cellStyle name="_x000a_386grabber=M 2 7" xfId="102" xr:uid="{00000000-0005-0000-0000-000066000000}"/>
    <cellStyle name="_x000a_386grabber=M 2 8" xfId="103" xr:uid="{00000000-0005-0000-0000-000067000000}"/>
    <cellStyle name="_x000a_386grabber=M 2_ActiFijos" xfId="104" xr:uid="{00000000-0005-0000-0000-000068000000}"/>
    <cellStyle name="_x000a_386grabber=M 3" xfId="105" xr:uid="{00000000-0005-0000-0000-000069000000}"/>
    <cellStyle name="_x000a_386grabber=M 3 2" xfId="106" xr:uid="{00000000-0005-0000-0000-00006A000000}"/>
    <cellStyle name="_x000a_386grabber=M 3 2 2" xfId="3828" xr:uid="{00000000-0005-0000-0000-0000F40E0000}"/>
    <cellStyle name="_x000a_386grabber=M 3 3" xfId="107" xr:uid="{00000000-0005-0000-0000-00006B000000}"/>
    <cellStyle name="_x000a_386grabber=M 3 3 2" xfId="3829" xr:uid="{00000000-0005-0000-0000-0000F50E0000}"/>
    <cellStyle name="_x000a_386grabber=M 3 4" xfId="108" xr:uid="{00000000-0005-0000-0000-00006C000000}"/>
    <cellStyle name="_x000a_386grabber=M 3 4 2" xfId="3830" xr:uid="{00000000-0005-0000-0000-0000F60E0000}"/>
    <cellStyle name="_x000a_386grabber=M 3 5" xfId="109" xr:uid="{00000000-0005-0000-0000-00006D000000}"/>
    <cellStyle name="_x000a_386grabber=M 3 5 2" xfId="3831" xr:uid="{00000000-0005-0000-0000-0000F70E0000}"/>
    <cellStyle name="_x000a_386grabber=M 3 6" xfId="110" xr:uid="{00000000-0005-0000-0000-00006E000000}"/>
    <cellStyle name="_x000a_386grabber=M 3 6 2" xfId="3832" xr:uid="{00000000-0005-0000-0000-0000F80E0000}"/>
    <cellStyle name="_x000a_386grabber=M 3 7" xfId="111" xr:uid="{00000000-0005-0000-0000-00006F000000}"/>
    <cellStyle name="_x000a_386grabber=M 3 8" xfId="112" xr:uid="{00000000-0005-0000-0000-000070000000}"/>
    <cellStyle name="_x000a_386grabber=M 3_ActiFijos" xfId="113" xr:uid="{00000000-0005-0000-0000-000071000000}"/>
    <cellStyle name="_x000a_386grabber=M 4" xfId="114" xr:uid="{00000000-0005-0000-0000-000072000000}"/>
    <cellStyle name="_x000a_386grabber=M 4 2" xfId="115" xr:uid="{00000000-0005-0000-0000-000073000000}"/>
    <cellStyle name="_x000a_386grabber=M 4 2 2" xfId="3833" xr:uid="{00000000-0005-0000-0000-0000F90E0000}"/>
    <cellStyle name="_x000a_386grabber=M 4 3" xfId="116" xr:uid="{00000000-0005-0000-0000-000074000000}"/>
    <cellStyle name="_x000a_386grabber=M 4 3 2" xfId="3834" xr:uid="{00000000-0005-0000-0000-0000FA0E0000}"/>
    <cellStyle name="_x000a_386grabber=M 4 4" xfId="117" xr:uid="{00000000-0005-0000-0000-000075000000}"/>
    <cellStyle name="_x000a_386grabber=M 4 4 2" xfId="3835" xr:uid="{00000000-0005-0000-0000-0000FB0E0000}"/>
    <cellStyle name="_x000a_386grabber=M 4 5" xfId="118" xr:uid="{00000000-0005-0000-0000-000076000000}"/>
    <cellStyle name="_x000a_386grabber=M 4 5 2" xfId="3836" xr:uid="{00000000-0005-0000-0000-0000FC0E0000}"/>
    <cellStyle name="_x000a_386grabber=M 4 6" xfId="119" xr:uid="{00000000-0005-0000-0000-000077000000}"/>
    <cellStyle name="_x000a_386grabber=M 4 6 2" xfId="3837" xr:uid="{00000000-0005-0000-0000-0000FD0E0000}"/>
    <cellStyle name="_x000a_386grabber=M 4 7" xfId="120" xr:uid="{00000000-0005-0000-0000-000078000000}"/>
    <cellStyle name="_x000a_386grabber=M 4 8" xfId="121" xr:uid="{00000000-0005-0000-0000-000079000000}"/>
    <cellStyle name="_x000a_386grabber=M 4_ActiFijos" xfId="122" xr:uid="{00000000-0005-0000-0000-00007A000000}"/>
    <cellStyle name="_x000a_386grabber=M 5" xfId="3838" xr:uid="{00000000-0005-0000-0000-0000FE0E0000}"/>
    <cellStyle name="_x000a_386grabber=M_Bases_Generales" xfId="123" xr:uid="{00000000-0005-0000-0000-00007B000000}"/>
    <cellStyle name="$0,000" xfId="124" xr:uid="{00000000-0005-0000-0000-00007C000000}"/>
    <cellStyle name="$0,000 2" xfId="125" xr:uid="{00000000-0005-0000-0000-00007D000000}"/>
    <cellStyle name="$0,000 2 2" xfId="126" xr:uid="{00000000-0005-0000-0000-00007E000000}"/>
    <cellStyle name="$0,000 2 2 2" xfId="3747" xr:uid="{00000000-0005-0000-0000-0000A30E0000}"/>
    <cellStyle name="$0,000 2 3" xfId="127" xr:uid="{00000000-0005-0000-0000-00007F000000}"/>
    <cellStyle name="$0,000 2 3 2" xfId="3748" xr:uid="{00000000-0005-0000-0000-0000A40E0000}"/>
    <cellStyle name="$0,000 2 4" xfId="128" xr:uid="{00000000-0005-0000-0000-000080000000}"/>
    <cellStyle name="$0,000 2 4 2" xfId="3749" xr:uid="{00000000-0005-0000-0000-0000A50E0000}"/>
    <cellStyle name="$0,000 2 5" xfId="129" xr:uid="{00000000-0005-0000-0000-000081000000}"/>
    <cellStyle name="$0,000 2 5 2" xfId="3750" xr:uid="{00000000-0005-0000-0000-0000A60E0000}"/>
    <cellStyle name="$0,000 2 6" xfId="130" xr:uid="{00000000-0005-0000-0000-000082000000}"/>
    <cellStyle name="$0,000 2 6 2" xfId="3751" xr:uid="{00000000-0005-0000-0000-0000A70E0000}"/>
    <cellStyle name="$0,000 2 7" xfId="131" xr:uid="{00000000-0005-0000-0000-000083000000}"/>
    <cellStyle name="$0,000 2 7 2" xfId="3752" xr:uid="{00000000-0005-0000-0000-0000A80E0000}"/>
    <cellStyle name="$0,000 2 8" xfId="132" xr:uid="{00000000-0005-0000-0000-000084000000}"/>
    <cellStyle name="$0,000 2 8 2" xfId="3753" xr:uid="{00000000-0005-0000-0000-0000A90E0000}"/>
    <cellStyle name="$0,000 2 9" xfId="3746" xr:uid="{00000000-0005-0000-0000-0000A20E0000}"/>
    <cellStyle name="$0,000 3" xfId="133" xr:uid="{00000000-0005-0000-0000-000085000000}"/>
    <cellStyle name="$0,000 3 2" xfId="134" xr:uid="{00000000-0005-0000-0000-000086000000}"/>
    <cellStyle name="$0,000 3 2 2" xfId="3755" xr:uid="{00000000-0005-0000-0000-0000AB0E0000}"/>
    <cellStyle name="$0,000 3 3" xfId="135" xr:uid="{00000000-0005-0000-0000-000087000000}"/>
    <cellStyle name="$0,000 3 3 2" xfId="3756" xr:uid="{00000000-0005-0000-0000-0000AC0E0000}"/>
    <cellStyle name="$0,000 3 4" xfId="136" xr:uid="{00000000-0005-0000-0000-000088000000}"/>
    <cellStyle name="$0,000 3 4 2" xfId="3757" xr:uid="{00000000-0005-0000-0000-0000AD0E0000}"/>
    <cellStyle name="$0,000 3 5" xfId="137" xr:uid="{00000000-0005-0000-0000-000089000000}"/>
    <cellStyle name="$0,000 3 5 2" xfId="3758" xr:uid="{00000000-0005-0000-0000-0000AE0E0000}"/>
    <cellStyle name="$0,000 3 6" xfId="138" xr:uid="{00000000-0005-0000-0000-00008A000000}"/>
    <cellStyle name="$0,000 3 6 2" xfId="3759" xr:uid="{00000000-0005-0000-0000-0000AF0E0000}"/>
    <cellStyle name="$0,000 3 7" xfId="139" xr:uid="{00000000-0005-0000-0000-00008B000000}"/>
    <cellStyle name="$0,000 3 7 2" xfId="3760" xr:uid="{00000000-0005-0000-0000-0000B00E0000}"/>
    <cellStyle name="$0,000 3 8" xfId="140" xr:uid="{00000000-0005-0000-0000-00008C000000}"/>
    <cellStyle name="$0,000 3 8 2" xfId="3761" xr:uid="{00000000-0005-0000-0000-0000B10E0000}"/>
    <cellStyle name="$0,000 3 9" xfId="3754" xr:uid="{00000000-0005-0000-0000-0000AA0E0000}"/>
    <cellStyle name="$0,000 4" xfId="141" xr:uid="{00000000-0005-0000-0000-00008D000000}"/>
    <cellStyle name="$0,000 4 2" xfId="142" xr:uid="{00000000-0005-0000-0000-00008E000000}"/>
    <cellStyle name="$0,000 4 2 2" xfId="3763" xr:uid="{00000000-0005-0000-0000-0000B30E0000}"/>
    <cellStyle name="$0,000 4 3" xfId="143" xr:uid="{00000000-0005-0000-0000-00008F000000}"/>
    <cellStyle name="$0,000 4 3 2" xfId="3764" xr:uid="{00000000-0005-0000-0000-0000B40E0000}"/>
    <cellStyle name="$0,000 4 4" xfId="144" xr:uid="{00000000-0005-0000-0000-000090000000}"/>
    <cellStyle name="$0,000 4 4 2" xfId="3765" xr:uid="{00000000-0005-0000-0000-0000B50E0000}"/>
    <cellStyle name="$0,000 4 5" xfId="145" xr:uid="{00000000-0005-0000-0000-000091000000}"/>
    <cellStyle name="$0,000 4 5 2" xfId="3766" xr:uid="{00000000-0005-0000-0000-0000B60E0000}"/>
    <cellStyle name="$0,000 4 6" xfId="146" xr:uid="{00000000-0005-0000-0000-000092000000}"/>
    <cellStyle name="$0,000 4 6 2" xfId="3767" xr:uid="{00000000-0005-0000-0000-0000B70E0000}"/>
    <cellStyle name="$0,000 4 7" xfId="147" xr:uid="{00000000-0005-0000-0000-000093000000}"/>
    <cellStyle name="$0,000 4 7 2" xfId="3768" xr:uid="{00000000-0005-0000-0000-0000B80E0000}"/>
    <cellStyle name="$0,000 4 8" xfId="148" xr:uid="{00000000-0005-0000-0000-000094000000}"/>
    <cellStyle name="$0,000 4 8 2" xfId="3769" xr:uid="{00000000-0005-0000-0000-0000B90E0000}"/>
    <cellStyle name="$0,000 4 9" xfId="3762" xr:uid="{00000000-0005-0000-0000-0000B20E0000}"/>
    <cellStyle name="$0,000 5" xfId="3745" xr:uid="{00000000-0005-0000-0000-0000A10E0000}"/>
    <cellStyle name="$0." xfId="149" xr:uid="{00000000-0005-0000-0000-000095000000}"/>
    <cellStyle name="$0.00" xfId="150" xr:uid="{00000000-0005-0000-0000-000096000000}"/>
    <cellStyle name="%" xfId="17" xr:uid="{00000000-0005-0000-0000-000011000000}"/>
    <cellStyle name="% 2" xfId="152" xr:uid="{00000000-0005-0000-0000-000098000000}"/>
    <cellStyle name="% 2 2" xfId="153" xr:uid="{00000000-0005-0000-0000-000099000000}"/>
    <cellStyle name="% 2 2 2" xfId="3839" xr:uid="{00000000-0005-0000-0000-0000FF0E0000}"/>
    <cellStyle name="% 2 3" xfId="154" xr:uid="{00000000-0005-0000-0000-00009A000000}"/>
    <cellStyle name="% 2 3 2" xfId="3840" xr:uid="{00000000-0005-0000-0000-0000000F0000}"/>
    <cellStyle name="% 2 4" xfId="155" xr:uid="{00000000-0005-0000-0000-00009B000000}"/>
    <cellStyle name="% 2 4 2" xfId="3841" xr:uid="{00000000-0005-0000-0000-0000010F0000}"/>
    <cellStyle name="% 2 5" xfId="156" xr:uid="{00000000-0005-0000-0000-00009C000000}"/>
    <cellStyle name="% 2 5 2" xfId="3842" xr:uid="{00000000-0005-0000-0000-0000020F0000}"/>
    <cellStyle name="% 2 6" xfId="157" xr:uid="{00000000-0005-0000-0000-00009D000000}"/>
    <cellStyle name="% 2 6 2" xfId="3843" xr:uid="{00000000-0005-0000-0000-0000030F0000}"/>
    <cellStyle name="% 2 7" xfId="158" xr:uid="{00000000-0005-0000-0000-00009E000000}"/>
    <cellStyle name="% 2 8" xfId="159" xr:uid="{00000000-0005-0000-0000-00009F000000}"/>
    <cellStyle name="% 2_ActiFijos" xfId="160" xr:uid="{00000000-0005-0000-0000-0000A0000000}"/>
    <cellStyle name="% 3" xfId="161" xr:uid="{00000000-0005-0000-0000-0000A1000000}"/>
    <cellStyle name="% 3 2" xfId="162" xr:uid="{00000000-0005-0000-0000-0000A2000000}"/>
    <cellStyle name="% 3 2 2" xfId="3844" xr:uid="{00000000-0005-0000-0000-0000040F0000}"/>
    <cellStyle name="% 3 3" xfId="163" xr:uid="{00000000-0005-0000-0000-0000A3000000}"/>
    <cellStyle name="% 3 3 2" xfId="3845" xr:uid="{00000000-0005-0000-0000-0000050F0000}"/>
    <cellStyle name="% 3 4" xfId="164" xr:uid="{00000000-0005-0000-0000-0000A4000000}"/>
    <cellStyle name="% 3 4 2" xfId="3846" xr:uid="{00000000-0005-0000-0000-0000060F0000}"/>
    <cellStyle name="% 3 5" xfId="165" xr:uid="{00000000-0005-0000-0000-0000A5000000}"/>
    <cellStyle name="% 3 5 2" xfId="3847" xr:uid="{00000000-0005-0000-0000-0000070F0000}"/>
    <cellStyle name="% 3 6" xfId="166" xr:uid="{00000000-0005-0000-0000-0000A6000000}"/>
    <cellStyle name="% 3 6 2" xfId="3848" xr:uid="{00000000-0005-0000-0000-0000080F0000}"/>
    <cellStyle name="% 3 7" xfId="167" xr:uid="{00000000-0005-0000-0000-0000A7000000}"/>
    <cellStyle name="% 3 8" xfId="168" xr:uid="{00000000-0005-0000-0000-0000A8000000}"/>
    <cellStyle name="% 3_ActiFijos" xfId="169" xr:uid="{00000000-0005-0000-0000-0000A9000000}"/>
    <cellStyle name="% 4" xfId="170" xr:uid="{00000000-0005-0000-0000-0000AA000000}"/>
    <cellStyle name="% 4 2" xfId="171" xr:uid="{00000000-0005-0000-0000-0000AB000000}"/>
    <cellStyle name="% 4 2 2" xfId="3849" xr:uid="{00000000-0005-0000-0000-0000090F0000}"/>
    <cellStyle name="% 4 3" xfId="172" xr:uid="{00000000-0005-0000-0000-0000AC000000}"/>
    <cellStyle name="% 4 3 2" xfId="3850" xr:uid="{00000000-0005-0000-0000-00000A0F0000}"/>
    <cellStyle name="% 4 4" xfId="173" xr:uid="{00000000-0005-0000-0000-0000AD000000}"/>
    <cellStyle name="% 4 4 2" xfId="3851" xr:uid="{00000000-0005-0000-0000-00000B0F0000}"/>
    <cellStyle name="% 4 5" xfId="174" xr:uid="{00000000-0005-0000-0000-0000AE000000}"/>
    <cellStyle name="% 4 5 2" xfId="3852" xr:uid="{00000000-0005-0000-0000-00000C0F0000}"/>
    <cellStyle name="% 4 6" xfId="175" xr:uid="{00000000-0005-0000-0000-0000AF000000}"/>
    <cellStyle name="% 4 6 2" xfId="3853" xr:uid="{00000000-0005-0000-0000-00000D0F0000}"/>
    <cellStyle name="% 4 7" xfId="176" xr:uid="{00000000-0005-0000-0000-0000B0000000}"/>
    <cellStyle name="% 4 8" xfId="177" xr:uid="{00000000-0005-0000-0000-0000B1000000}"/>
    <cellStyle name="% 4_ActiFijos" xfId="178" xr:uid="{00000000-0005-0000-0000-0000B2000000}"/>
    <cellStyle name="% 5" xfId="3854" xr:uid="{00000000-0005-0000-0000-00000E0F0000}"/>
    <cellStyle name="% 6" xfId="151" xr:uid="{00000000-0005-0000-0000-000097000000}"/>
    <cellStyle name="%_Balanc" xfId="179" xr:uid="{00000000-0005-0000-0000-0000B3000000}"/>
    <cellStyle name="%_Balanc 2" xfId="180" xr:uid="{00000000-0005-0000-0000-0000B4000000}"/>
    <cellStyle name="%_Balanc 2 2" xfId="3855" xr:uid="{00000000-0005-0000-0000-00000F0F0000}"/>
    <cellStyle name="%_Balanc 3" xfId="181" xr:uid="{00000000-0005-0000-0000-0000B5000000}"/>
    <cellStyle name="%_Balanc 3 2" xfId="3856" xr:uid="{00000000-0005-0000-0000-0000100F0000}"/>
    <cellStyle name="%_Balanc 4" xfId="182" xr:uid="{00000000-0005-0000-0000-0000B6000000}"/>
    <cellStyle name="%_Balanc 4 2" xfId="3857" xr:uid="{00000000-0005-0000-0000-0000110F0000}"/>
    <cellStyle name="%_Balanc 5" xfId="183" xr:uid="{00000000-0005-0000-0000-0000B7000000}"/>
    <cellStyle name="%_Balanc 5 2" xfId="3858" xr:uid="{00000000-0005-0000-0000-0000120F0000}"/>
    <cellStyle name="%_Balanc 6" xfId="184" xr:uid="{00000000-0005-0000-0000-0000B8000000}"/>
    <cellStyle name="%_Balanc 6 2" xfId="3859" xr:uid="{00000000-0005-0000-0000-0000130F0000}"/>
    <cellStyle name="%_Balanc 7" xfId="185" xr:uid="{00000000-0005-0000-0000-0000B9000000}"/>
    <cellStyle name="%_Balanc 8" xfId="186" xr:uid="{00000000-0005-0000-0000-0000BA000000}"/>
    <cellStyle name="%_Balanc_ActiFijos" xfId="187" xr:uid="{00000000-0005-0000-0000-0000BB000000}"/>
    <cellStyle name="%_Balanc_ActiFijos 2" xfId="3860" xr:uid="{00000000-0005-0000-0000-0000140F0000}"/>
    <cellStyle name="%_Balanc_C.M.E." xfId="188" xr:uid="{00000000-0005-0000-0000-0000BC000000}"/>
    <cellStyle name="%_Balanc_C.M.E. 2" xfId="3861" xr:uid="{00000000-0005-0000-0000-0000150F0000}"/>
    <cellStyle name="%_Balanc_C.M.L." xfId="189" xr:uid="{00000000-0005-0000-0000-0000BD000000}"/>
    <cellStyle name="%_Balanc_C.M.L. 2" xfId="3862" xr:uid="{00000000-0005-0000-0000-0000160F0000}"/>
    <cellStyle name="%_Balanc_Esc.Macro" xfId="190" xr:uid="{00000000-0005-0000-0000-0000BE000000}"/>
    <cellStyle name="%_Balanc_Esc.Macro 2" xfId="3863" xr:uid="{00000000-0005-0000-0000-0000170F0000}"/>
    <cellStyle name="%_Balance" xfId="191" xr:uid="{00000000-0005-0000-0000-0000BF000000}"/>
    <cellStyle name="%_Balance 2" xfId="192" xr:uid="{00000000-0005-0000-0000-0000C0000000}"/>
    <cellStyle name="%_Balance 2 2" xfId="3864" xr:uid="{00000000-0005-0000-0000-0000180F0000}"/>
    <cellStyle name="%_Balance 3" xfId="193" xr:uid="{00000000-0005-0000-0000-0000C1000000}"/>
    <cellStyle name="%_Balance 3 2" xfId="3865" xr:uid="{00000000-0005-0000-0000-0000190F0000}"/>
    <cellStyle name="%_Balance 4" xfId="194" xr:uid="{00000000-0005-0000-0000-0000C2000000}"/>
    <cellStyle name="%_Balance 4 2" xfId="3866" xr:uid="{00000000-0005-0000-0000-00001A0F0000}"/>
    <cellStyle name="%_Balance 5" xfId="195" xr:uid="{00000000-0005-0000-0000-0000C3000000}"/>
    <cellStyle name="%_Balance 5 2" xfId="3867" xr:uid="{00000000-0005-0000-0000-00001B0F0000}"/>
    <cellStyle name="%_Balance 6" xfId="196" xr:uid="{00000000-0005-0000-0000-0000C4000000}"/>
    <cellStyle name="%_Balance 6 2" xfId="3868" xr:uid="{00000000-0005-0000-0000-00001C0F0000}"/>
    <cellStyle name="%_Balance 7" xfId="197" xr:uid="{00000000-0005-0000-0000-0000C5000000}"/>
    <cellStyle name="%_Balance 8" xfId="198" xr:uid="{00000000-0005-0000-0000-0000C6000000}"/>
    <cellStyle name="%_Balance_ActiFijos" xfId="199" xr:uid="{00000000-0005-0000-0000-0000C7000000}"/>
    <cellStyle name="%_Balance_ActiFijos 2" xfId="3869" xr:uid="{00000000-0005-0000-0000-00001D0F0000}"/>
    <cellStyle name="%_Balance_C.M.E." xfId="200" xr:uid="{00000000-0005-0000-0000-0000C8000000}"/>
    <cellStyle name="%_Balance_C.M.E. 2" xfId="3870" xr:uid="{00000000-0005-0000-0000-00001E0F0000}"/>
    <cellStyle name="%_Balance_C.M.L." xfId="201" xr:uid="{00000000-0005-0000-0000-0000C9000000}"/>
    <cellStyle name="%_Balance_C.M.L. 2" xfId="3871" xr:uid="{00000000-0005-0000-0000-00001F0F0000}"/>
    <cellStyle name="%_Balance_Deuda septiembre_marcos" xfId="202" xr:uid="{00000000-0005-0000-0000-0000CA000000}"/>
    <cellStyle name="%_Balance_Esc.Macro" xfId="203" xr:uid="{00000000-0005-0000-0000-0000CB000000}"/>
    <cellStyle name="%_Balance_Esc.Macro 2" xfId="3872" xr:uid="{00000000-0005-0000-0000-0000200F0000}"/>
    <cellStyle name="%_Balance_G_Loans" xfId="204" xr:uid="{00000000-0005-0000-0000-0000CC000000}"/>
    <cellStyle name="%_Balance_G_Loans 2" xfId="3873" xr:uid="{00000000-0005-0000-0000-0000210F0000}"/>
    <cellStyle name="%_Balance_GRUPO4Q-2009 COMPLETO" xfId="3304" xr:uid="{00000000-0005-0000-0000-0000E80C0000}"/>
    <cellStyle name="%_Balance_Información relacionada" xfId="205" xr:uid="{00000000-0005-0000-0000-0000CD000000}"/>
    <cellStyle name="%_Bases_Generales" xfId="206" xr:uid="{00000000-0005-0000-0000-0000CE000000}"/>
    <cellStyle name="%_Bases_Generales 2" xfId="207" xr:uid="{00000000-0005-0000-0000-0000CF000000}"/>
    <cellStyle name="%_Bases_Generales 2 2" xfId="3874" xr:uid="{00000000-0005-0000-0000-0000220F0000}"/>
    <cellStyle name="%_Bases_Generales 3" xfId="208" xr:uid="{00000000-0005-0000-0000-0000D0000000}"/>
    <cellStyle name="%_Bases_Generales 3 2" xfId="3875" xr:uid="{00000000-0005-0000-0000-0000230F0000}"/>
    <cellStyle name="%_Bases_Generales 4" xfId="209" xr:uid="{00000000-0005-0000-0000-0000D1000000}"/>
    <cellStyle name="%_Bases_Generales 4 2" xfId="3876" xr:uid="{00000000-0005-0000-0000-0000240F0000}"/>
    <cellStyle name="%_Bases_Generales 5" xfId="210" xr:uid="{00000000-0005-0000-0000-0000D2000000}"/>
    <cellStyle name="%_Bases_Generales 5 2" xfId="3877" xr:uid="{00000000-0005-0000-0000-0000250F0000}"/>
    <cellStyle name="%_Bases_Generales 6" xfId="211" xr:uid="{00000000-0005-0000-0000-0000D3000000}"/>
    <cellStyle name="%_Bases_Generales 6 2" xfId="3878" xr:uid="{00000000-0005-0000-0000-0000260F0000}"/>
    <cellStyle name="%_Bases_Generales 7" xfId="212" xr:uid="{00000000-0005-0000-0000-0000D4000000}"/>
    <cellStyle name="%_Bases_Generales 8" xfId="213" xr:uid="{00000000-0005-0000-0000-0000D5000000}"/>
    <cellStyle name="%_Bases_Generales_1" xfId="214" xr:uid="{00000000-0005-0000-0000-0000D6000000}"/>
    <cellStyle name="%_Bases_Generales_1 2" xfId="215" xr:uid="{00000000-0005-0000-0000-0000D7000000}"/>
    <cellStyle name="%_Bases_Generales_1 2 2" xfId="3879" xr:uid="{00000000-0005-0000-0000-0000270F0000}"/>
    <cellStyle name="%_Bases_Generales_1 3" xfId="216" xr:uid="{00000000-0005-0000-0000-0000D8000000}"/>
    <cellStyle name="%_Bases_Generales_1 3 2" xfId="3880" xr:uid="{00000000-0005-0000-0000-0000280F0000}"/>
    <cellStyle name="%_Bases_Generales_1 4" xfId="217" xr:uid="{00000000-0005-0000-0000-0000D9000000}"/>
    <cellStyle name="%_Bases_Generales_1 4 2" xfId="3881" xr:uid="{00000000-0005-0000-0000-0000290F0000}"/>
    <cellStyle name="%_Bases_Generales_1 5" xfId="218" xr:uid="{00000000-0005-0000-0000-0000DA000000}"/>
    <cellStyle name="%_Bases_Generales_1 5 2" xfId="3882" xr:uid="{00000000-0005-0000-0000-00002A0F0000}"/>
    <cellStyle name="%_Bases_Generales_1 6" xfId="219" xr:uid="{00000000-0005-0000-0000-0000DB000000}"/>
    <cellStyle name="%_Bases_Generales_1 6 2" xfId="3883" xr:uid="{00000000-0005-0000-0000-00002B0F0000}"/>
    <cellStyle name="%_Bases_Generales_1 7" xfId="220" xr:uid="{00000000-0005-0000-0000-0000DC000000}"/>
    <cellStyle name="%_Bases_Generales_1 8" xfId="221" xr:uid="{00000000-0005-0000-0000-0000DD000000}"/>
    <cellStyle name="%_Bases_Generales_1_ActiFijos" xfId="222" xr:uid="{00000000-0005-0000-0000-0000DE000000}"/>
    <cellStyle name="%_Bases_Generales_1_ActiFijos 2" xfId="3884" xr:uid="{00000000-0005-0000-0000-00002C0F0000}"/>
    <cellStyle name="%_Bases_Generales_1_C.M.E." xfId="223" xr:uid="{00000000-0005-0000-0000-0000DF000000}"/>
    <cellStyle name="%_Bases_Generales_1_C.M.E. 2" xfId="3885" xr:uid="{00000000-0005-0000-0000-00002D0F0000}"/>
    <cellStyle name="%_Bases_Generales_1_C.M.L." xfId="224" xr:uid="{00000000-0005-0000-0000-0000E0000000}"/>
    <cellStyle name="%_Bases_Generales_1_C.M.L. 2" xfId="3886" xr:uid="{00000000-0005-0000-0000-00002E0F0000}"/>
    <cellStyle name="%_Bases_Generales_1_Esc.Macro" xfId="225" xr:uid="{00000000-0005-0000-0000-0000E1000000}"/>
    <cellStyle name="%_Bases_Generales_1_Esc.Macro 2" xfId="3887" xr:uid="{00000000-0005-0000-0000-00002F0F0000}"/>
    <cellStyle name="%_Bases_Generales_1_G_Loans" xfId="226" xr:uid="{00000000-0005-0000-0000-0000E2000000}"/>
    <cellStyle name="%_Bases_Generales_1_G_Loans 2" xfId="3888" xr:uid="{00000000-0005-0000-0000-0000300F0000}"/>
    <cellStyle name="%_Bases_Generales_2" xfId="227" xr:uid="{00000000-0005-0000-0000-0000E3000000}"/>
    <cellStyle name="%_Bases_Generales_2 2" xfId="228" xr:uid="{00000000-0005-0000-0000-0000E4000000}"/>
    <cellStyle name="%_Bases_Generales_2 2 2" xfId="3889" xr:uid="{00000000-0005-0000-0000-0000310F0000}"/>
    <cellStyle name="%_Bases_Generales_2 3" xfId="229" xr:uid="{00000000-0005-0000-0000-0000E5000000}"/>
    <cellStyle name="%_Bases_Generales_2 3 2" xfId="3890" xr:uid="{00000000-0005-0000-0000-0000320F0000}"/>
    <cellStyle name="%_Bases_Generales_2 4" xfId="230" xr:uid="{00000000-0005-0000-0000-0000E6000000}"/>
    <cellStyle name="%_Bases_Generales_2 5" xfId="231" xr:uid="{00000000-0005-0000-0000-0000E7000000}"/>
    <cellStyle name="%_Bases_Generales_2_ActiFijos" xfId="232" xr:uid="{00000000-0005-0000-0000-0000E8000000}"/>
    <cellStyle name="%_Bases_Generales_2_ActiFijos 2" xfId="3891" xr:uid="{00000000-0005-0000-0000-0000330F0000}"/>
    <cellStyle name="%_Bases_Generales_ActiFijos" xfId="233" xr:uid="{00000000-0005-0000-0000-0000E9000000}"/>
    <cellStyle name="%_Bases_Generales_ActiFijos 2" xfId="3892" xr:uid="{00000000-0005-0000-0000-0000340F0000}"/>
    <cellStyle name="%_Bases_Generales_C.M.E." xfId="234" xr:uid="{00000000-0005-0000-0000-0000EA000000}"/>
    <cellStyle name="%_Bases_Generales_C.M.E. 2" xfId="3893" xr:uid="{00000000-0005-0000-0000-0000350F0000}"/>
    <cellStyle name="%_Bases_Generales_C.M.L." xfId="235" xr:uid="{00000000-0005-0000-0000-0000EB000000}"/>
    <cellStyle name="%_Bases_Generales_C.M.L. 2" xfId="3894" xr:uid="{00000000-0005-0000-0000-0000360F0000}"/>
    <cellStyle name="%_Bases_Generales_Deuda septiembre_marcos" xfId="236" xr:uid="{00000000-0005-0000-0000-0000EC000000}"/>
    <cellStyle name="%_Bases_Generales_Esc.Macro" xfId="237" xr:uid="{00000000-0005-0000-0000-0000ED000000}"/>
    <cellStyle name="%_Bases_Generales_Esc.Macro 2" xfId="3895" xr:uid="{00000000-0005-0000-0000-0000370F0000}"/>
    <cellStyle name="%_Bases_Generales_G_Loans" xfId="238" xr:uid="{00000000-0005-0000-0000-0000EE000000}"/>
    <cellStyle name="%_Bases_Generales_G_Loans 2" xfId="3896" xr:uid="{00000000-0005-0000-0000-0000380F0000}"/>
    <cellStyle name="%_Bases_Generales_GRUPO4Q-2009 COMPLETO" xfId="3305" xr:uid="{00000000-0005-0000-0000-0000E90C0000}"/>
    <cellStyle name="%_Bases_Generales_Información relacionada" xfId="239" xr:uid="{00000000-0005-0000-0000-0000EF000000}"/>
    <cellStyle name="%_C.M.E." xfId="240" xr:uid="{00000000-0005-0000-0000-0000F0000000}"/>
    <cellStyle name="%_C.M.E. 2" xfId="3897" xr:uid="{00000000-0005-0000-0000-0000390F0000}"/>
    <cellStyle name="%_C.M.E._1" xfId="241" xr:uid="{00000000-0005-0000-0000-0000F1000000}"/>
    <cellStyle name="%_C.M.E._1 2" xfId="242" xr:uid="{00000000-0005-0000-0000-0000F2000000}"/>
    <cellStyle name="%_C.M.E._1 2 2" xfId="3898" xr:uid="{00000000-0005-0000-0000-00003A0F0000}"/>
    <cellStyle name="%_C.M.E._1 3" xfId="243" xr:uid="{00000000-0005-0000-0000-0000F3000000}"/>
    <cellStyle name="%_C.M.E._1 3 2" xfId="3899" xr:uid="{00000000-0005-0000-0000-00003B0F0000}"/>
    <cellStyle name="%_C.M.E._1 4" xfId="244" xr:uid="{00000000-0005-0000-0000-0000F4000000}"/>
    <cellStyle name="%_C.M.E._1 4 2" xfId="3900" xr:uid="{00000000-0005-0000-0000-00003C0F0000}"/>
    <cellStyle name="%_C.M.E._1 5" xfId="245" xr:uid="{00000000-0005-0000-0000-0000F5000000}"/>
    <cellStyle name="%_C.M.E._1 5 2" xfId="3901" xr:uid="{00000000-0005-0000-0000-00003D0F0000}"/>
    <cellStyle name="%_C.M.E._1 6" xfId="246" xr:uid="{00000000-0005-0000-0000-0000F6000000}"/>
    <cellStyle name="%_C.M.E._1 6 2" xfId="3902" xr:uid="{00000000-0005-0000-0000-00003E0F0000}"/>
    <cellStyle name="%_C.M.E._1 7" xfId="247" xr:uid="{00000000-0005-0000-0000-0000F7000000}"/>
    <cellStyle name="%_C.M.E._1 8" xfId="248" xr:uid="{00000000-0005-0000-0000-0000F8000000}"/>
    <cellStyle name="%_C.M.E._1_ActiFijos" xfId="249" xr:uid="{00000000-0005-0000-0000-0000F9000000}"/>
    <cellStyle name="%_C.M.E._1_ActiFijos 2" xfId="3903" xr:uid="{00000000-0005-0000-0000-00003F0F0000}"/>
    <cellStyle name="%_C.M.L." xfId="250" xr:uid="{00000000-0005-0000-0000-0000FA000000}"/>
    <cellStyle name="%_C.M.L. 2" xfId="251" xr:uid="{00000000-0005-0000-0000-0000FB000000}"/>
    <cellStyle name="%_C.M.L. 2 2" xfId="3904" xr:uid="{00000000-0005-0000-0000-0000400F0000}"/>
    <cellStyle name="%_C.M.L. 3" xfId="252" xr:uid="{00000000-0005-0000-0000-0000FC000000}"/>
    <cellStyle name="%_C.M.L. 3 2" xfId="3905" xr:uid="{00000000-0005-0000-0000-0000410F0000}"/>
    <cellStyle name="%_C.M.L. 4" xfId="253" xr:uid="{00000000-0005-0000-0000-0000FD000000}"/>
    <cellStyle name="%_C.M.L. 4 2" xfId="3906" xr:uid="{00000000-0005-0000-0000-0000420F0000}"/>
    <cellStyle name="%_C.M.L. 5" xfId="254" xr:uid="{00000000-0005-0000-0000-0000FE000000}"/>
    <cellStyle name="%_C.M.L. 5 2" xfId="3907" xr:uid="{00000000-0005-0000-0000-0000430F0000}"/>
    <cellStyle name="%_C.M.L. 6" xfId="255" xr:uid="{00000000-0005-0000-0000-0000FF000000}"/>
    <cellStyle name="%_C.M.L. 6 2" xfId="3908" xr:uid="{00000000-0005-0000-0000-0000440F0000}"/>
    <cellStyle name="%_C.M.L. 7" xfId="256" xr:uid="{00000000-0005-0000-0000-000000010000}"/>
    <cellStyle name="%_C.M.L. 8" xfId="257" xr:uid="{00000000-0005-0000-0000-000001010000}"/>
    <cellStyle name="%_C.M.L._1" xfId="258" xr:uid="{00000000-0005-0000-0000-000002010000}"/>
    <cellStyle name="%_C.M.L._1 2" xfId="259" xr:uid="{00000000-0005-0000-0000-000003010000}"/>
    <cellStyle name="%_C.M.L._1 2 2" xfId="3909" xr:uid="{00000000-0005-0000-0000-0000450F0000}"/>
    <cellStyle name="%_C.M.L._1 3" xfId="260" xr:uid="{00000000-0005-0000-0000-000004010000}"/>
    <cellStyle name="%_C.M.L._1 3 2" xfId="3910" xr:uid="{00000000-0005-0000-0000-0000460F0000}"/>
    <cellStyle name="%_C.M.L._1 4" xfId="261" xr:uid="{00000000-0005-0000-0000-000005010000}"/>
    <cellStyle name="%_C.M.L._1 4 2" xfId="3911" xr:uid="{00000000-0005-0000-0000-0000470F0000}"/>
    <cellStyle name="%_C.M.L._1 5" xfId="262" xr:uid="{00000000-0005-0000-0000-000006010000}"/>
    <cellStyle name="%_C.M.L._1 5 2" xfId="3912" xr:uid="{00000000-0005-0000-0000-0000480F0000}"/>
    <cellStyle name="%_C.M.L._1 6" xfId="263" xr:uid="{00000000-0005-0000-0000-000007010000}"/>
    <cellStyle name="%_C.M.L._1 6 2" xfId="3913" xr:uid="{00000000-0005-0000-0000-0000490F0000}"/>
    <cellStyle name="%_C.M.L._1 7" xfId="264" xr:uid="{00000000-0005-0000-0000-000008010000}"/>
    <cellStyle name="%_C.M.L._1 8" xfId="265" xr:uid="{00000000-0005-0000-0000-000009010000}"/>
    <cellStyle name="%_C.M.L._1_ActiFijos" xfId="266" xr:uid="{00000000-0005-0000-0000-00000A010000}"/>
    <cellStyle name="%_C.M.L._1_ActiFijos 2" xfId="3914" xr:uid="{00000000-0005-0000-0000-00004A0F0000}"/>
    <cellStyle name="%_C.M.L._1_C.M.E." xfId="267" xr:uid="{00000000-0005-0000-0000-00000B010000}"/>
    <cellStyle name="%_C.M.L._1_C.M.E. 2" xfId="3915" xr:uid="{00000000-0005-0000-0000-00004B0F0000}"/>
    <cellStyle name="%_C.M.L._1_C.M.L." xfId="268" xr:uid="{00000000-0005-0000-0000-00000C010000}"/>
    <cellStyle name="%_C.M.L._1_C.M.L. 2" xfId="3916" xr:uid="{00000000-0005-0000-0000-00004C0F0000}"/>
    <cellStyle name="%_C.M.L._1_Esc.Macro" xfId="269" xr:uid="{00000000-0005-0000-0000-00000D010000}"/>
    <cellStyle name="%_C.M.L._1_Esc.Macro 2" xfId="3917" xr:uid="{00000000-0005-0000-0000-00004D0F0000}"/>
    <cellStyle name="%_C.M.L._1_G_Loans" xfId="270" xr:uid="{00000000-0005-0000-0000-00000E010000}"/>
    <cellStyle name="%_C.M.L._1_G_Loans 2" xfId="3918" xr:uid="{00000000-0005-0000-0000-00004E0F0000}"/>
    <cellStyle name="%_C.M.L._2" xfId="271" xr:uid="{00000000-0005-0000-0000-00000F010000}"/>
    <cellStyle name="%_C.M.L._2 2" xfId="272" xr:uid="{00000000-0005-0000-0000-000010010000}"/>
    <cellStyle name="%_C.M.L._2 2 2" xfId="3919" xr:uid="{00000000-0005-0000-0000-00004F0F0000}"/>
    <cellStyle name="%_C.M.L._2 3" xfId="273" xr:uid="{00000000-0005-0000-0000-000011010000}"/>
    <cellStyle name="%_C.M.L._2 3 2" xfId="3920" xr:uid="{00000000-0005-0000-0000-0000500F0000}"/>
    <cellStyle name="%_C.M.L._2 4" xfId="274" xr:uid="{00000000-0005-0000-0000-000012010000}"/>
    <cellStyle name="%_C.M.L._2 4 2" xfId="3921" xr:uid="{00000000-0005-0000-0000-0000510F0000}"/>
    <cellStyle name="%_C.M.L._2 5" xfId="275" xr:uid="{00000000-0005-0000-0000-000013010000}"/>
    <cellStyle name="%_C.M.L._2 5 2" xfId="3922" xr:uid="{00000000-0005-0000-0000-0000520F0000}"/>
    <cellStyle name="%_C.M.L._2 6" xfId="276" xr:uid="{00000000-0005-0000-0000-000014010000}"/>
    <cellStyle name="%_C.M.L._2 6 2" xfId="3923" xr:uid="{00000000-0005-0000-0000-0000530F0000}"/>
    <cellStyle name="%_C.M.L._2 7" xfId="277" xr:uid="{00000000-0005-0000-0000-000015010000}"/>
    <cellStyle name="%_C.M.L._2 8" xfId="278" xr:uid="{00000000-0005-0000-0000-000016010000}"/>
    <cellStyle name="%_C.M.L._2_ActiFijos" xfId="279" xr:uid="{00000000-0005-0000-0000-000017010000}"/>
    <cellStyle name="%_C.M.L._2_ActiFijos 2" xfId="3924" xr:uid="{00000000-0005-0000-0000-0000540F0000}"/>
    <cellStyle name="%_C.M.L._2_C.M.E." xfId="280" xr:uid="{00000000-0005-0000-0000-000018010000}"/>
    <cellStyle name="%_C.M.L._2_C.M.E. 2" xfId="3925" xr:uid="{00000000-0005-0000-0000-0000550F0000}"/>
    <cellStyle name="%_C.M.L._2_C.M.L." xfId="281" xr:uid="{00000000-0005-0000-0000-000019010000}"/>
    <cellStyle name="%_C.M.L._2_C.M.L. 2" xfId="3926" xr:uid="{00000000-0005-0000-0000-0000560F0000}"/>
    <cellStyle name="%_C.M.L._2_Esc.Macro" xfId="282" xr:uid="{00000000-0005-0000-0000-00001A010000}"/>
    <cellStyle name="%_C.M.L._2_Esc.Macro 2" xfId="3927" xr:uid="{00000000-0005-0000-0000-0000570F0000}"/>
    <cellStyle name="%_C.M.L._ActiFijos" xfId="283" xr:uid="{00000000-0005-0000-0000-00001B010000}"/>
    <cellStyle name="%_C.M.L._ActiFijos 2" xfId="3928" xr:uid="{00000000-0005-0000-0000-0000580F0000}"/>
    <cellStyle name="%_C.M.L._C.M.E." xfId="284" xr:uid="{00000000-0005-0000-0000-00001C010000}"/>
    <cellStyle name="%_C.M.L._C.M.E. 2" xfId="3929" xr:uid="{00000000-0005-0000-0000-0000590F0000}"/>
    <cellStyle name="%_C.M.L._C.M.L." xfId="285" xr:uid="{00000000-0005-0000-0000-00001D010000}"/>
    <cellStyle name="%_C.M.L._C.M.L. 2" xfId="3930" xr:uid="{00000000-0005-0000-0000-00005A0F0000}"/>
    <cellStyle name="%_C.M.L._Deuda septiembre_marcos" xfId="286" xr:uid="{00000000-0005-0000-0000-00001E010000}"/>
    <cellStyle name="%_C.M.L._Esc.Macro" xfId="287" xr:uid="{00000000-0005-0000-0000-00001F010000}"/>
    <cellStyle name="%_C.M.L._Esc.Macro 2" xfId="3931" xr:uid="{00000000-0005-0000-0000-00005B0F0000}"/>
    <cellStyle name="%_C.M.L._G_Loans" xfId="288" xr:uid="{00000000-0005-0000-0000-000020010000}"/>
    <cellStyle name="%_C.M.L._G_Loans 2" xfId="3932" xr:uid="{00000000-0005-0000-0000-00005C0F0000}"/>
    <cellStyle name="%_C.M.L._GRUPO4Q-2009 COMPLETO" xfId="3306" xr:uid="{00000000-0005-0000-0000-0000EA0C0000}"/>
    <cellStyle name="%_C.M.L._Información relacionada" xfId="289" xr:uid="{00000000-0005-0000-0000-000021010000}"/>
    <cellStyle name="%_Caja2007" xfId="290" xr:uid="{00000000-0005-0000-0000-000022010000}"/>
    <cellStyle name="%_Caja2007 2" xfId="291" xr:uid="{00000000-0005-0000-0000-000023010000}"/>
    <cellStyle name="%_Caja2007 2 2" xfId="3933" xr:uid="{00000000-0005-0000-0000-00005D0F0000}"/>
    <cellStyle name="%_Caja2007 3" xfId="292" xr:uid="{00000000-0005-0000-0000-000024010000}"/>
    <cellStyle name="%_Caja2007 3 2" xfId="3934" xr:uid="{00000000-0005-0000-0000-00005E0F0000}"/>
    <cellStyle name="%_Caja2007 4" xfId="293" xr:uid="{00000000-0005-0000-0000-000025010000}"/>
    <cellStyle name="%_Caja2007 4 2" xfId="3935" xr:uid="{00000000-0005-0000-0000-00005F0F0000}"/>
    <cellStyle name="%_Caja2007 5" xfId="294" xr:uid="{00000000-0005-0000-0000-000026010000}"/>
    <cellStyle name="%_Caja2007 5 2" xfId="3936" xr:uid="{00000000-0005-0000-0000-0000600F0000}"/>
    <cellStyle name="%_Caja2007 6" xfId="295" xr:uid="{00000000-0005-0000-0000-000027010000}"/>
    <cellStyle name="%_Caja2007 6 2" xfId="3937" xr:uid="{00000000-0005-0000-0000-0000610F0000}"/>
    <cellStyle name="%_Caja2007 7" xfId="296" xr:uid="{00000000-0005-0000-0000-000028010000}"/>
    <cellStyle name="%_Caja2007 8" xfId="297" xr:uid="{00000000-0005-0000-0000-000029010000}"/>
    <cellStyle name="%_Caja2007_ActiFijos" xfId="298" xr:uid="{00000000-0005-0000-0000-00002A010000}"/>
    <cellStyle name="%_Caja2007_ActiFijos 2" xfId="3938" xr:uid="{00000000-0005-0000-0000-0000620F0000}"/>
    <cellStyle name="%_Caja2007_C.M.E." xfId="299" xr:uid="{00000000-0005-0000-0000-00002B010000}"/>
    <cellStyle name="%_Caja2007_C.M.E. 2" xfId="3939" xr:uid="{00000000-0005-0000-0000-0000630F0000}"/>
    <cellStyle name="%_Caja2007_C.M.L." xfId="300" xr:uid="{00000000-0005-0000-0000-00002C010000}"/>
    <cellStyle name="%_Caja2007_C.M.L. 2" xfId="3940" xr:uid="{00000000-0005-0000-0000-0000640F0000}"/>
    <cellStyle name="%_Caja2007_Deuda septiembre_marcos" xfId="301" xr:uid="{00000000-0005-0000-0000-00002D010000}"/>
    <cellStyle name="%_Caja2007_Esc.Macro" xfId="302" xr:uid="{00000000-0005-0000-0000-00002E010000}"/>
    <cellStyle name="%_Caja2007_Esc.Macro 2" xfId="3941" xr:uid="{00000000-0005-0000-0000-0000650F0000}"/>
    <cellStyle name="%_Caja2007_G_Loans" xfId="303" xr:uid="{00000000-0005-0000-0000-00002F010000}"/>
    <cellStyle name="%_Caja2007_G_Loans 2" xfId="3942" xr:uid="{00000000-0005-0000-0000-0000660F0000}"/>
    <cellStyle name="%_Caja2007_GRUPO4Q-2009 COMPLETO" xfId="3307" xr:uid="{00000000-0005-0000-0000-0000EB0C0000}"/>
    <cellStyle name="%_Caja2007_Información relacionada" xfId="304" xr:uid="{00000000-0005-0000-0000-000030010000}"/>
    <cellStyle name="%_Datos Presentación" xfId="305" xr:uid="{00000000-0005-0000-0000-000031010000}"/>
    <cellStyle name="%_Datos Presentación_GRUPO4Q-2009 COMPLETO" xfId="3308" xr:uid="{00000000-0005-0000-0000-0000EC0C0000}"/>
    <cellStyle name="%_Deuda septiembre_marcos" xfId="306" xr:uid="{00000000-0005-0000-0000-000032010000}"/>
    <cellStyle name="%_ER08" xfId="307" xr:uid="{00000000-0005-0000-0000-000033010000}"/>
    <cellStyle name="%_ER08 2" xfId="308" xr:uid="{00000000-0005-0000-0000-000034010000}"/>
    <cellStyle name="%_ER08 2 2" xfId="3943" xr:uid="{00000000-0005-0000-0000-0000670F0000}"/>
    <cellStyle name="%_ER08 3" xfId="309" xr:uid="{00000000-0005-0000-0000-000035010000}"/>
    <cellStyle name="%_ER08 3 2" xfId="3944" xr:uid="{00000000-0005-0000-0000-0000680F0000}"/>
    <cellStyle name="%_ER08 4" xfId="310" xr:uid="{00000000-0005-0000-0000-000036010000}"/>
    <cellStyle name="%_ER08 4 2" xfId="3945" xr:uid="{00000000-0005-0000-0000-0000690F0000}"/>
    <cellStyle name="%_ER08 5" xfId="311" xr:uid="{00000000-0005-0000-0000-000037010000}"/>
    <cellStyle name="%_ER08 5 2" xfId="3946" xr:uid="{00000000-0005-0000-0000-00006A0F0000}"/>
    <cellStyle name="%_ER08 6" xfId="312" xr:uid="{00000000-0005-0000-0000-000038010000}"/>
    <cellStyle name="%_ER08 6 2" xfId="3947" xr:uid="{00000000-0005-0000-0000-00006B0F0000}"/>
    <cellStyle name="%_ER08 7" xfId="313" xr:uid="{00000000-0005-0000-0000-000039010000}"/>
    <cellStyle name="%_ER08 8" xfId="314" xr:uid="{00000000-0005-0000-0000-00003A010000}"/>
    <cellStyle name="%_ER08_ActiFijos" xfId="315" xr:uid="{00000000-0005-0000-0000-00003B010000}"/>
    <cellStyle name="%_ER08_ActiFijos 2" xfId="3948" xr:uid="{00000000-0005-0000-0000-00006C0F0000}"/>
    <cellStyle name="%_ER08_C.M.E." xfId="316" xr:uid="{00000000-0005-0000-0000-00003C010000}"/>
    <cellStyle name="%_ER08_C.M.E. 2" xfId="3949" xr:uid="{00000000-0005-0000-0000-00006D0F0000}"/>
    <cellStyle name="%_ER08_C.M.L." xfId="317" xr:uid="{00000000-0005-0000-0000-00003D010000}"/>
    <cellStyle name="%_ER08_C.M.L. 2" xfId="3950" xr:uid="{00000000-0005-0000-0000-00006E0F0000}"/>
    <cellStyle name="%_ER08_Esc.Macro" xfId="318" xr:uid="{00000000-0005-0000-0000-00003E010000}"/>
    <cellStyle name="%_ER08_Esc.Macro 2" xfId="3951" xr:uid="{00000000-0005-0000-0000-00006F0F0000}"/>
    <cellStyle name="%_ER08_G_Loans" xfId="319" xr:uid="{00000000-0005-0000-0000-00003F010000}"/>
    <cellStyle name="%_ER08_G_Loans 2" xfId="3952" xr:uid="{00000000-0005-0000-0000-0000700F0000}"/>
    <cellStyle name="%_G_Loans" xfId="320" xr:uid="{00000000-0005-0000-0000-000040010000}"/>
    <cellStyle name="%_G_Loans 2" xfId="321" xr:uid="{00000000-0005-0000-0000-000041010000}"/>
    <cellStyle name="%_G_Loans 2 2" xfId="3953" xr:uid="{00000000-0005-0000-0000-0000710F0000}"/>
    <cellStyle name="%_G_Loans 3" xfId="322" xr:uid="{00000000-0005-0000-0000-000042010000}"/>
    <cellStyle name="%_G_Loans 3 2" xfId="3954" xr:uid="{00000000-0005-0000-0000-0000720F0000}"/>
    <cellStyle name="%_G_Loans 4" xfId="323" xr:uid="{00000000-0005-0000-0000-000043010000}"/>
    <cellStyle name="%_G_Loans 4 2" xfId="3955" xr:uid="{00000000-0005-0000-0000-0000730F0000}"/>
    <cellStyle name="%_G_Loans 5" xfId="324" xr:uid="{00000000-0005-0000-0000-000044010000}"/>
    <cellStyle name="%_G_Loans 5 2" xfId="3956" xr:uid="{00000000-0005-0000-0000-0000740F0000}"/>
    <cellStyle name="%_G_Loans 6" xfId="325" xr:uid="{00000000-0005-0000-0000-000045010000}"/>
    <cellStyle name="%_G_Loans 6 2" xfId="3957" xr:uid="{00000000-0005-0000-0000-0000750F0000}"/>
    <cellStyle name="%_G_Loans 7" xfId="326" xr:uid="{00000000-0005-0000-0000-000046010000}"/>
    <cellStyle name="%_G_Loans 8" xfId="327" xr:uid="{00000000-0005-0000-0000-000047010000}"/>
    <cellStyle name="%_G_Loans_ActiFijos" xfId="328" xr:uid="{00000000-0005-0000-0000-000048010000}"/>
    <cellStyle name="%_G_Loans_ActiFijos 2" xfId="3958" xr:uid="{00000000-0005-0000-0000-0000760F0000}"/>
    <cellStyle name="%_GRUPO4Q-2009 COMPLETO" xfId="3309" xr:uid="{00000000-0005-0000-0000-0000ED0C0000}"/>
    <cellStyle name="%_Indicadores" xfId="329" xr:uid="{00000000-0005-0000-0000-000049010000}"/>
    <cellStyle name="%_Indicadores 2" xfId="330" xr:uid="{00000000-0005-0000-0000-00004A010000}"/>
    <cellStyle name="%_Indicadores 2 2" xfId="3959" xr:uid="{00000000-0005-0000-0000-0000770F0000}"/>
    <cellStyle name="%_Indicadores 3" xfId="331" xr:uid="{00000000-0005-0000-0000-00004B010000}"/>
    <cellStyle name="%_Indicadores 3 2" xfId="3960" xr:uid="{00000000-0005-0000-0000-0000780F0000}"/>
    <cellStyle name="%_Indicadores 4" xfId="332" xr:uid="{00000000-0005-0000-0000-00004C010000}"/>
    <cellStyle name="%_Indicadores 4 2" xfId="3961" xr:uid="{00000000-0005-0000-0000-0000790F0000}"/>
    <cellStyle name="%_Indicadores 5" xfId="333" xr:uid="{00000000-0005-0000-0000-00004D010000}"/>
    <cellStyle name="%_Indicadores 5 2" xfId="3962" xr:uid="{00000000-0005-0000-0000-00007A0F0000}"/>
    <cellStyle name="%_Indicadores 6" xfId="334" xr:uid="{00000000-0005-0000-0000-00004E010000}"/>
    <cellStyle name="%_Indicadores 6 2" xfId="3963" xr:uid="{00000000-0005-0000-0000-00007B0F0000}"/>
    <cellStyle name="%_Indicadores 7" xfId="335" xr:uid="{00000000-0005-0000-0000-00004F010000}"/>
    <cellStyle name="%_Indicadores 8" xfId="336" xr:uid="{00000000-0005-0000-0000-000050010000}"/>
    <cellStyle name="%_Indicadores_ActiFijos" xfId="337" xr:uid="{00000000-0005-0000-0000-000051010000}"/>
    <cellStyle name="%_Indicadores_ActiFijos 2" xfId="3964" xr:uid="{00000000-0005-0000-0000-00007C0F0000}"/>
    <cellStyle name="%_Indicadores_C.M.E." xfId="338" xr:uid="{00000000-0005-0000-0000-000052010000}"/>
    <cellStyle name="%_Indicadores_C.M.E. 2" xfId="3965" xr:uid="{00000000-0005-0000-0000-00007D0F0000}"/>
    <cellStyle name="%_Indicadores_C.M.L." xfId="339" xr:uid="{00000000-0005-0000-0000-000053010000}"/>
    <cellStyle name="%_Indicadores_C.M.L. 2" xfId="3966" xr:uid="{00000000-0005-0000-0000-00007E0F0000}"/>
    <cellStyle name="%_Indicadores_Esc.Macro" xfId="340" xr:uid="{00000000-0005-0000-0000-000054010000}"/>
    <cellStyle name="%_Indicadores_Esc.Macro 2" xfId="3967" xr:uid="{00000000-0005-0000-0000-00007F0F0000}"/>
    <cellStyle name="%_Indicadores_G_Loans" xfId="341" xr:uid="{00000000-0005-0000-0000-000055010000}"/>
    <cellStyle name="%_Indicadores_G_Loans 2" xfId="3968" xr:uid="{00000000-0005-0000-0000-0000800F0000}"/>
    <cellStyle name="%_Mov Balance" xfId="342" xr:uid="{00000000-0005-0000-0000-000056010000}"/>
    <cellStyle name="%_Mov Balance 2" xfId="343" xr:uid="{00000000-0005-0000-0000-000057010000}"/>
    <cellStyle name="%_Mov Balance 2 2" xfId="3969" xr:uid="{00000000-0005-0000-0000-0000810F0000}"/>
    <cellStyle name="%_Mov Balance 3" xfId="344" xr:uid="{00000000-0005-0000-0000-000058010000}"/>
    <cellStyle name="%_Mov Balance 3 2" xfId="3970" xr:uid="{00000000-0005-0000-0000-0000820F0000}"/>
    <cellStyle name="%_Mov Balance 4" xfId="345" xr:uid="{00000000-0005-0000-0000-000059010000}"/>
    <cellStyle name="%_Mov Balance 4 2" xfId="3971" xr:uid="{00000000-0005-0000-0000-0000830F0000}"/>
    <cellStyle name="%_Mov Balance 5" xfId="346" xr:uid="{00000000-0005-0000-0000-00005A010000}"/>
    <cellStyle name="%_Mov Balance 5 2" xfId="3972" xr:uid="{00000000-0005-0000-0000-0000840F0000}"/>
    <cellStyle name="%_Mov Balance 6" xfId="347" xr:uid="{00000000-0005-0000-0000-00005B010000}"/>
    <cellStyle name="%_Mov Balance 6 2" xfId="3973" xr:uid="{00000000-0005-0000-0000-0000850F0000}"/>
    <cellStyle name="%_Mov Balance 7" xfId="348" xr:uid="{00000000-0005-0000-0000-00005C010000}"/>
    <cellStyle name="%_Mov Balance 8" xfId="349" xr:uid="{00000000-0005-0000-0000-00005D010000}"/>
    <cellStyle name="%_Mov Balance_ActiFijos" xfId="350" xr:uid="{00000000-0005-0000-0000-00005E010000}"/>
    <cellStyle name="%_Mov Balance_ActiFijos 2" xfId="3974" xr:uid="{00000000-0005-0000-0000-0000860F0000}"/>
    <cellStyle name="%_Mov Balance_C.M.E." xfId="351" xr:uid="{00000000-0005-0000-0000-00005F010000}"/>
    <cellStyle name="%_Mov Balance_C.M.E. 2" xfId="3975" xr:uid="{00000000-0005-0000-0000-0000870F0000}"/>
    <cellStyle name="%_Mov Balance_C.M.L." xfId="352" xr:uid="{00000000-0005-0000-0000-000060010000}"/>
    <cellStyle name="%_Mov Balance_C.M.L. 2" xfId="3976" xr:uid="{00000000-0005-0000-0000-0000880F0000}"/>
    <cellStyle name="%_Mov Balance_Deuda septiembre_marcos" xfId="353" xr:uid="{00000000-0005-0000-0000-000061010000}"/>
    <cellStyle name="%_Mov Balance_Esc.Macro" xfId="354" xr:uid="{00000000-0005-0000-0000-000062010000}"/>
    <cellStyle name="%_Mov Balance_Esc.Macro 2" xfId="3977" xr:uid="{00000000-0005-0000-0000-0000890F0000}"/>
    <cellStyle name="%_Mov Balance_G_Loans" xfId="355" xr:uid="{00000000-0005-0000-0000-000063010000}"/>
    <cellStyle name="%_Mov Balance_G_Loans 2" xfId="3978" xr:uid="{00000000-0005-0000-0000-00008A0F0000}"/>
    <cellStyle name="%_Mov Balance_GRUPO4Q-2009 COMPLETO" xfId="3310" xr:uid="{00000000-0005-0000-0000-0000EE0C0000}"/>
    <cellStyle name="%_Mov Balance_Información relacionada" xfId="356" xr:uid="{00000000-0005-0000-0000-000064010000}"/>
    <cellStyle name="%_NOTA BONOS Y O.FRAS 2008" xfId="3311" xr:uid="{00000000-0005-0000-0000-0000EF0C0000}"/>
    <cellStyle name="%_PPT Final" xfId="357" xr:uid="{00000000-0005-0000-0000-000065010000}"/>
    <cellStyle name="%_Renta" xfId="358" xr:uid="{00000000-0005-0000-0000-000066010000}"/>
    <cellStyle name="%_Renta 2" xfId="359" xr:uid="{00000000-0005-0000-0000-000067010000}"/>
    <cellStyle name="%_Renta 3" xfId="360" xr:uid="{00000000-0005-0000-0000-000068010000}"/>
    <cellStyle name="%_Renta_Deuda septiembre_marcos" xfId="361" xr:uid="{00000000-0005-0000-0000-000069010000}"/>
    <cellStyle name="%_Renta_PPT Final" xfId="362" xr:uid="{00000000-0005-0000-0000-00006A010000}"/>
    <cellStyle name="%_Renta_Vida Media ISA_" xfId="363" xr:uid="{00000000-0005-0000-0000-00006B010000}"/>
    <cellStyle name="%_Tablas presentaciones ISA - March 2008" xfId="364" xr:uid="{00000000-0005-0000-0000-00006C010000}"/>
    <cellStyle name="%_Tablas presentaciones ISA - March 2008 2" xfId="3979" xr:uid="{00000000-0005-0000-0000-00008B0F0000}"/>
    <cellStyle name="%_TRANSELCA" xfId="3312" xr:uid="{00000000-0005-0000-0000-0000F00C0000}"/>
    <cellStyle name="%0" xfId="365" xr:uid="{00000000-0005-0000-0000-00006D010000}"/>
    <cellStyle name="%0.0" xfId="366" xr:uid="{00000000-0005-0000-0000-00006E010000}"/>
    <cellStyle name="_Modelo Bocas de Ceniza 4" xfId="367" xr:uid="{00000000-0005-0000-0000-00006F010000}"/>
    <cellStyle name="_Modelo Bocas de Ceniza 4 2" xfId="368" xr:uid="{00000000-0005-0000-0000-000070010000}"/>
    <cellStyle name="_Modelo Bocas de Ceniza 4 2 2" xfId="369" xr:uid="{00000000-0005-0000-0000-000071010000}"/>
    <cellStyle name="_Modelo Bocas de Ceniza 4 2 2_PPT Final" xfId="370" xr:uid="{00000000-0005-0000-0000-000072010000}"/>
    <cellStyle name="_Modelo Bocas de Ceniza 4 2 2_Vida Media ISA_" xfId="371" xr:uid="{00000000-0005-0000-0000-000073010000}"/>
    <cellStyle name="_Modelo Bocas de Ceniza 4 2 3" xfId="372" xr:uid="{00000000-0005-0000-0000-000074010000}"/>
    <cellStyle name="_Modelo Bocas de Ceniza 4 2 3_PPT Final" xfId="373" xr:uid="{00000000-0005-0000-0000-000075010000}"/>
    <cellStyle name="_Modelo Bocas de Ceniza 4 2 3_Vida Media ISA_" xfId="374" xr:uid="{00000000-0005-0000-0000-000076010000}"/>
    <cellStyle name="_Modelo Bocas de Ceniza 4 2 4" xfId="375" xr:uid="{00000000-0005-0000-0000-000077010000}"/>
    <cellStyle name="_Modelo Bocas de Ceniza 4 2 4_PPT Final" xfId="376" xr:uid="{00000000-0005-0000-0000-000078010000}"/>
    <cellStyle name="_Modelo Bocas de Ceniza 4 2 4_Vida Media ISA_" xfId="377" xr:uid="{00000000-0005-0000-0000-000079010000}"/>
    <cellStyle name="_Modelo Bocas de Ceniza 4 2 5" xfId="378" xr:uid="{00000000-0005-0000-0000-00007A010000}"/>
    <cellStyle name="_Modelo Bocas de Ceniza 4 2 6" xfId="379" xr:uid="{00000000-0005-0000-0000-00007B010000}"/>
    <cellStyle name="_Modelo Bocas de Ceniza 4 2 7" xfId="380" xr:uid="{00000000-0005-0000-0000-00007C010000}"/>
    <cellStyle name="_Modelo Bocas de Ceniza 4 2 8" xfId="381" xr:uid="{00000000-0005-0000-0000-00007D010000}"/>
    <cellStyle name="_Modelo Bocas de Ceniza 4 2_ActiFijos" xfId="382" xr:uid="{00000000-0005-0000-0000-00007E010000}"/>
    <cellStyle name="_Modelo Bocas de Ceniza 4 2_ActiFijos_PPT Final" xfId="383" xr:uid="{00000000-0005-0000-0000-00007F010000}"/>
    <cellStyle name="_Modelo Bocas de Ceniza 4 2_ActiFijos_Vida Media ISA_" xfId="384" xr:uid="{00000000-0005-0000-0000-000080010000}"/>
    <cellStyle name="_Modelo Bocas de Ceniza 4 2_PPT Final" xfId="385" xr:uid="{00000000-0005-0000-0000-000081010000}"/>
    <cellStyle name="_Modelo Bocas de Ceniza 4 2_Vida Media ISA_" xfId="386" xr:uid="{00000000-0005-0000-0000-000082010000}"/>
    <cellStyle name="_Modelo Bocas de Ceniza 4 3" xfId="387" xr:uid="{00000000-0005-0000-0000-000083010000}"/>
    <cellStyle name="_Modelo Bocas de Ceniza 4 3 2" xfId="388" xr:uid="{00000000-0005-0000-0000-000084010000}"/>
    <cellStyle name="_Modelo Bocas de Ceniza 4 3 2_PPT Final" xfId="389" xr:uid="{00000000-0005-0000-0000-000085010000}"/>
    <cellStyle name="_Modelo Bocas de Ceniza 4 3 2_Vida Media ISA_" xfId="390" xr:uid="{00000000-0005-0000-0000-000086010000}"/>
    <cellStyle name="_Modelo Bocas de Ceniza 4 3 3" xfId="391" xr:uid="{00000000-0005-0000-0000-000087010000}"/>
    <cellStyle name="_Modelo Bocas de Ceniza 4 3 3_PPT Final" xfId="392" xr:uid="{00000000-0005-0000-0000-000088010000}"/>
    <cellStyle name="_Modelo Bocas de Ceniza 4 3 3_Vida Media ISA_" xfId="393" xr:uid="{00000000-0005-0000-0000-000089010000}"/>
    <cellStyle name="_Modelo Bocas de Ceniza 4 3 4" xfId="394" xr:uid="{00000000-0005-0000-0000-00008A010000}"/>
    <cellStyle name="_Modelo Bocas de Ceniza 4 3 4_PPT Final" xfId="395" xr:uid="{00000000-0005-0000-0000-00008B010000}"/>
    <cellStyle name="_Modelo Bocas de Ceniza 4 3 4_Vida Media ISA_" xfId="396" xr:uid="{00000000-0005-0000-0000-00008C010000}"/>
    <cellStyle name="_Modelo Bocas de Ceniza 4 3 5" xfId="397" xr:uid="{00000000-0005-0000-0000-00008D010000}"/>
    <cellStyle name="_Modelo Bocas de Ceniza 4 3 6" xfId="398" xr:uid="{00000000-0005-0000-0000-00008E010000}"/>
    <cellStyle name="_Modelo Bocas de Ceniza 4 3 7" xfId="399" xr:uid="{00000000-0005-0000-0000-00008F010000}"/>
    <cellStyle name="_Modelo Bocas de Ceniza 4 3 8" xfId="400" xr:uid="{00000000-0005-0000-0000-000090010000}"/>
    <cellStyle name="_Modelo Bocas de Ceniza 4 3_ActiFijos" xfId="401" xr:uid="{00000000-0005-0000-0000-000091010000}"/>
    <cellStyle name="_Modelo Bocas de Ceniza 4 3_ActiFijos_PPT Final" xfId="402" xr:uid="{00000000-0005-0000-0000-000092010000}"/>
    <cellStyle name="_Modelo Bocas de Ceniza 4 3_ActiFijos_Vida Media ISA_" xfId="403" xr:uid="{00000000-0005-0000-0000-000093010000}"/>
    <cellStyle name="_Modelo Bocas de Ceniza 4 3_PPT Final" xfId="404" xr:uid="{00000000-0005-0000-0000-000094010000}"/>
    <cellStyle name="_Modelo Bocas de Ceniza 4 3_Vida Media ISA_" xfId="405" xr:uid="{00000000-0005-0000-0000-000095010000}"/>
    <cellStyle name="_Modelo Bocas de Ceniza 4 4" xfId="406" xr:uid="{00000000-0005-0000-0000-000096010000}"/>
    <cellStyle name="_Modelo Bocas de Ceniza 4 4 2" xfId="407" xr:uid="{00000000-0005-0000-0000-000097010000}"/>
    <cellStyle name="_Modelo Bocas de Ceniza 4 4 2_PPT Final" xfId="408" xr:uid="{00000000-0005-0000-0000-000098010000}"/>
    <cellStyle name="_Modelo Bocas de Ceniza 4 4 2_Vida Media ISA_" xfId="409" xr:uid="{00000000-0005-0000-0000-000099010000}"/>
    <cellStyle name="_Modelo Bocas de Ceniza 4 4 3" xfId="410" xr:uid="{00000000-0005-0000-0000-00009A010000}"/>
    <cellStyle name="_Modelo Bocas de Ceniza 4 4 3_PPT Final" xfId="411" xr:uid="{00000000-0005-0000-0000-00009B010000}"/>
    <cellStyle name="_Modelo Bocas de Ceniza 4 4 3_Vida Media ISA_" xfId="412" xr:uid="{00000000-0005-0000-0000-00009C010000}"/>
    <cellStyle name="_Modelo Bocas de Ceniza 4 4 4" xfId="413" xr:uid="{00000000-0005-0000-0000-00009D010000}"/>
    <cellStyle name="_Modelo Bocas de Ceniza 4 4 4_PPT Final" xfId="414" xr:uid="{00000000-0005-0000-0000-00009E010000}"/>
    <cellStyle name="_Modelo Bocas de Ceniza 4 4 4_Vida Media ISA_" xfId="415" xr:uid="{00000000-0005-0000-0000-00009F010000}"/>
    <cellStyle name="_Modelo Bocas de Ceniza 4 4 5" xfId="416" xr:uid="{00000000-0005-0000-0000-0000A0010000}"/>
    <cellStyle name="_Modelo Bocas de Ceniza 4 4 6" xfId="417" xr:uid="{00000000-0005-0000-0000-0000A1010000}"/>
    <cellStyle name="_Modelo Bocas de Ceniza 4 4 7" xfId="418" xr:uid="{00000000-0005-0000-0000-0000A2010000}"/>
    <cellStyle name="_Modelo Bocas de Ceniza 4 4 8" xfId="419" xr:uid="{00000000-0005-0000-0000-0000A3010000}"/>
    <cellStyle name="_Modelo Bocas de Ceniza 4 4_ActiFijos" xfId="420" xr:uid="{00000000-0005-0000-0000-0000A4010000}"/>
    <cellStyle name="_Modelo Bocas de Ceniza 4 4_ActiFijos_PPT Final" xfId="421" xr:uid="{00000000-0005-0000-0000-0000A5010000}"/>
    <cellStyle name="_Modelo Bocas de Ceniza 4 4_ActiFijos_Vida Media ISA_" xfId="422" xr:uid="{00000000-0005-0000-0000-0000A6010000}"/>
    <cellStyle name="_Modelo Bocas de Ceniza 4 4_PPT Final" xfId="423" xr:uid="{00000000-0005-0000-0000-0000A7010000}"/>
    <cellStyle name="_Modelo Bocas de Ceniza 4 4_Vida Media ISA_" xfId="424" xr:uid="{00000000-0005-0000-0000-0000A8010000}"/>
    <cellStyle name="_Modelo Bocas de Ceniza 4_Balanc" xfId="425" xr:uid="{00000000-0005-0000-0000-0000A9010000}"/>
    <cellStyle name="_Modelo Bocas de Ceniza 4_Balanc 2" xfId="426" xr:uid="{00000000-0005-0000-0000-0000AA010000}"/>
    <cellStyle name="_Modelo Bocas de Ceniza 4_Balanc 2_PPT Final" xfId="427" xr:uid="{00000000-0005-0000-0000-0000AB010000}"/>
    <cellStyle name="_Modelo Bocas de Ceniza 4_Balanc 2_Vida Media ISA_" xfId="428" xr:uid="{00000000-0005-0000-0000-0000AC010000}"/>
    <cellStyle name="_Modelo Bocas de Ceniza 4_Balanc 3" xfId="429" xr:uid="{00000000-0005-0000-0000-0000AD010000}"/>
    <cellStyle name="_Modelo Bocas de Ceniza 4_Balanc 3_PPT Final" xfId="430" xr:uid="{00000000-0005-0000-0000-0000AE010000}"/>
    <cellStyle name="_Modelo Bocas de Ceniza 4_Balanc 3_Vida Media ISA_" xfId="431" xr:uid="{00000000-0005-0000-0000-0000AF010000}"/>
    <cellStyle name="_Modelo Bocas de Ceniza 4_Balanc 4" xfId="432" xr:uid="{00000000-0005-0000-0000-0000B0010000}"/>
    <cellStyle name="_Modelo Bocas de Ceniza 4_Balanc 4_PPT Final" xfId="433" xr:uid="{00000000-0005-0000-0000-0000B1010000}"/>
    <cellStyle name="_Modelo Bocas de Ceniza 4_Balanc 4_Vida Media ISA_" xfId="434" xr:uid="{00000000-0005-0000-0000-0000B2010000}"/>
    <cellStyle name="_Modelo Bocas de Ceniza 4_Balanc 5" xfId="435" xr:uid="{00000000-0005-0000-0000-0000B3010000}"/>
    <cellStyle name="_Modelo Bocas de Ceniza 4_Balanc 6" xfId="436" xr:uid="{00000000-0005-0000-0000-0000B4010000}"/>
    <cellStyle name="_Modelo Bocas de Ceniza 4_Balanc 7" xfId="437" xr:uid="{00000000-0005-0000-0000-0000B5010000}"/>
    <cellStyle name="_Modelo Bocas de Ceniza 4_Balanc 8" xfId="438" xr:uid="{00000000-0005-0000-0000-0000B6010000}"/>
    <cellStyle name="_Modelo Bocas de Ceniza 4_Balanc_ActiFijos" xfId="439" xr:uid="{00000000-0005-0000-0000-0000B7010000}"/>
    <cellStyle name="_Modelo Bocas de Ceniza 4_Balanc_ActiFijos_PPT Final" xfId="440" xr:uid="{00000000-0005-0000-0000-0000B8010000}"/>
    <cellStyle name="_Modelo Bocas de Ceniza 4_Balanc_ActiFijos_Vida Media ISA_" xfId="441" xr:uid="{00000000-0005-0000-0000-0000B9010000}"/>
    <cellStyle name="_Modelo Bocas de Ceniza 4_Balanc_C.M.E." xfId="442" xr:uid="{00000000-0005-0000-0000-0000BA010000}"/>
    <cellStyle name="_Modelo Bocas de Ceniza 4_Balanc_C.M.E._PPT Final" xfId="443" xr:uid="{00000000-0005-0000-0000-0000BB010000}"/>
    <cellStyle name="_Modelo Bocas de Ceniza 4_Balanc_C.M.E._Vida Media ISA_" xfId="444" xr:uid="{00000000-0005-0000-0000-0000BC010000}"/>
    <cellStyle name="_Modelo Bocas de Ceniza 4_Balanc_C.M.L." xfId="445" xr:uid="{00000000-0005-0000-0000-0000BD010000}"/>
    <cellStyle name="_Modelo Bocas de Ceniza 4_Balanc_C.M.L._PPT Final" xfId="446" xr:uid="{00000000-0005-0000-0000-0000BE010000}"/>
    <cellStyle name="_Modelo Bocas de Ceniza 4_Balanc_C.M.L._Vida Media ISA_" xfId="447" xr:uid="{00000000-0005-0000-0000-0000BF010000}"/>
    <cellStyle name="_Modelo Bocas de Ceniza 4_Balanc_Esc.Macro" xfId="448" xr:uid="{00000000-0005-0000-0000-0000C0010000}"/>
    <cellStyle name="_Modelo Bocas de Ceniza 4_Balanc_Esc.Macro_PPT Final" xfId="449" xr:uid="{00000000-0005-0000-0000-0000C1010000}"/>
    <cellStyle name="_Modelo Bocas de Ceniza 4_Balanc_Esc.Macro_Vida Media ISA_" xfId="450" xr:uid="{00000000-0005-0000-0000-0000C2010000}"/>
    <cellStyle name="_Modelo Bocas de Ceniza 4_Balanc_PPT Final" xfId="451" xr:uid="{00000000-0005-0000-0000-0000C3010000}"/>
    <cellStyle name="_Modelo Bocas de Ceniza 4_Balanc_Vida Media ISA_" xfId="452" xr:uid="{00000000-0005-0000-0000-0000C4010000}"/>
    <cellStyle name="_Modelo Bocas de Ceniza 4_Balance" xfId="453" xr:uid="{00000000-0005-0000-0000-0000C5010000}"/>
    <cellStyle name="_Modelo Bocas de Ceniza 4_Balance 2" xfId="454" xr:uid="{00000000-0005-0000-0000-0000C6010000}"/>
    <cellStyle name="_Modelo Bocas de Ceniza 4_Balance 2_PPT Final" xfId="455" xr:uid="{00000000-0005-0000-0000-0000C7010000}"/>
    <cellStyle name="_Modelo Bocas de Ceniza 4_Balance 2_Vida Media ISA_" xfId="456" xr:uid="{00000000-0005-0000-0000-0000C8010000}"/>
    <cellStyle name="_Modelo Bocas de Ceniza 4_Balance 3" xfId="457" xr:uid="{00000000-0005-0000-0000-0000C9010000}"/>
    <cellStyle name="_Modelo Bocas de Ceniza 4_Balance 3_PPT Final" xfId="458" xr:uid="{00000000-0005-0000-0000-0000CA010000}"/>
    <cellStyle name="_Modelo Bocas de Ceniza 4_Balance 3_Vida Media ISA_" xfId="459" xr:uid="{00000000-0005-0000-0000-0000CB010000}"/>
    <cellStyle name="_Modelo Bocas de Ceniza 4_Balance 4" xfId="460" xr:uid="{00000000-0005-0000-0000-0000CC010000}"/>
    <cellStyle name="_Modelo Bocas de Ceniza 4_Balance 4_PPT Final" xfId="461" xr:uid="{00000000-0005-0000-0000-0000CD010000}"/>
    <cellStyle name="_Modelo Bocas de Ceniza 4_Balance 4_Vida Media ISA_" xfId="462" xr:uid="{00000000-0005-0000-0000-0000CE010000}"/>
    <cellStyle name="_Modelo Bocas de Ceniza 4_Balance 5" xfId="463" xr:uid="{00000000-0005-0000-0000-0000CF010000}"/>
    <cellStyle name="_Modelo Bocas de Ceniza 4_Balance 6" xfId="464" xr:uid="{00000000-0005-0000-0000-0000D0010000}"/>
    <cellStyle name="_Modelo Bocas de Ceniza 4_Balance 7" xfId="465" xr:uid="{00000000-0005-0000-0000-0000D1010000}"/>
    <cellStyle name="_Modelo Bocas de Ceniza 4_Balance 8" xfId="466" xr:uid="{00000000-0005-0000-0000-0000D2010000}"/>
    <cellStyle name="_Modelo Bocas de Ceniza 4_Balance_ActiFijos" xfId="467" xr:uid="{00000000-0005-0000-0000-0000D3010000}"/>
    <cellStyle name="_Modelo Bocas de Ceniza 4_Balance_ActiFijos_PPT Final" xfId="468" xr:uid="{00000000-0005-0000-0000-0000D4010000}"/>
    <cellStyle name="_Modelo Bocas de Ceniza 4_Balance_ActiFijos_Vida Media ISA_" xfId="469" xr:uid="{00000000-0005-0000-0000-0000D5010000}"/>
    <cellStyle name="_Modelo Bocas de Ceniza 4_Balance_C.M.E." xfId="470" xr:uid="{00000000-0005-0000-0000-0000D6010000}"/>
    <cellStyle name="_Modelo Bocas de Ceniza 4_Balance_C.M.E._PPT Final" xfId="471" xr:uid="{00000000-0005-0000-0000-0000D7010000}"/>
    <cellStyle name="_Modelo Bocas de Ceniza 4_Balance_C.M.E._Vida Media ISA_" xfId="472" xr:uid="{00000000-0005-0000-0000-0000D8010000}"/>
    <cellStyle name="_Modelo Bocas de Ceniza 4_Balance_C.M.L." xfId="473" xr:uid="{00000000-0005-0000-0000-0000D9010000}"/>
    <cellStyle name="_Modelo Bocas de Ceniza 4_Balance_C.M.L._PPT Final" xfId="474" xr:uid="{00000000-0005-0000-0000-0000DA010000}"/>
    <cellStyle name="_Modelo Bocas de Ceniza 4_Balance_C.M.L._Vida Media ISA_" xfId="475" xr:uid="{00000000-0005-0000-0000-0000DB010000}"/>
    <cellStyle name="_Modelo Bocas de Ceniza 4_Balance_EF-2008-07-consolidado" xfId="476" xr:uid="{00000000-0005-0000-0000-0000DC010000}"/>
    <cellStyle name="_Modelo Bocas de Ceniza 4_Balance_EF-2008-08-consolidado" xfId="477" xr:uid="{00000000-0005-0000-0000-0000DD010000}"/>
    <cellStyle name="_Modelo Bocas de Ceniza 4_Balance_EF-2008-09-consolidado" xfId="478" xr:uid="{00000000-0005-0000-0000-0000DE010000}"/>
    <cellStyle name="_Modelo Bocas de Ceniza 4_Balance_EF-2008-10-consolidado" xfId="479" xr:uid="{00000000-0005-0000-0000-0000DF010000}"/>
    <cellStyle name="_Modelo Bocas de Ceniza 4_Balance_EF-2008-11-consolidado" xfId="480" xr:uid="{00000000-0005-0000-0000-0000E0010000}"/>
    <cellStyle name="_Modelo Bocas de Ceniza 4_Balance_EF-2008-12-consolidado" xfId="481" xr:uid="{00000000-0005-0000-0000-0000E1010000}"/>
    <cellStyle name="_Modelo Bocas de Ceniza 4_Balance_EF-2009-03-consolidado" xfId="482" xr:uid="{00000000-0005-0000-0000-0000E2010000}"/>
    <cellStyle name="_Modelo Bocas de Ceniza 4_Balance_Esc.Macro" xfId="483" xr:uid="{00000000-0005-0000-0000-0000E3010000}"/>
    <cellStyle name="_Modelo Bocas de Ceniza 4_Balance_Esc.Macro_PPT Final" xfId="484" xr:uid="{00000000-0005-0000-0000-0000E4010000}"/>
    <cellStyle name="_Modelo Bocas de Ceniza 4_Balance_Esc.Macro_Vida Media ISA_" xfId="485" xr:uid="{00000000-0005-0000-0000-0000E5010000}"/>
    <cellStyle name="_Modelo Bocas de Ceniza 4_Balance_G_Loans" xfId="486" xr:uid="{00000000-0005-0000-0000-0000E6010000}"/>
    <cellStyle name="_Modelo Bocas de Ceniza 4_Balance_G_Loans_PPT Final" xfId="487" xr:uid="{00000000-0005-0000-0000-0000E7010000}"/>
    <cellStyle name="_Modelo Bocas de Ceniza 4_Balance_G_Loans_Vida Media ISA_" xfId="488" xr:uid="{00000000-0005-0000-0000-0000E8010000}"/>
    <cellStyle name="_Modelo Bocas de Ceniza 4_Balance_Libro1" xfId="489" xr:uid="{00000000-0005-0000-0000-0000E9010000}"/>
    <cellStyle name="_Modelo Bocas de Ceniza 4_Balance_PPT Final" xfId="490" xr:uid="{00000000-0005-0000-0000-0000EA010000}"/>
    <cellStyle name="_Modelo Bocas de Ceniza 4_Balance_Vida Media ISA_" xfId="491" xr:uid="{00000000-0005-0000-0000-0000EB010000}"/>
    <cellStyle name="_Modelo Bocas de Ceniza 4_Bases_Generales" xfId="492" xr:uid="{00000000-0005-0000-0000-0000EC010000}"/>
    <cellStyle name="_Modelo Bocas de Ceniza 4_Bases_Generales 2" xfId="493" xr:uid="{00000000-0005-0000-0000-0000ED010000}"/>
    <cellStyle name="_Modelo Bocas de Ceniza 4_Bases_Generales 2_PPT Final" xfId="494" xr:uid="{00000000-0005-0000-0000-0000EE010000}"/>
    <cellStyle name="_Modelo Bocas de Ceniza 4_Bases_Generales 2_Vida Media ISA_" xfId="495" xr:uid="{00000000-0005-0000-0000-0000EF010000}"/>
    <cellStyle name="_Modelo Bocas de Ceniza 4_Bases_Generales 3" xfId="496" xr:uid="{00000000-0005-0000-0000-0000F0010000}"/>
    <cellStyle name="_Modelo Bocas de Ceniza 4_Bases_Generales 3_PPT Final" xfId="497" xr:uid="{00000000-0005-0000-0000-0000F1010000}"/>
    <cellStyle name="_Modelo Bocas de Ceniza 4_Bases_Generales 3_Vida Media ISA_" xfId="498" xr:uid="{00000000-0005-0000-0000-0000F2010000}"/>
    <cellStyle name="_Modelo Bocas de Ceniza 4_Bases_Generales 4" xfId="499" xr:uid="{00000000-0005-0000-0000-0000F3010000}"/>
    <cellStyle name="_Modelo Bocas de Ceniza 4_Bases_Generales 4_PPT Final" xfId="500" xr:uid="{00000000-0005-0000-0000-0000F4010000}"/>
    <cellStyle name="_Modelo Bocas de Ceniza 4_Bases_Generales 4_Vida Media ISA_" xfId="501" xr:uid="{00000000-0005-0000-0000-0000F5010000}"/>
    <cellStyle name="_Modelo Bocas de Ceniza 4_Bases_Generales 5" xfId="502" xr:uid="{00000000-0005-0000-0000-0000F6010000}"/>
    <cellStyle name="_Modelo Bocas de Ceniza 4_Bases_Generales 6" xfId="503" xr:uid="{00000000-0005-0000-0000-0000F7010000}"/>
    <cellStyle name="_Modelo Bocas de Ceniza 4_Bases_Generales 7" xfId="504" xr:uid="{00000000-0005-0000-0000-0000F8010000}"/>
    <cellStyle name="_Modelo Bocas de Ceniza 4_Bases_Generales 8" xfId="505" xr:uid="{00000000-0005-0000-0000-0000F9010000}"/>
    <cellStyle name="_Modelo Bocas de Ceniza 4_Bases_Generales_1" xfId="506" xr:uid="{00000000-0005-0000-0000-0000FA010000}"/>
    <cellStyle name="_Modelo Bocas de Ceniza 4_Bases_Generales_1 2" xfId="507" xr:uid="{00000000-0005-0000-0000-0000FB010000}"/>
    <cellStyle name="_Modelo Bocas de Ceniza 4_Bases_Generales_1 2_PPT Final" xfId="508" xr:uid="{00000000-0005-0000-0000-0000FC010000}"/>
    <cellStyle name="_Modelo Bocas de Ceniza 4_Bases_Generales_1 2_Vida Media ISA_" xfId="509" xr:uid="{00000000-0005-0000-0000-0000FD010000}"/>
    <cellStyle name="_Modelo Bocas de Ceniza 4_Bases_Generales_1 3" xfId="510" xr:uid="{00000000-0005-0000-0000-0000FE010000}"/>
    <cellStyle name="_Modelo Bocas de Ceniza 4_Bases_Generales_1 3_PPT Final" xfId="511" xr:uid="{00000000-0005-0000-0000-0000FF010000}"/>
    <cellStyle name="_Modelo Bocas de Ceniza 4_Bases_Generales_1 3_Vida Media ISA_" xfId="512" xr:uid="{00000000-0005-0000-0000-000000020000}"/>
    <cellStyle name="_Modelo Bocas de Ceniza 4_Bases_Generales_1 4" xfId="513" xr:uid="{00000000-0005-0000-0000-000001020000}"/>
    <cellStyle name="_Modelo Bocas de Ceniza 4_Bases_Generales_1 4_PPT Final" xfId="514" xr:uid="{00000000-0005-0000-0000-000002020000}"/>
    <cellStyle name="_Modelo Bocas de Ceniza 4_Bases_Generales_1 4_Vida Media ISA_" xfId="515" xr:uid="{00000000-0005-0000-0000-000003020000}"/>
    <cellStyle name="_Modelo Bocas de Ceniza 4_Bases_Generales_1 5" xfId="516" xr:uid="{00000000-0005-0000-0000-000004020000}"/>
    <cellStyle name="_Modelo Bocas de Ceniza 4_Bases_Generales_1 6" xfId="517" xr:uid="{00000000-0005-0000-0000-000005020000}"/>
    <cellStyle name="_Modelo Bocas de Ceniza 4_Bases_Generales_1 7" xfId="518" xr:uid="{00000000-0005-0000-0000-000006020000}"/>
    <cellStyle name="_Modelo Bocas de Ceniza 4_Bases_Generales_1 8" xfId="519" xr:uid="{00000000-0005-0000-0000-000007020000}"/>
    <cellStyle name="_Modelo Bocas de Ceniza 4_Bases_Generales_1_ActiFijos" xfId="520" xr:uid="{00000000-0005-0000-0000-000008020000}"/>
    <cellStyle name="_Modelo Bocas de Ceniza 4_Bases_Generales_1_ActiFijos_PPT Final" xfId="521" xr:uid="{00000000-0005-0000-0000-000009020000}"/>
    <cellStyle name="_Modelo Bocas de Ceniza 4_Bases_Generales_1_ActiFijos_Vida Media ISA_" xfId="522" xr:uid="{00000000-0005-0000-0000-00000A020000}"/>
    <cellStyle name="_Modelo Bocas de Ceniza 4_Bases_Generales_1_C.M.E." xfId="523" xr:uid="{00000000-0005-0000-0000-00000B020000}"/>
    <cellStyle name="_Modelo Bocas de Ceniza 4_Bases_Generales_1_C.M.E._PPT Final" xfId="524" xr:uid="{00000000-0005-0000-0000-00000C020000}"/>
    <cellStyle name="_Modelo Bocas de Ceniza 4_Bases_Generales_1_C.M.E._Vida Media ISA_" xfId="525" xr:uid="{00000000-0005-0000-0000-00000D020000}"/>
    <cellStyle name="_Modelo Bocas de Ceniza 4_Bases_Generales_1_C.M.L." xfId="526" xr:uid="{00000000-0005-0000-0000-00000E020000}"/>
    <cellStyle name="_Modelo Bocas de Ceniza 4_Bases_Generales_1_C.M.L._PPT Final" xfId="527" xr:uid="{00000000-0005-0000-0000-00000F020000}"/>
    <cellStyle name="_Modelo Bocas de Ceniza 4_Bases_Generales_1_C.M.L._Vida Media ISA_" xfId="528" xr:uid="{00000000-0005-0000-0000-000010020000}"/>
    <cellStyle name="_Modelo Bocas de Ceniza 4_Bases_Generales_1_Esc.Macro" xfId="529" xr:uid="{00000000-0005-0000-0000-000011020000}"/>
    <cellStyle name="_Modelo Bocas de Ceniza 4_Bases_Generales_1_Esc.Macro_PPT Final" xfId="530" xr:uid="{00000000-0005-0000-0000-000012020000}"/>
    <cellStyle name="_Modelo Bocas de Ceniza 4_Bases_Generales_1_Esc.Macro_Vida Media ISA_" xfId="531" xr:uid="{00000000-0005-0000-0000-000013020000}"/>
    <cellStyle name="_Modelo Bocas de Ceniza 4_Bases_Generales_1_G_Loans" xfId="532" xr:uid="{00000000-0005-0000-0000-000014020000}"/>
    <cellStyle name="_Modelo Bocas de Ceniza 4_Bases_Generales_1_G_Loans_PPT Final" xfId="533" xr:uid="{00000000-0005-0000-0000-000015020000}"/>
    <cellStyle name="_Modelo Bocas de Ceniza 4_Bases_Generales_1_G_Loans_Vida Media ISA_" xfId="534" xr:uid="{00000000-0005-0000-0000-000016020000}"/>
    <cellStyle name="_Modelo Bocas de Ceniza 4_Bases_Generales_1_PPT Final" xfId="535" xr:uid="{00000000-0005-0000-0000-000017020000}"/>
    <cellStyle name="_Modelo Bocas de Ceniza 4_Bases_Generales_1_Vida Media ISA_" xfId="536" xr:uid="{00000000-0005-0000-0000-000018020000}"/>
    <cellStyle name="_Modelo Bocas de Ceniza 4_Bases_Generales_2" xfId="537" xr:uid="{00000000-0005-0000-0000-000019020000}"/>
    <cellStyle name="_Modelo Bocas de Ceniza 4_Bases_Generales_2 2" xfId="538" xr:uid="{00000000-0005-0000-0000-00001A020000}"/>
    <cellStyle name="_Modelo Bocas de Ceniza 4_Bases_Generales_2 3" xfId="539" xr:uid="{00000000-0005-0000-0000-00001B020000}"/>
    <cellStyle name="_Modelo Bocas de Ceniza 4_Bases_Generales_2 4" xfId="540" xr:uid="{00000000-0005-0000-0000-00001C020000}"/>
    <cellStyle name="_Modelo Bocas de Ceniza 4_Bases_Generales_2 5" xfId="541" xr:uid="{00000000-0005-0000-0000-00001D020000}"/>
    <cellStyle name="_Modelo Bocas de Ceniza 4_Bases_Generales_2_ActiFijos" xfId="542" xr:uid="{00000000-0005-0000-0000-00001E020000}"/>
    <cellStyle name="_Modelo Bocas de Ceniza 4_Bases_Generales_2_ActiFijos_PPT Final" xfId="543" xr:uid="{00000000-0005-0000-0000-00001F020000}"/>
    <cellStyle name="_Modelo Bocas de Ceniza 4_Bases_Generales_2_ActiFijos_Vida Media ISA_" xfId="544" xr:uid="{00000000-0005-0000-0000-000020020000}"/>
    <cellStyle name="_Modelo Bocas de Ceniza 4_Bases_Generales_2_PPT Final" xfId="545" xr:uid="{00000000-0005-0000-0000-000021020000}"/>
    <cellStyle name="_Modelo Bocas de Ceniza 4_Bases_Generales_2_Vida Media ISA_" xfId="546" xr:uid="{00000000-0005-0000-0000-000022020000}"/>
    <cellStyle name="_Modelo Bocas de Ceniza 4_Bases_Generales_ActiFijos" xfId="547" xr:uid="{00000000-0005-0000-0000-000023020000}"/>
    <cellStyle name="_Modelo Bocas de Ceniza 4_Bases_Generales_ActiFijos_PPT Final" xfId="548" xr:uid="{00000000-0005-0000-0000-000024020000}"/>
    <cellStyle name="_Modelo Bocas de Ceniza 4_Bases_Generales_ActiFijos_Vida Media ISA_" xfId="549" xr:uid="{00000000-0005-0000-0000-000025020000}"/>
    <cellStyle name="_Modelo Bocas de Ceniza 4_Bases_Generales_Bases_Generales" xfId="550" xr:uid="{00000000-0005-0000-0000-000026020000}"/>
    <cellStyle name="_Modelo Bocas de Ceniza 4_Bases_Generales_C.M.E." xfId="551" xr:uid="{00000000-0005-0000-0000-000027020000}"/>
    <cellStyle name="_Modelo Bocas de Ceniza 4_Bases_Generales_C.M.E._PPT Final" xfId="552" xr:uid="{00000000-0005-0000-0000-000028020000}"/>
    <cellStyle name="_Modelo Bocas de Ceniza 4_Bases_Generales_C.M.E._Vida Media ISA_" xfId="553" xr:uid="{00000000-0005-0000-0000-000029020000}"/>
    <cellStyle name="_Modelo Bocas de Ceniza 4_Bases_Generales_C.M.L." xfId="554" xr:uid="{00000000-0005-0000-0000-00002A020000}"/>
    <cellStyle name="_Modelo Bocas de Ceniza 4_Bases_Generales_C.M.L._PPT Final" xfId="555" xr:uid="{00000000-0005-0000-0000-00002B020000}"/>
    <cellStyle name="_Modelo Bocas de Ceniza 4_Bases_Generales_C.M.L._Vida Media ISA_" xfId="556" xr:uid="{00000000-0005-0000-0000-00002C020000}"/>
    <cellStyle name="_Modelo Bocas de Ceniza 4_Bases_Generales_EF-2008-07-consolidado" xfId="557" xr:uid="{00000000-0005-0000-0000-00002D020000}"/>
    <cellStyle name="_Modelo Bocas de Ceniza 4_Bases_Generales_EF-2008-08-consolidado" xfId="558" xr:uid="{00000000-0005-0000-0000-00002E020000}"/>
    <cellStyle name="_Modelo Bocas de Ceniza 4_Bases_Generales_EF-2008-09-consolidado" xfId="559" xr:uid="{00000000-0005-0000-0000-00002F020000}"/>
    <cellStyle name="_Modelo Bocas de Ceniza 4_Bases_Generales_EF-2008-10-consolidado" xfId="560" xr:uid="{00000000-0005-0000-0000-000030020000}"/>
    <cellStyle name="_Modelo Bocas de Ceniza 4_Bases_Generales_EF-2008-11-consolidado" xfId="561" xr:uid="{00000000-0005-0000-0000-000031020000}"/>
    <cellStyle name="_Modelo Bocas de Ceniza 4_Bases_Generales_EF-2008-12-consolidado" xfId="562" xr:uid="{00000000-0005-0000-0000-000032020000}"/>
    <cellStyle name="_Modelo Bocas de Ceniza 4_Bases_Generales_EF-2009-03-consolidado" xfId="563" xr:uid="{00000000-0005-0000-0000-000033020000}"/>
    <cellStyle name="_Modelo Bocas de Ceniza 4_Bases_Generales_Esc.Macro" xfId="564" xr:uid="{00000000-0005-0000-0000-000034020000}"/>
    <cellStyle name="_Modelo Bocas de Ceniza 4_Bases_Generales_Esc.Macro_PPT Final" xfId="565" xr:uid="{00000000-0005-0000-0000-000035020000}"/>
    <cellStyle name="_Modelo Bocas de Ceniza 4_Bases_Generales_Esc.Macro_Vida Media ISA_" xfId="566" xr:uid="{00000000-0005-0000-0000-000036020000}"/>
    <cellStyle name="_Modelo Bocas de Ceniza 4_Bases_Generales_G_Loans" xfId="567" xr:uid="{00000000-0005-0000-0000-000037020000}"/>
    <cellStyle name="_Modelo Bocas de Ceniza 4_Bases_Generales_G_Loans_PPT Final" xfId="568" xr:uid="{00000000-0005-0000-0000-000038020000}"/>
    <cellStyle name="_Modelo Bocas de Ceniza 4_Bases_Generales_G_Loans_Vida Media ISA_" xfId="569" xr:uid="{00000000-0005-0000-0000-000039020000}"/>
    <cellStyle name="_Modelo Bocas de Ceniza 4_Bases_Generales_Libro1" xfId="570" xr:uid="{00000000-0005-0000-0000-00003A020000}"/>
    <cellStyle name="_Modelo Bocas de Ceniza 4_Bases_Generales_PPT Final" xfId="571" xr:uid="{00000000-0005-0000-0000-00003B020000}"/>
    <cellStyle name="_Modelo Bocas de Ceniza 4_Bases_Generales_PyG" xfId="572" xr:uid="{00000000-0005-0000-0000-00003C020000}"/>
    <cellStyle name="_Modelo Bocas de Ceniza 4_Bases_Generales_Vida Media ISA_" xfId="573" xr:uid="{00000000-0005-0000-0000-00003D020000}"/>
    <cellStyle name="_Modelo Bocas de Ceniza 4_Caja2007" xfId="574" xr:uid="{00000000-0005-0000-0000-00003E020000}"/>
    <cellStyle name="_Modelo Bocas de Ceniza 4_Caja2007 2" xfId="575" xr:uid="{00000000-0005-0000-0000-00003F020000}"/>
    <cellStyle name="_Modelo Bocas de Ceniza 4_Caja2007 2_PPT Final" xfId="576" xr:uid="{00000000-0005-0000-0000-000040020000}"/>
    <cellStyle name="_Modelo Bocas de Ceniza 4_Caja2007 2_Vida Media ISA_" xfId="577" xr:uid="{00000000-0005-0000-0000-000041020000}"/>
    <cellStyle name="_Modelo Bocas de Ceniza 4_Caja2007 3" xfId="578" xr:uid="{00000000-0005-0000-0000-000042020000}"/>
    <cellStyle name="_Modelo Bocas de Ceniza 4_Caja2007 3_PPT Final" xfId="579" xr:uid="{00000000-0005-0000-0000-000043020000}"/>
    <cellStyle name="_Modelo Bocas de Ceniza 4_Caja2007 3_Vida Media ISA_" xfId="580" xr:uid="{00000000-0005-0000-0000-000044020000}"/>
    <cellStyle name="_Modelo Bocas de Ceniza 4_Caja2007 4" xfId="581" xr:uid="{00000000-0005-0000-0000-000045020000}"/>
    <cellStyle name="_Modelo Bocas de Ceniza 4_Caja2007 4_PPT Final" xfId="582" xr:uid="{00000000-0005-0000-0000-000046020000}"/>
    <cellStyle name="_Modelo Bocas de Ceniza 4_Caja2007 4_Vida Media ISA_" xfId="583" xr:uid="{00000000-0005-0000-0000-000047020000}"/>
    <cellStyle name="_Modelo Bocas de Ceniza 4_Caja2007 5" xfId="584" xr:uid="{00000000-0005-0000-0000-000048020000}"/>
    <cellStyle name="_Modelo Bocas de Ceniza 4_Caja2007 6" xfId="585" xr:uid="{00000000-0005-0000-0000-000049020000}"/>
    <cellStyle name="_Modelo Bocas de Ceniza 4_Caja2007 7" xfId="586" xr:uid="{00000000-0005-0000-0000-00004A020000}"/>
    <cellStyle name="_Modelo Bocas de Ceniza 4_Caja2007 8" xfId="587" xr:uid="{00000000-0005-0000-0000-00004B020000}"/>
    <cellStyle name="_Modelo Bocas de Ceniza 4_Caja2007_ActiFijos" xfId="588" xr:uid="{00000000-0005-0000-0000-00004C020000}"/>
    <cellStyle name="_Modelo Bocas de Ceniza 4_Caja2007_ActiFijos_PPT Final" xfId="589" xr:uid="{00000000-0005-0000-0000-00004D020000}"/>
    <cellStyle name="_Modelo Bocas de Ceniza 4_Caja2007_ActiFijos_Vida Media ISA_" xfId="590" xr:uid="{00000000-0005-0000-0000-00004E020000}"/>
    <cellStyle name="_Modelo Bocas de Ceniza 4_Caja2007_C.M.E." xfId="591" xr:uid="{00000000-0005-0000-0000-00004F020000}"/>
    <cellStyle name="_Modelo Bocas de Ceniza 4_Caja2007_C.M.E._PPT Final" xfId="592" xr:uid="{00000000-0005-0000-0000-000050020000}"/>
    <cellStyle name="_Modelo Bocas de Ceniza 4_Caja2007_C.M.E._Vida Media ISA_" xfId="593" xr:uid="{00000000-0005-0000-0000-000051020000}"/>
    <cellStyle name="_Modelo Bocas de Ceniza 4_Caja2007_C.M.L." xfId="594" xr:uid="{00000000-0005-0000-0000-000052020000}"/>
    <cellStyle name="_Modelo Bocas de Ceniza 4_Caja2007_C.M.L._PPT Final" xfId="595" xr:uid="{00000000-0005-0000-0000-000053020000}"/>
    <cellStyle name="_Modelo Bocas de Ceniza 4_Caja2007_C.M.L._Vida Media ISA_" xfId="596" xr:uid="{00000000-0005-0000-0000-000054020000}"/>
    <cellStyle name="_Modelo Bocas de Ceniza 4_Caja2007_EF-2008-07-consolidado" xfId="597" xr:uid="{00000000-0005-0000-0000-000055020000}"/>
    <cellStyle name="_Modelo Bocas de Ceniza 4_Caja2007_EF-2008-08-consolidado" xfId="598" xr:uid="{00000000-0005-0000-0000-000056020000}"/>
    <cellStyle name="_Modelo Bocas de Ceniza 4_Caja2007_EF-2008-09-consolidado" xfId="599" xr:uid="{00000000-0005-0000-0000-000057020000}"/>
    <cellStyle name="_Modelo Bocas de Ceniza 4_Caja2007_EF-2008-10-consolidado" xfId="600" xr:uid="{00000000-0005-0000-0000-000058020000}"/>
    <cellStyle name="_Modelo Bocas de Ceniza 4_Caja2007_EF-2008-11-consolidado" xfId="601" xr:uid="{00000000-0005-0000-0000-000059020000}"/>
    <cellStyle name="_Modelo Bocas de Ceniza 4_Caja2007_EF-2008-12-consolidado" xfId="602" xr:uid="{00000000-0005-0000-0000-00005A020000}"/>
    <cellStyle name="_Modelo Bocas de Ceniza 4_Caja2007_EF-2009-03-consolidado" xfId="603" xr:uid="{00000000-0005-0000-0000-00005B020000}"/>
    <cellStyle name="_Modelo Bocas de Ceniza 4_Caja2007_Esc.Macro" xfId="604" xr:uid="{00000000-0005-0000-0000-00005C020000}"/>
    <cellStyle name="_Modelo Bocas de Ceniza 4_Caja2007_Esc.Macro_PPT Final" xfId="605" xr:uid="{00000000-0005-0000-0000-00005D020000}"/>
    <cellStyle name="_Modelo Bocas de Ceniza 4_Caja2007_Esc.Macro_Vida Media ISA_" xfId="606" xr:uid="{00000000-0005-0000-0000-00005E020000}"/>
    <cellStyle name="_Modelo Bocas de Ceniza 4_Caja2007_G_Loans" xfId="607" xr:uid="{00000000-0005-0000-0000-00005F020000}"/>
    <cellStyle name="_Modelo Bocas de Ceniza 4_Caja2007_G_Loans_PPT Final" xfId="608" xr:uid="{00000000-0005-0000-0000-000060020000}"/>
    <cellStyle name="_Modelo Bocas de Ceniza 4_Caja2007_G_Loans_Vida Media ISA_" xfId="609" xr:uid="{00000000-0005-0000-0000-000061020000}"/>
    <cellStyle name="_Modelo Bocas de Ceniza 4_Caja2007_Libro1" xfId="610" xr:uid="{00000000-0005-0000-0000-000062020000}"/>
    <cellStyle name="_Modelo Bocas de Ceniza 4_Caja2007_PPT Final" xfId="611" xr:uid="{00000000-0005-0000-0000-000063020000}"/>
    <cellStyle name="_Modelo Bocas de Ceniza 4_Caja2007_Vida Media ISA_" xfId="612" xr:uid="{00000000-0005-0000-0000-000064020000}"/>
    <cellStyle name="_Modelo Bocas de Ceniza 4_EF-2008-07-consolidado" xfId="613" xr:uid="{00000000-0005-0000-0000-000065020000}"/>
    <cellStyle name="_Modelo Bocas de Ceniza 4_EF-2008-08-consolidado" xfId="614" xr:uid="{00000000-0005-0000-0000-000066020000}"/>
    <cellStyle name="_Modelo Bocas de Ceniza 4_EF-2008-09-consolidado" xfId="615" xr:uid="{00000000-0005-0000-0000-000067020000}"/>
    <cellStyle name="_Modelo Bocas de Ceniza 4_EF-2008-10-consolidado" xfId="616" xr:uid="{00000000-0005-0000-0000-000068020000}"/>
    <cellStyle name="_Modelo Bocas de Ceniza 4_EF-2008-11-consolidado" xfId="617" xr:uid="{00000000-0005-0000-0000-000069020000}"/>
    <cellStyle name="_Modelo Bocas de Ceniza 4_EF-2008-12-consolidado" xfId="618" xr:uid="{00000000-0005-0000-0000-00006A020000}"/>
    <cellStyle name="_Modelo Bocas de Ceniza 4_EF-2009-03-consolidado" xfId="619" xr:uid="{00000000-0005-0000-0000-00006B020000}"/>
    <cellStyle name="_Modelo Bocas de Ceniza 4_ER08" xfId="620" xr:uid="{00000000-0005-0000-0000-00006C020000}"/>
    <cellStyle name="_Modelo Bocas de Ceniza 4_ER08 2" xfId="621" xr:uid="{00000000-0005-0000-0000-00006D020000}"/>
    <cellStyle name="_Modelo Bocas de Ceniza 4_ER08 2_PPT Final" xfId="622" xr:uid="{00000000-0005-0000-0000-00006E020000}"/>
    <cellStyle name="_Modelo Bocas de Ceniza 4_ER08 2_Vida Media ISA_" xfId="623" xr:uid="{00000000-0005-0000-0000-00006F020000}"/>
    <cellStyle name="_Modelo Bocas de Ceniza 4_ER08 3" xfId="624" xr:uid="{00000000-0005-0000-0000-000070020000}"/>
    <cellStyle name="_Modelo Bocas de Ceniza 4_ER08 3_PPT Final" xfId="625" xr:uid="{00000000-0005-0000-0000-000071020000}"/>
    <cellStyle name="_Modelo Bocas de Ceniza 4_ER08 3_Vida Media ISA_" xfId="626" xr:uid="{00000000-0005-0000-0000-000072020000}"/>
    <cellStyle name="_Modelo Bocas de Ceniza 4_ER08 4" xfId="627" xr:uid="{00000000-0005-0000-0000-000073020000}"/>
    <cellStyle name="_Modelo Bocas de Ceniza 4_ER08 4_PPT Final" xfId="628" xr:uid="{00000000-0005-0000-0000-000074020000}"/>
    <cellStyle name="_Modelo Bocas de Ceniza 4_ER08 4_Vida Media ISA_" xfId="629" xr:uid="{00000000-0005-0000-0000-000075020000}"/>
    <cellStyle name="_Modelo Bocas de Ceniza 4_ER08 5" xfId="630" xr:uid="{00000000-0005-0000-0000-000076020000}"/>
    <cellStyle name="_Modelo Bocas de Ceniza 4_ER08 6" xfId="631" xr:uid="{00000000-0005-0000-0000-000077020000}"/>
    <cellStyle name="_Modelo Bocas de Ceniza 4_ER08 7" xfId="632" xr:uid="{00000000-0005-0000-0000-000078020000}"/>
    <cellStyle name="_Modelo Bocas de Ceniza 4_ER08 8" xfId="633" xr:uid="{00000000-0005-0000-0000-000079020000}"/>
    <cellStyle name="_Modelo Bocas de Ceniza 4_ER08_ActiFijos" xfId="634" xr:uid="{00000000-0005-0000-0000-00007A020000}"/>
    <cellStyle name="_Modelo Bocas de Ceniza 4_ER08_ActiFijos_PPT Final" xfId="635" xr:uid="{00000000-0005-0000-0000-00007B020000}"/>
    <cellStyle name="_Modelo Bocas de Ceniza 4_ER08_ActiFijos_Vida Media ISA_" xfId="636" xr:uid="{00000000-0005-0000-0000-00007C020000}"/>
    <cellStyle name="_Modelo Bocas de Ceniza 4_ER08_C.M.E." xfId="637" xr:uid="{00000000-0005-0000-0000-00007D020000}"/>
    <cellStyle name="_Modelo Bocas de Ceniza 4_ER08_C.M.E._PPT Final" xfId="638" xr:uid="{00000000-0005-0000-0000-00007E020000}"/>
    <cellStyle name="_Modelo Bocas de Ceniza 4_ER08_C.M.E._Vida Media ISA_" xfId="639" xr:uid="{00000000-0005-0000-0000-00007F020000}"/>
    <cellStyle name="_Modelo Bocas de Ceniza 4_ER08_C.M.L." xfId="640" xr:uid="{00000000-0005-0000-0000-000080020000}"/>
    <cellStyle name="_Modelo Bocas de Ceniza 4_ER08_C.M.L._PPT Final" xfId="641" xr:uid="{00000000-0005-0000-0000-000081020000}"/>
    <cellStyle name="_Modelo Bocas de Ceniza 4_ER08_C.M.L._Vida Media ISA_" xfId="642" xr:uid="{00000000-0005-0000-0000-000082020000}"/>
    <cellStyle name="_Modelo Bocas de Ceniza 4_ER08_Esc.Macro" xfId="643" xr:uid="{00000000-0005-0000-0000-000083020000}"/>
    <cellStyle name="_Modelo Bocas de Ceniza 4_ER08_Esc.Macro_PPT Final" xfId="644" xr:uid="{00000000-0005-0000-0000-000084020000}"/>
    <cellStyle name="_Modelo Bocas de Ceniza 4_ER08_Esc.Macro_Vida Media ISA_" xfId="645" xr:uid="{00000000-0005-0000-0000-000085020000}"/>
    <cellStyle name="_Modelo Bocas de Ceniza 4_ER08_G_Loans" xfId="646" xr:uid="{00000000-0005-0000-0000-000086020000}"/>
    <cellStyle name="_Modelo Bocas de Ceniza 4_ER08_G_Loans_PPT Final" xfId="647" xr:uid="{00000000-0005-0000-0000-000087020000}"/>
    <cellStyle name="_Modelo Bocas de Ceniza 4_ER08_G_Loans_Vida Media ISA_" xfId="648" xr:uid="{00000000-0005-0000-0000-000088020000}"/>
    <cellStyle name="_Modelo Bocas de Ceniza 4_ER08_PPT Final" xfId="649" xr:uid="{00000000-0005-0000-0000-000089020000}"/>
    <cellStyle name="_Modelo Bocas de Ceniza 4_ER08_Vida Media ISA_" xfId="650" xr:uid="{00000000-0005-0000-0000-00008A020000}"/>
    <cellStyle name="_Modelo Bocas de Ceniza 4_Indicadores" xfId="651" xr:uid="{00000000-0005-0000-0000-00008B020000}"/>
    <cellStyle name="_Modelo Bocas de Ceniza 4_Indicadores 2" xfId="652" xr:uid="{00000000-0005-0000-0000-00008C020000}"/>
    <cellStyle name="_Modelo Bocas de Ceniza 4_Indicadores 2_PPT Final" xfId="653" xr:uid="{00000000-0005-0000-0000-00008D020000}"/>
    <cellStyle name="_Modelo Bocas de Ceniza 4_Indicadores 2_Vida Media ISA_" xfId="654" xr:uid="{00000000-0005-0000-0000-00008E020000}"/>
    <cellStyle name="_Modelo Bocas de Ceniza 4_Indicadores 3" xfId="655" xr:uid="{00000000-0005-0000-0000-00008F020000}"/>
    <cellStyle name="_Modelo Bocas de Ceniza 4_Indicadores 3_PPT Final" xfId="656" xr:uid="{00000000-0005-0000-0000-000090020000}"/>
    <cellStyle name="_Modelo Bocas de Ceniza 4_Indicadores 3_Vida Media ISA_" xfId="657" xr:uid="{00000000-0005-0000-0000-000091020000}"/>
    <cellStyle name="_Modelo Bocas de Ceniza 4_Indicadores 4" xfId="658" xr:uid="{00000000-0005-0000-0000-000092020000}"/>
    <cellStyle name="_Modelo Bocas de Ceniza 4_Indicadores 4_PPT Final" xfId="659" xr:uid="{00000000-0005-0000-0000-000093020000}"/>
    <cellStyle name="_Modelo Bocas de Ceniza 4_Indicadores 4_Vida Media ISA_" xfId="660" xr:uid="{00000000-0005-0000-0000-000094020000}"/>
    <cellStyle name="_Modelo Bocas de Ceniza 4_Indicadores 5" xfId="661" xr:uid="{00000000-0005-0000-0000-000095020000}"/>
    <cellStyle name="_Modelo Bocas de Ceniza 4_Indicadores 6" xfId="662" xr:uid="{00000000-0005-0000-0000-000096020000}"/>
    <cellStyle name="_Modelo Bocas de Ceniza 4_Indicadores 7" xfId="663" xr:uid="{00000000-0005-0000-0000-000097020000}"/>
    <cellStyle name="_Modelo Bocas de Ceniza 4_Indicadores 8" xfId="664" xr:uid="{00000000-0005-0000-0000-000098020000}"/>
    <cellStyle name="_Modelo Bocas de Ceniza 4_Indicadores_ActiFijos" xfId="665" xr:uid="{00000000-0005-0000-0000-000099020000}"/>
    <cellStyle name="_Modelo Bocas de Ceniza 4_Indicadores_ActiFijos_PPT Final" xfId="666" xr:uid="{00000000-0005-0000-0000-00009A020000}"/>
    <cellStyle name="_Modelo Bocas de Ceniza 4_Indicadores_ActiFijos_Vida Media ISA_" xfId="667" xr:uid="{00000000-0005-0000-0000-00009B020000}"/>
    <cellStyle name="_Modelo Bocas de Ceniza 4_Indicadores_C.M.E." xfId="668" xr:uid="{00000000-0005-0000-0000-00009C020000}"/>
    <cellStyle name="_Modelo Bocas de Ceniza 4_Indicadores_C.M.E._PPT Final" xfId="669" xr:uid="{00000000-0005-0000-0000-00009D020000}"/>
    <cellStyle name="_Modelo Bocas de Ceniza 4_Indicadores_C.M.E._Vida Media ISA_" xfId="670" xr:uid="{00000000-0005-0000-0000-00009E020000}"/>
    <cellStyle name="_Modelo Bocas de Ceniza 4_Indicadores_C.M.L." xfId="671" xr:uid="{00000000-0005-0000-0000-00009F020000}"/>
    <cellStyle name="_Modelo Bocas de Ceniza 4_Indicadores_C.M.L._PPT Final" xfId="672" xr:uid="{00000000-0005-0000-0000-0000A0020000}"/>
    <cellStyle name="_Modelo Bocas de Ceniza 4_Indicadores_C.M.L._Vida Media ISA_" xfId="673" xr:uid="{00000000-0005-0000-0000-0000A1020000}"/>
    <cellStyle name="_Modelo Bocas de Ceniza 4_Indicadores_Esc.Macro" xfId="674" xr:uid="{00000000-0005-0000-0000-0000A2020000}"/>
    <cellStyle name="_Modelo Bocas de Ceniza 4_Indicadores_Esc.Macro_PPT Final" xfId="675" xr:uid="{00000000-0005-0000-0000-0000A3020000}"/>
    <cellStyle name="_Modelo Bocas de Ceniza 4_Indicadores_Esc.Macro_Vida Media ISA_" xfId="676" xr:uid="{00000000-0005-0000-0000-0000A4020000}"/>
    <cellStyle name="_Modelo Bocas de Ceniza 4_Indicadores_G_Loans" xfId="677" xr:uid="{00000000-0005-0000-0000-0000A5020000}"/>
    <cellStyle name="_Modelo Bocas de Ceniza 4_Indicadores_G_Loans_PPT Final" xfId="678" xr:uid="{00000000-0005-0000-0000-0000A6020000}"/>
    <cellStyle name="_Modelo Bocas de Ceniza 4_Indicadores_G_Loans_Vida Media ISA_" xfId="679" xr:uid="{00000000-0005-0000-0000-0000A7020000}"/>
    <cellStyle name="_Modelo Bocas de Ceniza 4_Indicadores_PPT Final" xfId="680" xr:uid="{00000000-0005-0000-0000-0000A8020000}"/>
    <cellStyle name="_Modelo Bocas de Ceniza 4_Indicadores_Vida Media ISA_" xfId="681" xr:uid="{00000000-0005-0000-0000-0000A9020000}"/>
    <cellStyle name="_Modelo Bocas de Ceniza 4_Libro1" xfId="682" xr:uid="{00000000-0005-0000-0000-0000AA020000}"/>
    <cellStyle name="_Modelo Bocas de Ceniza 4_Mov Balance" xfId="683" xr:uid="{00000000-0005-0000-0000-0000AB020000}"/>
    <cellStyle name="_Modelo Bocas de Ceniza 4_Mov Balance 2" xfId="684" xr:uid="{00000000-0005-0000-0000-0000AC020000}"/>
    <cellStyle name="_Modelo Bocas de Ceniza 4_Mov Balance 2_PPT Final" xfId="685" xr:uid="{00000000-0005-0000-0000-0000AD020000}"/>
    <cellStyle name="_Modelo Bocas de Ceniza 4_Mov Balance 2_Vida Media ISA_" xfId="686" xr:uid="{00000000-0005-0000-0000-0000AE020000}"/>
    <cellStyle name="_Modelo Bocas de Ceniza 4_Mov Balance 3" xfId="687" xr:uid="{00000000-0005-0000-0000-0000AF020000}"/>
    <cellStyle name="_Modelo Bocas de Ceniza 4_Mov Balance 3_PPT Final" xfId="688" xr:uid="{00000000-0005-0000-0000-0000B0020000}"/>
    <cellStyle name="_Modelo Bocas de Ceniza 4_Mov Balance 3_Vida Media ISA_" xfId="689" xr:uid="{00000000-0005-0000-0000-0000B1020000}"/>
    <cellStyle name="_Modelo Bocas de Ceniza 4_Mov Balance 4" xfId="690" xr:uid="{00000000-0005-0000-0000-0000B2020000}"/>
    <cellStyle name="_Modelo Bocas de Ceniza 4_Mov Balance 4_PPT Final" xfId="691" xr:uid="{00000000-0005-0000-0000-0000B3020000}"/>
    <cellStyle name="_Modelo Bocas de Ceniza 4_Mov Balance 4_Vida Media ISA_" xfId="692" xr:uid="{00000000-0005-0000-0000-0000B4020000}"/>
    <cellStyle name="_Modelo Bocas de Ceniza 4_Mov Balance 5" xfId="693" xr:uid="{00000000-0005-0000-0000-0000B5020000}"/>
    <cellStyle name="_Modelo Bocas de Ceniza 4_Mov Balance 6" xfId="694" xr:uid="{00000000-0005-0000-0000-0000B6020000}"/>
    <cellStyle name="_Modelo Bocas de Ceniza 4_Mov Balance 7" xfId="695" xr:uid="{00000000-0005-0000-0000-0000B7020000}"/>
    <cellStyle name="_Modelo Bocas de Ceniza 4_Mov Balance 8" xfId="696" xr:uid="{00000000-0005-0000-0000-0000B8020000}"/>
    <cellStyle name="_Modelo Bocas de Ceniza 4_Mov Balance_ActiFijos" xfId="697" xr:uid="{00000000-0005-0000-0000-0000B9020000}"/>
    <cellStyle name="_Modelo Bocas de Ceniza 4_Mov Balance_ActiFijos_PPT Final" xfId="698" xr:uid="{00000000-0005-0000-0000-0000BA020000}"/>
    <cellStyle name="_Modelo Bocas de Ceniza 4_Mov Balance_ActiFijos_Vida Media ISA_" xfId="699" xr:uid="{00000000-0005-0000-0000-0000BB020000}"/>
    <cellStyle name="_Modelo Bocas de Ceniza 4_Mov Balance_C.M.E." xfId="700" xr:uid="{00000000-0005-0000-0000-0000BC020000}"/>
    <cellStyle name="_Modelo Bocas de Ceniza 4_Mov Balance_C.M.E._PPT Final" xfId="701" xr:uid="{00000000-0005-0000-0000-0000BD020000}"/>
    <cellStyle name="_Modelo Bocas de Ceniza 4_Mov Balance_C.M.E._Vida Media ISA_" xfId="702" xr:uid="{00000000-0005-0000-0000-0000BE020000}"/>
    <cellStyle name="_Modelo Bocas de Ceniza 4_Mov Balance_C.M.L." xfId="703" xr:uid="{00000000-0005-0000-0000-0000BF020000}"/>
    <cellStyle name="_Modelo Bocas de Ceniza 4_Mov Balance_C.M.L._PPT Final" xfId="704" xr:uid="{00000000-0005-0000-0000-0000C0020000}"/>
    <cellStyle name="_Modelo Bocas de Ceniza 4_Mov Balance_C.M.L._Vida Media ISA_" xfId="705" xr:uid="{00000000-0005-0000-0000-0000C1020000}"/>
    <cellStyle name="_Modelo Bocas de Ceniza 4_Mov Balance_EF-2008-07-consolidado" xfId="706" xr:uid="{00000000-0005-0000-0000-0000C2020000}"/>
    <cellStyle name="_Modelo Bocas de Ceniza 4_Mov Balance_EF-2008-08-consolidado" xfId="707" xr:uid="{00000000-0005-0000-0000-0000C3020000}"/>
    <cellStyle name="_Modelo Bocas de Ceniza 4_Mov Balance_EF-2008-09-consolidado" xfId="708" xr:uid="{00000000-0005-0000-0000-0000C4020000}"/>
    <cellStyle name="_Modelo Bocas de Ceniza 4_Mov Balance_EF-2008-10-consolidado" xfId="709" xr:uid="{00000000-0005-0000-0000-0000C5020000}"/>
    <cellStyle name="_Modelo Bocas de Ceniza 4_Mov Balance_EF-2008-11-consolidado" xfId="710" xr:uid="{00000000-0005-0000-0000-0000C6020000}"/>
    <cellStyle name="_Modelo Bocas de Ceniza 4_Mov Balance_EF-2008-12-consolidado" xfId="711" xr:uid="{00000000-0005-0000-0000-0000C7020000}"/>
    <cellStyle name="_Modelo Bocas de Ceniza 4_Mov Balance_EF-2009-03-consolidado" xfId="712" xr:uid="{00000000-0005-0000-0000-0000C8020000}"/>
    <cellStyle name="_Modelo Bocas de Ceniza 4_Mov Balance_Esc.Macro" xfId="713" xr:uid="{00000000-0005-0000-0000-0000C9020000}"/>
    <cellStyle name="_Modelo Bocas de Ceniza 4_Mov Balance_Esc.Macro_PPT Final" xfId="714" xr:uid="{00000000-0005-0000-0000-0000CA020000}"/>
    <cellStyle name="_Modelo Bocas de Ceniza 4_Mov Balance_Esc.Macro_Vida Media ISA_" xfId="715" xr:uid="{00000000-0005-0000-0000-0000CB020000}"/>
    <cellStyle name="_Modelo Bocas de Ceniza 4_Mov Balance_G_Loans" xfId="716" xr:uid="{00000000-0005-0000-0000-0000CC020000}"/>
    <cellStyle name="_Modelo Bocas de Ceniza 4_Mov Balance_G_Loans_PPT Final" xfId="717" xr:uid="{00000000-0005-0000-0000-0000CD020000}"/>
    <cellStyle name="_Modelo Bocas de Ceniza 4_Mov Balance_G_Loans_Vida Media ISA_" xfId="718" xr:uid="{00000000-0005-0000-0000-0000CE020000}"/>
    <cellStyle name="_Modelo Bocas de Ceniza 4_Mov Balance_Libro1" xfId="719" xr:uid="{00000000-0005-0000-0000-0000CF020000}"/>
    <cellStyle name="_Modelo Bocas de Ceniza 4_Mov Balance_PPT Final" xfId="720" xr:uid="{00000000-0005-0000-0000-0000D0020000}"/>
    <cellStyle name="_Modelo Bocas de Ceniza 4_Mov Balance_Vida Media ISA_" xfId="721" xr:uid="{00000000-0005-0000-0000-0000D1020000}"/>
    <cellStyle name="_Modelo Bocas de Ceniza 4_PPT Final" xfId="722" xr:uid="{00000000-0005-0000-0000-0000D2020000}"/>
    <cellStyle name="_Modelo Bocas de Ceniza 4_Renta" xfId="723" xr:uid="{00000000-0005-0000-0000-0000D3020000}"/>
    <cellStyle name="_Modelo Bocas de Ceniza 4_Renta 2" xfId="724" xr:uid="{00000000-0005-0000-0000-0000D4020000}"/>
    <cellStyle name="_Modelo Bocas de Ceniza 4_Renta 3" xfId="725" xr:uid="{00000000-0005-0000-0000-0000D5020000}"/>
    <cellStyle name="_Modelo Bocas de Ceniza 4_Vida Media ISA_" xfId="726" xr:uid="{00000000-0005-0000-0000-0000D6020000}"/>
    <cellStyle name="_x0001__x0004__x0001_” " xfId="727" xr:uid="{00000000-0005-0000-0000-0000D7020000}"/>
    <cellStyle name="_x0001__x0004__x0001_”  10" xfId="3770" xr:uid="{00000000-0005-0000-0000-0000BA0E0000}"/>
    <cellStyle name="_x0001__x0004__x0001_”  2" xfId="728" xr:uid="{00000000-0005-0000-0000-0000D8020000}"/>
    <cellStyle name="_x0001__x0004__x0001_”  2 2" xfId="3980" xr:uid="{00000000-0005-0000-0000-00008C0F0000}"/>
    <cellStyle name="_x0001__x0004__x0001_”  2 3" xfId="3771" xr:uid="{00000000-0005-0000-0000-0000BB0E0000}"/>
    <cellStyle name="_x0001__x0004__x0001_”  3" xfId="729" xr:uid="{00000000-0005-0000-0000-0000D9020000}"/>
    <cellStyle name="_x0001__x0004__x0001_”  3 2" xfId="3981" xr:uid="{00000000-0005-0000-0000-00008D0F0000}"/>
    <cellStyle name="_x0001__x0004__x0001_”  3 3" xfId="3772" xr:uid="{00000000-0005-0000-0000-0000BC0E0000}"/>
    <cellStyle name="_x0001__x0004__x0001_”  4" xfId="730" xr:uid="{00000000-0005-0000-0000-0000DA020000}"/>
    <cellStyle name="_x0001__x0004__x0001_”  4 2" xfId="3982" xr:uid="{00000000-0005-0000-0000-00008E0F0000}"/>
    <cellStyle name="_x0001__x0004__x0001_”  4 3" xfId="3773" xr:uid="{00000000-0005-0000-0000-0000BD0E0000}"/>
    <cellStyle name="_x0001__x0004__x0001_”  5" xfId="731" xr:uid="{00000000-0005-0000-0000-0000DB020000}"/>
    <cellStyle name="_x0001__x0004__x0001_”  5 2" xfId="732" xr:uid="{00000000-0005-0000-0000-0000DC020000}"/>
    <cellStyle name="_x0001__x0004__x0001_”  5 2 2" xfId="3983" xr:uid="{00000000-0005-0000-0000-00008F0F0000}"/>
    <cellStyle name="_x0001__x0004__x0001_”  5 2 3" xfId="3775" xr:uid="{00000000-0005-0000-0000-0000BF0E0000}"/>
    <cellStyle name="_x0001__x0004__x0001_”  5 3" xfId="733" xr:uid="{00000000-0005-0000-0000-0000DD020000}"/>
    <cellStyle name="_x0001__x0004__x0001_”  5 3 2" xfId="3984" xr:uid="{00000000-0005-0000-0000-0000900F0000}"/>
    <cellStyle name="_x0001__x0004__x0001_”  5 3 3" xfId="3776" xr:uid="{00000000-0005-0000-0000-0000C00E0000}"/>
    <cellStyle name="_x0001__x0004__x0001_”  5 4" xfId="734" xr:uid="{00000000-0005-0000-0000-0000DE020000}"/>
    <cellStyle name="_x0001__x0004__x0001_”  5 4 2" xfId="3777" xr:uid="{00000000-0005-0000-0000-0000C10E0000}"/>
    <cellStyle name="_x0001__x0004__x0001_”  5 5" xfId="735" xr:uid="{00000000-0005-0000-0000-0000DF020000}"/>
    <cellStyle name="_x0001__x0004__x0001_”  5 5 2" xfId="3778" xr:uid="{00000000-0005-0000-0000-0000C20E0000}"/>
    <cellStyle name="_x0001__x0004__x0001_”  5 6" xfId="3774" xr:uid="{00000000-0005-0000-0000-0000BE0E0000}"/>
    <cellStyle name="_x0001__x0004__x0001_”  6" xfId="736" xr:uid="{00000000-0005-0000-0000-0000E0020000}"/>
    <cellStyle name="_x0001__x0004__x0001_”  6 2" xfId="3985" xr:uid="{00000000-0005-0000-0000-0000910F0000}"/>
    <cellStyle name="_x0001__x0004__x0001_”  6 3" xfId="3779" xr:uid="{00000000-0005-0000-0000-0000C30E0000}"/>
    <cellStyle name="_x0001__x0004__x0001_”  7" xfId="737" xr:uid="{00000000-0005-0000-0000-0000E1020000}"/>
    <cellStyle name="_x0001__x0004__x0001_”  7 2" xfId="3986" xr:uid="{00000000-0005-0000-0000-0000920F0000}"/>
    <cellStyle name="_x0001__x0004__x0001_”  7 3" xfId="3780" xr:uid="{00000000-0005-0000-0000-0000C40E0000}"/>
    <cellStyle name="_x0001__x0004__x0001_”  8" xfId="738" xr:uid="{00000000-0005-0000-0000-0000E2020000}"/>
    <cellStyle name="_x0001__x0004__x0001_”  8 2" xfId="3781" xr:uid="{00000000-0005-0000-0000-0000C50E0000}"/>
    <cellStyle name="_x0001__x0004__x0001_”  9" xfId="739" xr:uid="{00000000-0005-0000-0000-0000E3020000}"/>
    <cellStyle name="_x0001__x0004__x0001_”  9 2" xfId="3782" xr:uid="{00000000-0005-0000-0000-0000C60E0000}"/>
    <cellStyle name="=C:\WINNT35\SYSTEM32\COMMAND.COM" xfId="740" xr:uid="{00000000-0005-0000-0000-0000E4020000}"/>
    <cellStyle name="=C:\WINNT35\SYSTEM32\COMMAND.COM 2" xfId="741" xr:uid="{00000000-0005-0000-0000-0000E5020000}"/>
    <cellStyle name="=C:\WINNT35\SYSTEM32\COMMAND.COM 2 2" xfId="742" xr:uid="{00000000-0005-0000-0000-0000E6020000}"/>
    <cellStyle name="=C:\WINNT35\SYSTEM32\COMMAND.COM 2 2 2" xfId="3987" xr:uid="{00000000-0005-0000-0000-0000930F0000}"/>
    <cellStyle name="=C:\WINNT35\SYSTEM32\COMMAND.COM 2 3" xfId="743" xr:uid="{00000000-0005-0000-0000-0000E7020000}"/>
    <cellStyle name="=C:\WINNT35\SYSTEM32\COMMAND.COM 2 3 2" xfId="3988" xr:uid="{00000000-0005-0000-0000-0000940F0000}"/>
    <cellStyle name="=C:\WINNT35\SYSTEM32\COMMAND.COM 2 4" xfId="744" xr:uid="{00000000-0005-0000-0000-0000E8020000}"/>
    <cellStyle name="=C:\WINNT35\SYSTEM32\COMMAND.COM 2 4 2" xfId="3989" xr:uid="{00000000-0005-0000-0000-0000950F0000}"/>
    <cellStyle name="=C:\WINNT35\SYSTEM32\COMMAND.COM 2 5" xfId="745" xr:uid="{00000000-0005-0000-0000-0000E9020000}"/>
    <cellStyle name="=C:\WINNT35\SYSTEM32\COMMAND.COM 2 5 2" xfId="3990" xr:uid="{00000000-0005-0000-0000-0000960F0000}"/>
    <cellStyle name="=C:\WINNT35\SYSTEM32\COMMAND.COM 2 6" xfId="746" xr:uid="{00000000-0005-0000-0000-0000EA020000}"/>
    <cellStyle name="=C:\WINNT35\SYSTEM32\COMMAND.COM 2 6 2" xfId="3991" xr:uid="{00000000-0005-0000-0000-0000970F0000}"/>
    <cellStyle name="=C:\WINNT35\SYSTEM32\COMMAND.COM 2 7" xfId="747" xr:uid="{00000000-0005-0000-0000-0000EB020000}"/>
    <cellStyle name="=C:\WINNT35\SYSTEM32\COMMAND.COM 2 8" xfId="748" xr:uid="{00000000-0005-0000-0000-0000EC020000}"/>
    <cellStyle name="=C:\WINNT35\SYSTEM32\COMMAND.COM 2_ActiFijos" xfId="749" xr:uid="{00000000-0005-0000-0000-0000ED020000}"/>
    <cellStyle name="=C:\WINNT35\SYSTEM32\COMMAND.COM 3" xfId="750" xr:uid="{00000000-0005-0000-0000-0000EE020000}"/>
    <cellStyle name="=C:\WINNT35\SYSTEM32\COMMAND.COM 3 2" xfId="751" xr:uid="{00000000-0005-0000-0000-0000EF020000}"/>
    <cellStyle name="=C:\WINNT35\SYSTEM32\COMMAND.COM 3 2 2" xfId="3992" xr:uid="{00000000-0005-0000-0000-0000980F0000}"/>
    <cellStyle name="=C:\WINNT35\SYSTEM32\COMMAND.COM 3 3" xfId="752" xr:uid="{00000000-0005-0000-0000-0000F0020000}"/>
    <cellStyle name="=C:\WINNT35\SYSTEM32\COMMAND.COM 3 3 2" xfId="3993" xr:uid="{00000000-0005-0000-0000-0000990F0000}"/>
    <cellStyle name="=C:\WINNT35\SYSTEM32\COMMAND.COM 3 4" xfId="753" xr:uid="{00000000-0005-0000-0000-0000F1020000}"/>
    <cellStyle name="=C:\WINNT35\SYSTEM32\COMMAND.COM 3 4 2" xfId="3994" xr:uid="{00000000-0005-0000-0000-00009A0F0000}"/>
    <cellStyle name="=C:\WINNT35\SYSTEM32\COMMAND.COM 3 5" xfId="754" xr:uid="{00000000-0005-0000-0000-0000F2020000}"/>
    <cellStyle name="=C:\WINNT35\SYSTEM32\COMMAND.COM 3 5 2" xfId="3995" xr:uid="{00000000-0005-0000-0000-00009B0F0000}"/>
    <cellStyle name="=C:\WINNT35\SYSTEM32\COMMAND.COM 3 6" xfId="755" xr:uid="{00000000-0005-0000-0000-0000F3020000}"/>
    <cellStyle name="=C:\WINNT35\SYSTEM32\COMMAND.COM 3 6 2" xfId="3996" xr:uid="{00000000-0005-0000-0000-00009C0F0000}"/>
    <cellStyle name="=C:\WINNT35\SYSTEM32\COMMAND.COM 3 7" xfId="756" xr:uid="{00000000-0005-0000-0000-0000F4020000}"/>
    <cellStyle name="=C:\WINNT35\SYSTEM32\COMMAND.COM 3 8" xfId="757" xr:uid="{00000000-0005-0000-0000-0000F5020000}"/>
    <cellStyle name="=C:\WINNT35\SYSTEM32\COMMAND.COM 3_ActiFijos" xfId="758" xr:uid="{00000000-0005-0000-0000-0000F6020000}"/>
    <cellStyle name="=C:\WINNT35\SYSTEM32\COMMAND.COM 4" xfId="759" xr:uid="{00000000-0005-0000-0000-0000F7020000}"/>
    <cellStyle name="=C:\WINNT35\SYSTEM32\COMMAND.COM 4 2" xfId="760" xr:uid="{00000000-0005-0000-0000-0000F8020000}"/>
    <cellStyle name="=C:\WINNT35\SYSTEM32\COMMAND.COM 4 2 2" xfId="3997" xr:uid="{00000000-0005-0000-0000-00009D0F0000}"/>
    <cellStyle name="=C:\WINNT35\SYSTEM32\COMMAND.COM 4 3" xfId="761" xr:uid="{00000000-0005-0000-0000-0000F9020000}"/>
    <cellStyle name="=C:\WINNT35\SYSTEM32\COMMAND.COM 4 3 2" xfId="3998" xr:uid="{00000000-0005-0000-0000-00009E0F0000}"/>
    <cellStyle name="=C:\WINNT35\SYSTEM32\COMMAND.COM 4 4" xfId="762" xr:uid="{00000000-0005-0000-0000-0000FA020000}"/>
    <cellStyle name="=C:\WINNT35\SYSTEM32\COMMAND.COM 4 4 2" xfId="3999" xr:uid="{00000000-0005-0000-0000-00009F0F0000}"/>
    <cellStyle name="=C:\WINNT35\SYSTEM32\COMMAND.COM 4 5" xfId="763" xr:uid="{00000000-0005-0000-0000-0000FB020000}"/>
    <cellStyle name="=C:\WINNT35\SYSTEM32\COMMAND.COM 4 5 2" xfId="4000" xr:uid="{00000000-0005-0000-0000-0000A00F0000}"/>
    <cellStyle name="=C:\WINNT35\SYSTEM32\COMMAND.COM 4 6" xfId="764" xr:uid="{00000000-0005-0000-0000-0000FC020000}"/>
    <cellStyle name="=C:\WINNT35\SYSTEM32\COMMAND.COM 4 6 2" xfId="4001" xr:uid="{00000000-0005-0000-0000-0000A10F0000}"/>
    <cellStyle name="=C:\WINNT35\SYSTEM32\COMMAND.COM 4 7" xfId="765" xr:uid="{00000000-0005-0000-0000-0000FD020000}"/>
    <cellStyle name="=C:\WINNT35\SYSTEM32\COMMAND.COM 4 8" xfId="766" xr:uid="{00000000-0005-0000-0000-0000FE020000}"/>
    <cellStyle name="=C:\WINNT35\SYSTEM32\COMMAND.COM 4_ActiFijos" xfId="767" xr:uid="{00000000-0005-0000-0000-0000FF020000}"/>
    <cellStyle name="=C:\WINNT35\SYSTEM32\COMMAND.COM 5" xfId="4002" xr:uid="{00000000-0005-0000-0000-0000A20F0000}"/>
    <cellStyle name="=C:\WINNT35\SYSTEM32\COMMAND.COM_Bases_Generales" xfId="768" xr:uid="{00000000-0005-0000-0000-000000030000}"/>
    <cellStyle name="0.0%" xfId="769" xr:uid="{00000000-0005-0000-0000-000001030000}"/>
    <cellStyle name="0.0% 2" xfId="770" xr:uid="{00000000-0005-0000-0000-000002030000}"/>
    <cellStyle name="0.0% 2 2" xfId="771" xr:uid="{00000000-0005-0000-0000-000003030000}"/>
    <cellStyle name="0.0% 2 3" xfId="772" xr:uid="{00000000-0005-0000-0000-000004030000}"/>
    <cellStyle name="0.0% 2 4" xfId="773" xr:uid="{00000000-0005-0000-0000-000005030000}"/>
    <cellStyle name="0.0% 2 5" xfId="774" xr:uid="{00000000-0005-0000-0000-000006030000}"/>
    <cellStyle name="0.0% 2 6" xfId="775" xr:uid="{00000000-0005-0000-0000-000007030000}"/>
    <cellStyle name="0.0% 2 7" xfId="776" xr:uid="{00000000-0005-0000-0000-000008030000}"/>
    <cellStyle name="0.0% 2 8" xfId="777" xr:uid="{00000000-0005-0000-0000-000009030000}"/>
    <cellStyle name="0.0% 3" xfId="778" xr:uid="{00000000-0005-0000-0000-00000A030000}"/>
    <cellStyle name="0.0% 3 2" xfId="779" xr:uid="{00000000-0005-0000-0000-00000B030000}"/>
    <cellStyle name="0.0% 3 3" xfId="780" xr:uid="{00000000-0005-0000-0000-00000C030000}"/>
    <cellStyle name="0.0% 3 4" xfId="781" xr:uid="{00000000-0005-0000-0000-00000D030000}"/>
    <cellStyle name="0.0% 3 5" xfId="782" xr:uid="{00000000-0005-0000-0000-00000E030000}"/>
    <cellStyle name="0.0% 3 6" xfId="783" xr:uid="{00000000-0005-0000-0000-00000F030000}"/>
    <cellStyle name="0.0% 3 7" xfId="784" xr:uid="{00000000-0005-0000-0000-000010030000}"/>
    <cellStyle name="0.0% 3 8" xfId="785" xr:uid="{00000000-0005-0000-0000-000011030000}"/>
    <cellStyle name="0.0% 4" xfId="786" xr:uid="{00000000-0005-0000-0000-000012030000}"/>
    <cellStyle name="0.0% 4 2" xfId="787" xr:uid="{00000000-0005-0000-0000-000013030000}"/>
    <cellStyle name="0.0% 4 3" xfId="788" xr:uid="{00000000-0005-0000-0000-000014030000}"/>
    <cellStyle name="0.0% 4 4" xfId="789" xr:uid="{00000000-0005-0000-0000-000015030000}"/>
    <cellStyle name="0.0% 4 5" xfId="790" xr:uid="{00000000-0005-0000-0000-000016030000}"/>
    <cellStyle name="0.0% 4 6" xfId="791" xr:uid="{00000000-0005-0000-0000-000017030000}"/>
    <cellStyle name="0.0% 4 7" xfId="792" xr:uid="{00000000-0005-0000-0000-000018030000}"/>
    <cellStyle name="0.0% 4 8" xfId="793" xr:uid="{00000000-0005-0000-0000-000019030000}"/>
    <cellStyle name="01/01/83" xfId="794" xr:uid="{00000000-0005-0000-0000-00001A030000}"/>
    <cellStyle name="01/01/83 2" xfId="795" xr:uid="{00000000-0005-0000-0000-00001B030000}"/>
    <cellStyle name="01/01/83 2 2" xfId="796" xr:uid="{00000000-0005-0000-0000-00001C030000}"/>
    <cellStyle name="01/01/83 2 2 2" xfId="4003" xr:uid="{00000000-0005-0000-0000-0000A30F0000}"/>
    <cellStyle name="01/01/83 2 3" xfId="797" xr:uid="{00000000-0005-0000-0000-00001D030000}"/>
    <cellStyle name="01/01/83 2 3 2" xfId="4004" xr:uid="{00000000-0005-0000-0000-0000A40F0000}"/>
    <cellStyle name="01/01/83 2 4" xfId="798" xr:uid="{00000000-0005-0000-0000-00001E030000}"/>
    <cellStyle name="01/01/83 2 4 2" xfId="4005" xr:uid="{00000000-0005-0000-0000-0000A50F0000}"/>
    <cellStyle name="01/01/83 2 5" xfId="799" xr:uid="{00000000-0005-0000-0000-00001F030000}"/>
    <cellStyle name="01/01/83 2 5 2" xfId="4006" xr:uid="{00000000-0005-0000-0000-0000A60F0000}"/>
    <cellStyle name="01/01/83 2 6" xfId="800" xr:uid="{00000000-0005-0000-0000-000020030000}"/>
    <cellStyle name="01/01/83 2 6 2" xfId="4007" xr:uid="{00000000-0005-0000-0000-0000A70F0000}"/>
    <cellStyle name="01/01/83 2 7" xfId="801" xr:uid="{00000000-0005-0000-0000-000021030000}"/>
    <cellStyle name="01/01/83 2 8" xfId="802" xr:uid="{00000000-0005-0000-0000-000022030000}"/>
    <cellStyle name="01/01/83 2_ActiFijos" xfId="803" xr:uid="{00000000-0005-0000-0000-000023030000}"/>
    <cellStyle name="01/01/83 3" xfId="804" xr:uid="{00000000-0005-0000-0000-000024030000}"/>
    <cellStyle name="01/01/83 3 2" xfId="805" xr:uid="{00000000-0005-0000-0000-000025030000}"/>
    <cellStyle name="01/01/83 3 2 2" xfId="4008" xr:uid="{00000000-0005-0000-0000-0000A80F0000}"/>
    <cellStyle name="01/01/83 3 3" xfId="806" xr:uid="{00000000-0005-0000-0000-000026030000}"/>
    <cellStyle name="01/01/83 3 3 2" xfId="4009" xr:uid="{00000000-0005-0000-0000-0000A90F0000}"/>
    <cellStyle name="01/01/83 3 4" xfId="807" xr:uid="{00000000-0005-0000-0000-000027030000}"/>
    <cellStyle name="01/01/83 3 4 2" xfId="4010" xr:uid="{00000000-0005-0000-0000-0000AA0F0000}"/>
    <cellStyle name="01/01/83 3 5" xfId="808" xr:uid="{00000000-0005-0000-0000-000028030000}"/>
    <cellStyle name="01/01/83 3 5 2" xfId="4011" xr:uid="{00000000-0005-0000-0000-0000AB0F0000}"/>
    <cellStyle name="01/01/83 3 6" xfId="809" xr:uid="{00000000-0005-0000-0000-000029030000}"/>
    <cellStyle name="01/01/83 3 6 2" xfId="4012" xr:uid="{00000000-0005-0000-0000-0000AC0F0000}"/>
    <cellStyle name="01/01/83 3 7" xfId="810" xr:uid="{00000000-0005-0000-0000-00002A030000}"/>
    <cellStyle name="01/01/83 3 8" xfId="811" xr:uid="{00000000-0005-0000-0000-00002B030000}"/>
    <cellStyle name="01/01/83 3_ActiFijos" xfId="812" xr:uid="{00000000-0005-0000-0000-00002C030000}"/>
    <cellStyle name="01/01/83 4" xfId="813" xr:uid="{00000000-0005-0000-0000-00002D030000}"/>
    <cellStyle name="01/01/83 4 2" xfId="814" xr:uid="{00000000-0005-0000-0000-00002E030000}"/>
    <cellStyle name="01/01/83 4 2 2" xfId="4013" xr:uid="{00000000-0005-0000-0000-0000AD0F0000}"/>
    <cellStyle name="01/01/83 4 3" xfId="815" xr:uid="{00000000-0005-0000-0000-00002F030000}"/>
    <cellStyle name="01/01/83 4 3 2" xfId="4014" xr:uid="{00000000-0005-0000-0000-0000AE0F0000}"/>
    <cellStyle name="01/01/83 4 4" xfId="816" xr:uid="{00000000-0005-0000-0000-000030030000}"/>
    <cellStyle name="01/01/83 4 4 2" xfId="4015" xr:uid="{00000000-0005-0000-0000-0000AF0F0000}"/>
    <cellStyle name="01/01/83 4 5" xfId="817" xr:uid="{00000000-0005-0000-0000-000031030000}"/>
    <cellStyle name="01/01/83 4 5 2" xfId="4016" xr:uid="{00000000-0005-0000-0000-0000B00F0000}"/>
    <cellStyle name="01/01/83 4 6" xfId="818" xr:uid="{00000000-0005-0000-0000-000032030000}"/>
    <cellStyle name="01/01/83 4 6 2" xfId="4017" xr:uid="{00000000-0005-0000-0000-0000B10F0000}"/>
    <cellStyle name="01/01/83 4 7" xfId="819" xr:uid="{00000000-0005-0000-0000-000033030000}"/>
    <cellStyle name="01/01/83 4 8" xfId="820" xr:uid="{00000000-0005-0000-0000-000034030000}"/>
    <cellStyle name="01/01/83 4_ActiFijos" xfId="821" xr:uid="{00000000-0005-0000-0000-000035030000}"/>
    <cellStyle name="01/01/83 5" xfId="4018" xr:uid="{00000000-0005-0000-0000-0000B20F0000}"/>
    <cellStyle name="01/01/83_Bases_Generales" xfId="822" xr:uid="{00000000-0005-0000-0000-000036030000}"/>
    <cellStyle name="20% - Ênfase1" xfId="823" xr:uid="{00000000-0005-0000-0000-000037030000}"/>
    <cellStyle name="20% - Ênfase2" xfId="824" xr:uid="{00000000-0005-0000-0000-000038030000}"/>
    <cellStyle name="20% - Ênfase3" xfId="825" xr:uid="{00000000-0005-0000-0000-000039030000}"/>
    <cellStyle name="20% - Ênfase4" xfId="826" xr:uid="{00000000-0005-0000-0000-00003A030000}"/>
    <cellStyle name="20% - Ênfase5" xfId="827" xr:uid="{00000000-0005-0000-0000-00003B030000}"/>
    <cellStyle name="20% - Ênfase6" xfId="828" xr:uid="{00000000-0005-0000-0000-00003C030000}"/>
    <cellStyle name="20% - Énfasis1 10" xfId="4019" xr:uid="{00000000-0005-0000-0000-0000B30F0000}"/>
    <cellStyle name="20% - Énfasis1 10 2" xfId="4020" xr:uid="{00000000-0005-0000-0000-0000B40F0000}"/>
    <cellStyle name="20% - Énfasis1 11" xfId="4021" xr:uid="{00000000-0005-0000-0000-0000B50F0000}"/>
    <cellStyle name="20% - Énfasis1 11 2" xfId="4022" xr:uid="{00000000-0005-0000-0000-0000B60F0000}"/>
    <cellStyle name="20% - Énfasis1 12" xfId="4023" xr:uid="{00000000-0005-0000-0000-0000B70F0000}"/>
    <cellStyle name="20% - Énfasis1 12 2" xfId="4024" xr:uid="{00000000-0005-0000-0000-0000B80F0000}"/>
    <cellStyle name="20% - Énfasis1 13" xfId="4025" xr:uid="{00000000-0005-0000-0000-0000B90F0000}"/>
    <cellStyle name="20% - Énfasis1 13 2" xfId="4026" xr:uid="{00000000-0005-0000-0000-0000BA0F0000}"/>
    <cellStyle name="20% - Énfasis1 14" xfId="4027" xr:uid="{00000000-0005-0000-0000-0000BB0F0000}"/>
    <cellStyle name="20% - Énfasis1 14 2" xfId="4028" xr:uid="{00000000-0005-0000-0000-0000BC0F0000}"/>
    <cellStyle name="20% - Énfasis1 15" xfId="4029" xr:uid="{00000000-0005-0000-0000-0000BD0F0000}"/>
    <cellStyle name="20% - Énfasis1 15 2" xfId="4030" xr:uid="{00000000-0005-0000-0000-0000BE0F0000}"/>
    <cellStyle name="20% - Énfasis1 16" xfId="4031" xr:uid="{00000000-0005-0000-0000-0000BF0F0000}"/>
    <cellStyle name="20% - Énfasis1 16 2" xfId="4032" xr:uid="{00000000-0005-0000-0000-0000C00F0000}"/>
    <cellStyle name="20% - Énfasis1 17" xfId="4033" xr:uid="{00000000-0005-0000-0000-0000C10F0000}"/>
    <cellStyle name="20% - Énfasis1 17 2" xfId="4034" xr:uid="{00000000-0005-0000-0000-0000C20F0000}"/>
    <cellStyle name="20% - Énfasis1 18" xfId="4035" xr:uid="{00000000-0005-0000-0000-0000C30F0000}"/>
    <cellStyle name="20% - Énfasis1 18 2" xfId="4036" xr:uid="{00000000-0005-0000-0000-0000C40F0000}"/>
    <cellStyle name="20% - Énfasis1 19" xfId="4037" xr:uid="{00000000-0005-0000-0000-0000C50F0000}"/>
    <cellStyle name="20% - Énfasis1 19 2" xfId="4038" xr:uid="{00000000-0005-0000-0000-0000C60F0000}"/>
    <cellStyle name="20% - Énfasis1 2" xfId="829" xr:uid="{00000000-0005-0000-0000-00003D030000}"/>
    <cellStyle name="20% - Énfasis1 2 2" xfId="830" xr:uid="{00000000-0005-0000-0000-00003E030000}"/>
    <cellStyle name="20% - Énfasis1 2 2 2" xfId="831" xr:uid="{00000000-0005-0000-0000-00003F030000}"/>
    <cellStyle name="20% - Énfasis1 2 2 3" xfId="832" xr:uid="{00000000-0005-0000-0000-000040030000}"/>
    <cellStyle name="20% - Énfasis1 2 2_Deuda septiembre_marcos" xfId="833" xr:uid="{00000000-0005-0000-0000-000041030000}"/>
    <cellStyle name="20% - Énfasis1 2 3" xfId="834" xr:uid="{00000000-0005-0000-0000-000042030000}"/>
    <cellStyle name="20% - Énfasis1 2 3 2" xfId="835" xr:uid="{00000000-0005-0000-0000-000043030000}"/>
    <cellStyle name="20% - Énfasis1 2 3 3" xfId="836" xr:uid="{00000000-0005-0000-0000-000044030000}"/>
    <cellStyle name="20% - Énfasis1 2 3_Deuda septiembre_marcos" xfId="837" xr:uid="{00000000-0005-0000-0000-000045030000}"/>
    <cellStyle name="20% - Énfasis1 2 4" xfId="838" xr:uid="{00000000-0005-0000-0000-000046030000}"/>
    <cellStyle name="20% - Énfasis1 2 5" xfId="839" xr:uid="{00000000-0005-0000-0000-000047030000}"/>
    <cellStyle name="20% - Énfasis1 2 5 2" xfId="4039" xr:uid="{00000000-0005-0000-0000-0000C70F0000}"/>
    <cellStyle name="20% - Énfasis1 2 6" xfId="4040" xr:uid="{00000000-0005-0000-0000-0000C80F0000}"/>
    <cellStyle name="20% - Énfasis1 2 7" xfId="4041" xr:uid="{00000000-0005-0000-0000-0000C90F0000}"/>
    <cellStyle name="20% - Énfasis1 2_Deuda septiembre_marcos" xfId="840" xr:uid="{00000000-0005-0000-0000-000048030000}"/>
    <cellStyle name="20% - Énfasis1 20" xfId="4042" xr:uid="{00000000-0005-0000-0000-0000CA0F0000}"/>
    <cellStyle name="20% - Énfasis1 3" xfId="841" xr:uid="{00000000-0005-0000-0000-000049030000}"/>
    <cellStyle name="20% - Énfasis1 3 2" xfId="842" xr:uid="{00000000-0005-0000-0000-00004A030000}"/>
    <cellStyle name="20% - Énfasis1 3 2 2" xfId="843" xr:uid="{00000000-0005-0000-0000-00004B030000}"/>
    <cellStyle name="20% - Énfasis1 3 2 3" xfId="844" xr:uid="{00000000-0005-0000-0000-00004C030000}"/>
    <cellStyle name="20% - Énfasis1 3 2_Deuda septiembre_marcos" xfId="845" xr:uid="{00000000-0005-0000-0000-00004D030000}"/>
    <cellStyle name="20% - Énfasis1 3 3" xfId="846" xr:uid="{00000000-0005-0000-0000-00004E030000}"/>
    <cellStyle name="20% - Énfasis1 3 3 2" xfId="847" xr:uid="{00000000-0005-0000-0000-00004F030000}"/>
    <cellStyle name="20% - Énfasis1 3 3 3" xfId="848" xr:uid="{00000000-0005-0000-0000-000050030000}"/>
    <cellStyle name="20% - Énfasis1 3 3_Deuda septiembre_marcos" xfId="849" xr:uid="{00000000-0005-0000-0000-000051030000}"/>
    <cellStyle name="20% - Énfasis1 3 4" xfId="850" xr:uid="{00000000-0005-0000-0000-000052030000}"/>
    <cellStyle name="20% - Énfasis1 3 5" xfId="851" xr:uid="{00000000-0005-0000-0000-000053030000}"/>
    <cellStyle name="20% - Énfasis1 3_Deuda septiembre_marcos" xfId="852" xr:uid="{00000000-0005-0000-0000-000054030000}"/>
    <cellStyle name="20% - Énfasis1 4" xfId="853" xr:uid="{00000000-0005-0000-0000-000055030000}"/>
    <cellStyle name="20% - Énfasis1 4 2" xfId="854" xr:uid="{00000000-0005-0000-0000-000056030000}"/>
    <cellStyle name="20% - Énfasis1 4 2 2" xfId="855" xr:uid="{00000000-0005-0000-0000-000057030000}"/>
    <cellStyle name="20% - Énfasis1 4 2 3" xfId="856" xr:uid="{00000000-0005-0000-0000-000058030000}"/>
    <cellStyle name="20% - Énfasis1 4 2_Deuda septiembre_marcos" xfId="857" xr:uid="{00000000-0005-0000-0000-000059030000}"/>
    <cellStyle name="20% - Énfasis1 4 3" xfId="858" xr:uid="{00000000-0005-0000-0000-00005A030000}"/>
    <cellStyle name="20% - Énfasis1 4 3 2" xfId="859" xr:uid="{00000000-0005-0000-0000-00005B030000}"/>
    <cellStyle name="20% - Énfasis1 4 3 3" xfId="860" xr:uid="{00000000-0005-0000-0000-00005C030000}"/>
    <cellStyle name="20% - Énfasis1 4 3_Deuda septiembre_marcos" xfId="861" xr:uid="{00000000-0005-0000-0000-00005D030000}"/>
    <cellStyle name="20% - Énfasis1 4 4" xfId="862" xr:uid="{00000000-0005-0000-0000-00005E030000}"/>
    <cellStyle name="20% - Énfasis1 4 5" xfId="863" xr:uid="{00000000-0005-0000-0000-00005F030000}"/>
    <cellStyle name="20% - Énfasis1 4_Deuda septiembre_marcos" xfId="864" xr:uid="{00000000-0005-0000-0000-000060030000}"/>
    <cellStyle name="20% - Énfasis1 5" xfId="865" xr:uid="{00000000-0005-0000-0000-000061030000}"/>
    <cellStyle name="20% - Énfasis1 5 2" xfId="866" xr:uid="{00000000-0005-0000-0000-000062030000}"/>
    <cellStyle name="20% - Énfasis1 5_Deuda septiembre_marcos" xfId="867" xr:uid="{00000000-0005-0000-0000-000063030000}"/>
    <cellStyle name="20% - Énfasis1 6" xfId="868" xr:uid="{00000000-0005-0000-0000-000064030000}"/>
    <cellStyle name="20% - Énfasis1 6 2" xfId="869" xr:uid="{00000000-0005-0000-0000-000065030000}"/>
    <cellStyle name="20% - Énfasis1 6_Deuda septiembre_marcos" xfId="870" xr:uid="{00000000-0005-0000-0000-000066030000}"/>
    <cellStyle name="20% - Énfasis1 7" xfId="871" xr:uid="{00000000-0005-0000-0000-000067030000}"/>
    <cellStyle name="20% - Énfasis1 7 2" xfId="4043" xr:uid="{00000000-0005-0000-0000-0000CB0F0000}"/>
    <cellStyle name="20% - Énfasis1 7 3" xfId="4044" xr:uid="{00000000-0005-0000-0000-0000CC0F0000}"/>
    <cellStyle name="20% - Énfasis1 8" xfId="4045" xr:uid="{00000000-0005-0000-0000-0000CD0F0000}"/>
    <cellStyle name="20% - Énfasis1 8 2" xfId="4046" xr:uid="{00000000-0005-0000-0000-0000CE0F0000}"/>
    <cellStyle name="20% - Énfasis1 8 3" xfId="4047" xr:uid="{00000000-0005-0000-0000-0000CF0F0000}"/>
    <cellStyle name="20% - Énfasis1 9" xfId="4048" xr:uid="{00000000-0005-0000-0000-0000D00F0000}"/>
    <cellStyle name="20% - Énfasis1 9 2" xfId="4049" xr:uid="{00000000-0005-0000-0000-0000D10F0000}"/>
    <cellStyle name="20% - Énfasis2 10" xfId="4050" xr:uid="{00000000-0005-0000-0000-0000D20F0000}"/>
    <cellStyle name="20% - Énfasis2 10 2" xfId="4051" xr:uid="{00000000-0005-0000-0000-0000D30F0000}"/>
    <cellStyle name="20% - Énfasis2 11" xfId="4052" xr:uid="{00000000-0005-0000-0000-0000D40F0000}"/>
    <cellStyle name="20% - Énfasis2 11 2" xfId="4053" xr:uid="{00000000-0005-0000-0000-0000D50F0000}"/>
    <cellStyle name="20% - Énfasis2 12" xfId="4054" xr:uid="{00000000-0005-0000-0000-0000D60F0000}"/>
    <cellStyle name="20% - Énfasis2 12 2" xfId="4055" xr:uid="{00000000-0005-0000-0000-0000D70F0000}"/>
    <cellStyle name="20% - Énfasis2 13" xfId="4056" xr:uid="{00000000-0005-0000-0000-0000D80F0000}"/>
    <cellStyle name="20% - Énfasis2 13 2" xfId="4057" xr:uid="{00000000-0005-0000-0000-0000D90F0000}"/>
    <cellStyle name="20% - Énfasis2 14" xfId="4058" xr:uid="{00000000-0005-0000-0000-0000DA0F0000}"/>
    <cellStyle name="20% - Énfasis2 14 2" xfId="4059" xr:uid="{00000000-0005-0000-0000-0000DB0F0000}"/>
    <cellStyle name="20% - Énfasis2 15" xfId="4060" xr:uid="{00000000-0005-0000-0000-0000DC0F0000}"/>
    <cellStyle name="20% - Énfasis2 2" xfId="872" xr:uid="{00000000-0005-0000-0000-000068030000}"/>
    <cellStyle name="20% - Énfasis2 2 2" xfId="4061" xr:uid="{00000000-0005-0000-0000-0000DD0F0000}"/>
    <cellStyle name="20% - Énfasis2 2 2 2" xfId="4062" xr:uid="{00000000-0005-0000-0000-0000DE0F0000}"/>
    <cellStyle name="20% - Énfasis2 2 3" xfId="4063" xr:uid="{00000000-0005-0000-0000-0000DF0F0000}"/>
    <cellStyle name="20% - Énfasis2 2 3 2" xfId="4064" xr:uid="{00000000-0005-0000-0000-0000E00F0000}"/>
    <cellStyle name="20% - Énfasis2 2 4" xfId="4065" xr:uid="{00000000-0005-0000-0000-0000E10F0000}"/>
    <cellStyle name="20% - Énfasis2 2 5" xfId="4066" xr:uid="{00000000-0005-0000-0000-0000E20F0000}"/>
    <cellStyle name="20% - Énfasis2 3" xfId="3313" xr:uid="{00000000-0005-0000-0000-0000F10C0000}"/>
    <cellStyle name="20% - Énfasis2 3 2" xfId="4067" xr:uid="{00000000-0005-0000-0000-0000E30F0000}"/>
    <cellStyle name="20% - Énfasis2 3 3" xfId="4068" xr:uid="{00000000-0005-0000-0000-0000E40F0000}"/>
    <cellStyle name="20% - Énfasis2 3 4" xfId="4069" xr:uid="{00000000-0005-0000-0000-0000E50F0000}"/>
    <cellStyle name="20% - Énfasis2 4" xfId="4070" xr:uid="{00000000-0005-0000-0000-0000E60F0000}"/>
    <cellStyle name="20% - Énfasis2 4 2" xfId="4071" xr:uid="{00000000-0005-0000-0000-0000E70F0000}"/>
    <cellStyle name="20% - Énfasis2 4 3" xfId="4072" xr:uid="{00000000-0005-0000-0000-0000E80F0000}"/>
    <cellStyle name="20% - Énfasis2 5" xfId="4073" xr:uid="{00000000-0005-0000-0000-0000E90F0000}"/>
    <cellStyle name="20% - Énfasis2 5 2" xfId="4074" xr:uid="{00000000-0005-0000-0000-0000EA0F0000}"/>
    <cellStyle name="20% - Énfasis2 6" xfId="4075" xr:uid="{00000000-0005-0000-0000-0000EB0F0000}"/>
    <cellStyle name="20% - Énfasis2 6 2" xfId="4076" xr:uid="{00000000-0005-0000-0000-0000EC0F0000}"/>
    <cellStyle name="20% - Énfasis2 7" xfId="4077" xr:uid="{00000000-0005-0000-0000-0000ED0F0000}"/>
    <cellStyle name="20% - Énfasis2 7 2" xfId="4078" xr:uid="{00000000-0005-0000-0000-0000EE0F0000}"/>
    <cellStyle name="20% - Énfasis2 8" xfId="4079" xr:uid="{00000000-0005-0000-0000-0000EF0F0000}"/>
    <cellStyle name="20% - Énfasis2 8 2" xfId="4080" xr:uid="{00000000-0005-0000-0000-0000F00F0000}"/>
    <cellStyle name="20% - Énfasis2 9" xfId="4081" xr:uid="{00000000-0005-0000-0000-0000F10F0000}"/>
    <cellStyle name="20% - Énfasis2 9 2" xfId="4082" xr:uid="{00000000-0005-0000-0000-0000F20F0000}"/>
    <cellStyle name="20% - Énfasis3 10" xfId="4083" xr:uid="{00000000-0005-0000-0000-0000F30F0000}"/>
    <cellStyle name="20% - Énfasis3 10 2" xfId="4084" xr:uid="{00000000-0005-0000-0000-0000F40F0000}"/>
    <cellStyle name="20% - Énfasis3 11" xfId="4085" xr:uid="{00000000-0005-0000-0000-0000F50F0000}"/>
    <cellStyle name="20% - Énfasis3 11 2" xfId="4086" xr:uid="{00000000-0005-0000-0000-0000F60F0000}"/>
    <cellStyle name="20% - Énfasis3 12" xfId="4087" xr:uid="{00000000-0005-0000-0000-0000F70F0000}"/>
    <cellStyle name="20% - Énfasis3 12 2" xfId="4088" xr:uid="{00000000-0005-0000-0000-0000F80F0000}"/>
    <cellStyle name="20% - Énfasis3 13" xfId="4089" xr:uid="{00000000-0005-0000-0000-0000F90F0000}"/>
    <cellStyle name="20% - Énfasis3 13 2" xfId="4090" xr:uid="{00000000-0005-0000-0000-0000FA0F0000}"/>
    <cellStyle name="20% - Énfasis3 14" xfId="4091" xr:uid="{00000000-0005-0000-0000-0000FB0F0000}"/>
    <cellStyle name="20% - Énfasis3 14 2" xfId="4092" xr:uid="{00000000-0005-0000-0000-0000FC0F0000}"/>
    <cellStyle name="20% - Énfasis3 15" xfId="4093" xr:uid="{00000000-0005-0000-0000-0000FD0F0000}"/>
    <cellStyle name="20% - Énfasis3 15 2" xfId="4094" xr:uid="{00000000-0005-0000-0000-0000FE0F0000}"/>
    <cellStyle name="20% - Énfasis3 16" xfId="4095" xr:uid="{00000000-0005-0000-0000-0000FF0F0000}"/>
    <cellStyle name="20% - Énfasis3 2" xfId="873" xr:uid="{00000000-0005-0000-0000-000069030000}"/>
    <cellStyle name="20% - Énfasis3 2 2" xfId="874" xr:uid="{00000000-0005-0000-0000-00006A030000}"/>
    <cellStyle name="20% - Énfasis3 2 2 2" xfId="4096" xr:uid="{00000000-0005-0000-0000-000000100000}"/>
    <cellStyle name="20% - Énfasis3 2 2 3" xfId="4097" xr:uid="{00000000-0005-0000-0000-000001100000}"/>
    <cellStyle name="20% - Énfasis3 2 2 4" xfId="4098" xr:uid="{00000000-0005-0000-0000-000002100000}"/>
    <cellStyle name="20% - Énfasis3 2 2 4 2" xfId="4099" xr:uid="{00000000-0005-0000-0000-000003100000}"/>
    <cellStyle name="20% - Énfasis3 2 3" xfId="4100" xr:uid="{00000000-0005-0000-0000-000004100000}"/>
    <cellStyle name="20% - Énfasis3 2 4" xfId="4101" xr:uid="{00000000-0005-0000-0000-000005100000}"/>
    <cellStyle name="20% - Énfasis3 2 4 2" xfId="4102" xr:uid="{00000000-0005-0000-0000-000006100000}"/>
    <cellStyle name="20% - Énfasis3 2 5" xfId="4103" xr:uid="{00000000-0005-0000-0000-000007100000}"/>
    <cellStyle name="20% - Énfasis3 2 6" xfId="4104" xr:uid="{00000000-0005-0000-0000-000008100000}"/>
    <cellStyle name="20% - Énfasis3 2_Deuda septiembre_marcos" xfId="875" xr:uid="{00000000-0005-0000-0000-00006B030000}"/>
    <cellStyle name="20% - Énfasis3 3" xfId="3314" xr:uid="{00000000-0005-0000-0000-0000F20C0000}"/>
    <cellStyle name="20% - Énfasis3 3 2" xfId="4105" xr:uid="{00000000-0005-0000-0000-000009100000}"/>
    <cellStyle name="20% - Énfasis3 3 3" xfId="4106" xr:uid="{00000000-0005-0000-0000-00000A100000}"/>
    <cellStyle name="20% - Énfasis3 3 4" xfId="4107" xr:uid="{00000000-0005-0000-0000-00000B100000}"/>
    <cellStyle name="20% - Énfasis3 4" xfId="4108" xr:uid="{00000000-0005-0000-0000-00000C100000}"/>
    <cellStyle name="20% - Énfasis3 4 2" xfId="4109" xr:uid="{00000000-0005-0000-0000-00000D100000}"/>
    <cellStyle name="20% - Énfasis3 4 3" xfId="4110" xr:uid="{00000000-0005-0000-0000-00000E100000}"/>
    <cellStyle name="20% - Énfasis3 5" xfId="4111" xr:uid="{00000000-0005-0000-0000-00000F100000}"/>
    <cellStyle name="20% - Énfasis3 5 2" xfId="4112" xr:uid="{00000000-0005-0000-0000-000010100000}"/>
    <cellStyle name="20% - Énfasis3 6" xfId="4113" xr:uid="{00000000-0005-0000-0000-000011100000}"/>
    <cellStyle name="20% - Énfasis3 6 2" xfId="4114" xr:uid="{00000000-0005-0000-0000-000012100000}"/>
    <cellStyle name="20% - Énfasis3 7" xfId="4115" xr:uid="{00000000-0005-0000-0000-000013100000}"/>
    <cellStyle name="20% - Énfasis3 7 2" xfId="4116" xr:uid="{00000000-0005-0000-0000-000014100000}"/>
    <cellStyle name="20% - Énfasis3 8" xfId="4117" xr:uid="{00000000-0005-0000-0000-000015100000}"/>
    <cellStyle name="20% - Énfasis3 8 2" xfId="4118" xr:uid="{00000000-0005-0000-0000-000016100000}"/>
    <cellStyle name="20% - Énfasis3 9" xfId="4119" xr:uid="{00000000-0005-0000-0000-000017100000}"/>
    <cellStyle name="20% - Énfasis3 9 2" xfId="4120" xr:uid="{00000000-0005-0000-0000-000018100000}"/>
    <cellStyle name="20% - Énfasis4 10" xfId="4121" xr:uid="{00000000-0005-0000-0000-000019100000}"/>
    <cellStyle name="20% - Énfasis4 10 2" xfId="4122" xr:uid="{00000000-0005-0000-0000-00001A100000}"/>
    <cellStyle name="20% - Énfasis4 11" xfId="4123" xr:uid="{00000000-0005-0000-0000-00001B100000}"/>
    <cellStyle name="20% - Énfasis4 11 2" xfId="4124" xr:uid="{00000000-0005-0000-0000-00001C100000}"/>
    <cellStyle name="20% - Énfasis4 12" xfId="4125" xr:uid="{00000000-0005-0000-0000-00001D100000}"/>
    <cellStyle name="20% - Énfasis4 12 2" xfId="4126" xr:uid="{00000000-0005-0000-0000-00001E100000}"/>
    <cellStyle name="20% - Énfasis4 13" xfId="4127" xr:uid="{00000000-0005-0000-0000-00001F100000}"/>
    <cellStyle name="20% - Énfasis4 13 2" xfId="4128" xr:uid="{00000000-0005-0000-0000-000020100000}"/>
    <cellStyle name="20% - Énfasis4 14" xfId="4129" xr:uid="{00000000-0005-0000-0000-000021100000}"/>
    <cellStyle name="20% - Énfasis4 14 2" xfId="4130" xr:uid="{00000000-0005-0000-0000-000022100000}"/>
    <cellStyle name="20% - Énfasis4 15" xfId="4131" xr:uid="{00000000-0005-0000-0000-000023100000}"/>
    <cellStyle name="20% - Énfasis4 15 2" xfId="4132" xr:uid="{00000000-0005-0000-0000-000024100000}"/>
    <cellStyle name="20% - Énfasis4 16" xfId="4133" xr:uid="{00000000-0005-0000-0000-000025100000}"/>
    <cellStyle name="20% - Énfasis4 16 2" xfId="4134" xr:uid="{00000000-0005-0000-0000-000026100000}"/>
    <cellStyle name="20% - Énfasis4 17" xfId="4135" xr:uid="{00000000-0005-0000-0000-000027100000}"/>
    <cellStyle name="20% - Énfasis4 2" xfId="876" xr:uid="{00000000-0005-0000-0000-00006C030000}"/>
    <cellStyle name="20% - Énfasis4 2 2" xfId="877" xr:uid="{00000000-0005-0000-0000-00006D030000}"/>
    <cellStyle name="20% - Énfasis4 2 2 2" xfId="4136" xr:uid="{00000000-0005-0000-0000-000028100000}"/>
    <cellStyle name="20% - Énfasis4 2 2 3" xfId="4137" xr:uid="{00000000-0005-0000-0000-000029100000}"/>
    <cellStyle name="20% - Énfasis4 2 2 4" xfId="4138" xr:uid="{00000000-0005-0000-0000-00002A100000}"/>
    <cellStyle name="20% - Énfasis4 2 2 4 2" xfId="4139" xr:uid="{00000000-0005-0000-0000-00002B100000}"/>
    <cellStyle name="20% - Énfasis4 2 3" xfId="4140" xr:uid="{00000000-0005-0000-0000-00002C100000}"/>
    <cellStyle name="20% - Énfasis4 2 4" xfId="4141" xr:uid="{00000000-0005-0000-0000-00002D100000}"/>
    <cellStyle name="20% - Énfasis4 2 4 2" xfId="4142" xr:uid="{00000000-0005-0000-0000-00002E100000}"/>
    <cellStyle name="20% - Énfasis4 2 5" xfId="4143" xr:uid="{00000000-0005-0000-0000-00002F100000}"/>
    <cellStyle name="20% - Énfasis4 2 6" xfId="4144" xr:uid="{00000000-0005-0000-0000-000030100000}"/>
    <cellStyle name="20% - Énfasis4 2_Deuda septiembre_marcos" xfId="878" xr:uid="{00000000-0005-0000-0000-00006E030000}"/>
    <cellStyle name="20% - Énfasis4 3" xfId="879" xr:uid="{00000000-0005-0000-0000-00006F030000}"/>
    <cellStyle name="20% - Énfasis4 3 2" xfId="880" xr:uid="{00000000-0005-0000-0000-000070030000}"/>
    <cellStyle name="20% - Énfasis4 3_Deuda septiembre_marcos" xfId="881" xr:uid="{00000000-0005-0000-0000-000071030000}"/>
    <cellStyle name="20% - Énfasis4 4" xfId="4145" xr:uid="{00000000-0005-0000-0000-000031100000}"/>
    <cellStyle name="20% - Énfasis4 4 2" xfId="4146" xr:uid="{00000000-0005-0000-0000-000032100000}"/>
    <cellStyle name="20% - Énfasis4 4 3" xfId="4147" xr:uid="{00000000-0005-0000-0000-000033100000}"/>
    <cellStyle name="20% - Énfasis4 5" xfId="4148" xr:uid="{00000000-0005-0000-0000-000034100000}"/>
    <cellStyle name="20% - Énfasis4 5 2" xfId="4149" xr:uid="{00000000-0005-0000-0000-000035100000}"/>
    <cellStyle name="20% - Énfasis4 5 3" xfId="4150" xr:uid="{00000000-0005-0000-0000-000036100000}"/>
    <cellStyle name="20% - Énfasis4 6" xfId="4151" xr:uid="{00000000-0005-0000-0000-000037100000}"/>
    <cellStyle name="20% - Énfasis4 6 2" xfId="4152" xr:uid="{00000000-0005-0000-0000-000038100000}"/>
    <cellStyle name="20% - Énfasis4 7" xfId="4153" xr:uid="{00000000-0005-0000-0000-000039100000}"/>
    <cellStyle name="20% - Énfasis4 7 2" xfId="4154" xr:uid="{00000000-0005-0000-0000-00003A100000}"/>
    <cellStyle name="20% - Énfasis4 8" xfId="4155" xr:uid="{00000000-0005-0000-0000-00003B100000}"/>
    <cellStyle name="20% - Énfasis4 8 2" xfId="4156" xr:uid="{00000000-0005-0000-0000-00003C100000}"/>
    <cellStyle name="20% - Énfasis4 9" xfId="4157" xr:uid="{00000000-0005-0000-0000-00003D100000}"/>
    <cellStyle name="20% - Énfasis4 9 2" xfId="4158" xr:uid="{00000000-0005-0000-0000-00003E100000}"/>
    <cellStyle name="20% - Énfasis5 10" xfId="4159" xr:uid="{00000000-0005-0000-0000-00003F100000}"/>
    <cellStyle name="20% - Énfasis5 10 2" xfId="4160" xr:uid="{00000000-0005-0000-0000-000040100000}"/>
    <cellStyle name="20% - Énfasis5 11" xfId="4161" xr:uid="{00000000-0005-0000-0000-000041100000}"/>
    <cellStyle name="20% - Énfasis5 11 2" xfId="4162" xr:uid="{00000000-0005-0000-0000-000042100000}"/>
    <cellStyle name="20% - Énfasis5 12" xfId="4163" xr:uid="{00000000-0005-0000-0000-000043100000}"/>
    <cellStyle name="20% - Énfasis5 12 2" xfId="4164" xr:uid="{00000000-0005-0000-0000-000044100000}"/>
    <cellStyle name="20% - Énfasis5 13" xfId="4165" xr:uid="{00000000-0005-0000-0000-000045100000}"/>
    <cellStyle name="20% - Énfasis5 13 2" xfId="4166" xr:uid="{00000000-0005-0000-0000-000046100000}"/>
    <cellStyle name="20% - Énfasis5 14" xfId="4167" xr:uid="{00000000-0005-0000-0000-000047100000}"/>
    <cellStyle name="20% - Énfasis5 14 2" xfId="4168" xr:uid="{00000000-0005-0000-0000-000048100000}"/>
    <cellStyle name="20% - Énfasis5 15" xfId="4169" xr:uid="{00000000-0005-0000-0000-000049100000}"/>
    <cellStyle name="20% - Énfasis5 15 2" xfId="4170" xr:uid="{00000000-0005-0000-0000-00004A100000}"/>
    <cellStyle name="20% - Énfasis5 16" xfId="4171" xr:uid="{00000000-0005-0000-0000-00004B100000}"/>
    <cellStyle name="20% - Énfasis5 2" xfId="882" xr:uid="{00000000-0005-0000-0000-000072030000}"/>
    <cellStyle name="20% - Énfasis5 2 2" xfId="883" xr:uid="{00000000-0005-0000-0000-000073030000}"/>
    <cellStyle name="20% - Énfasis5 2 2 2" xfId="4172" xr:uid="{00000000-0005-0000-0000-00004C100000}"/>
    <cellStyle name="20% - Énfasis5 2 2 3" xfId="4173" xr:uid="{00000000-0005-0000-0000-00004D100000}"/>
    <cellStyle name="20% - Énfasis5 2 2 4" xfId="4174" xr:uid="{00000000-0005-0000-0000-00004E100000}"/>
    <cellStyle name="20% - Énfasis5 2 2 4 2" xfId="4175" xr:uid="{00000000-0005-0000-0000-00004F100000}"/>
    <cellStyle name="20% - Énfasis5 2 3" xfId="4176" xr:uid="{00000000-0005-0000-0000-000050100000}"/>
    <cellStyle name="20% - Énfasis5 2 4" xfId="4177" xr:uid="{00000000-0005-0000-0000-000051100000}"/>
    <cellStyle name="20% - Énfasis5 2 4 2" xfId="4178" xr:uid="{00000000-0005-0000-0000-000052100000}"/>
    <cellStyle name="20% - Énfasis5 2 5" xfId="4179" xr:uid="{00000000-0005-0000-0000-000053100000}"/>
    <cellStyle name="20% - Énfasis5 2 6" xfId="4180" xr:uid="{00000000-0005-0000-0000-000054100000}"/>
    <cellStyle name="20% - Énfasis5 2_Deuda septiembre_marcos" xfId="884" xr:uid="{00000000-0005-0000-0000-000074030000}"/>
    <cellStyle name="20% - Énfasis5 3" xfId="3315" xr:uid="{00000000-0005-0000-0000-0000F30C0000}"/>
    <cellStyle name="20% - Énfasis5 3 2" xfId="4181" xr:uid="{00000000-0005-0000-0000-000055100000}"/>
    <cellStyle name="20% - Énfasis5 3 3" xfId="4182" xr:uid="{00000000-0005-0000-0000-000056100000}"/>
    <cellStyle name="20% - Énfasis5 3 4" xfId="4183" xr:uid="{00000000-0005-0000-0000-000057100000}"/>
    <cellStyle name="20% - Énfasis5 4" xfId="4184" xr:uid="{00000000-0005-0000-0000-000058100000}"/>
    <cellStyle name="20% - Énfasis5 4 2" xfId="4185" xr:uid="{00000000-0005-0000-0000-000059100000}"/>
    <cellStyle name="20% - Énfasis5 4 3" xfId="4186" xr:uid="{00000000-0005-0000-0000-00005A100000}"/>
    <cellStyle name="20% - Énfasis5 5" xfId="4187" xr:uid="{00000000-0005-0000-0000-00005B100000}"/>
    <cellStyle name="20% - Énfasis5 5 2" xfId="4188" xr:uid="{00000000-0005-0000-0000-00005C100000}"/>
    <cellStyle name="20% - Énfasis5 6" xfId="4189" xr:uid="{00000000-0005-0000-0000-00005D100000}"/>
    <cellStyle name="20% - Énfasis5 6 2" xfId="4190" xr:uid="{00000000-0005-0000-0000-00005E100000}"/>
    <cellStyle name="20% - Énfasis5 7" xfId="4191" xr:uid="{00000000-0005-0000-0000-00005F100000}"/>
    <cellStyle name="20% - Énfasis5 7 2" xfId="4192" xr:uid="{00000000-0005-0000-0000-000060100000}"/>
    <cellStyle name="20% - Énfasis5 8" xfId="4193" xr:uid="{00000000-0005-0000-0000-000061100000}"/>
    <cellStyle name="20% - Énfasis5 8 2" xfId="4194" xr:uid="{00000000-0005-0000-0000-000062100000}"/>
    <cellStyle name="20% - Énfasis5 9" xfId="4195" xr:uid="{00000000-0005-0000-0000-000063100000}"/>
    <cellStyle name="20% - Énfasis5 9 2" xfId="4196" xr:uid="{00000000-0005-0000-0000-000064100000}"/>
    <cellStyle name="20% - Énfasis6 10" xfId="4197" xr:uid="{00000000-0005-0000-0000-000065100000}"/>
    <cellStyle name="20% - Énfasis6 10 2" xfId="4198" xr:uid="{00000000-0005-0000-0000-000066100000}"/>
    <cellStyle name="20% - Énfasis6 11" xfId="4199" xr:uid="{00000000-0005-0000-0000-000067100000}"/>
    <cellStyle name="20% - Énfasis6 11 2" xfId="4200" xr:uid="{00000000-0005-0000-0000-000068100000}"/>
    <cellStyle name="20% - Énfasis6 12" xfId="4201" xr:uid="{00000000-0005-0000-0000-000069100000}"/>
    <cellStyle name="20% - Énfasis6 12 2" xfId="4202" xr:uid="{00000000-0005-0000-0000-00006A100000}"/>
    <cellStyle name="20% - Énfasis6 13" xfId="4203" xr:uid="{00000000-0005-0000-0000-00006B100000}"/>
    <cellStyle name="20% - Énfasis6 13 2" xfId="4204" xr:uid="{00000000-0005-0000-0000-00006C100000}"/>
    <cellStyle name="20% - Énfasis6 14" xfId="4205" xr:uid="{00000000-0005-0000-0000-00006D100000}"/>
    <cellStyle name="20% - Énfasis6 14 2" xfId="4206" xr:uid="{00000000-0005-0000-0000-00006E100000}"/>
    <cellStyle name="20% - Énfasis6 15" xfId="4207" xr:uid="{00000000-0005-0000-0000-00006F100000}"/>
    <cellStyle name="20% - Énfasis6 15 2" xfId="4208" xr:uid="{00000000-0005-0000-0000-000070100000}"/>
    <cellStyle name="20% - Énfasis6 16" xfId="4209" xr:uid="{00000000-0005-0000-0000-000071100000}"/>
    <cellStyle name="20% - Énfasis6 2" xfId="885" xr:uid="{00000000-0005-0000-0000-000075030000}"/>
    <cellStyle name="20% - Énfasis6 2 2" xfId="886" xr:uid="{00000000-0005-0000-0000-000076030000}"/>
    <cellStyle name="20% - Énfasis6 2 2 2" xfId="4210" xr:uid="{00000000-0005-0000-0000-000072100000}"/>
    <cellStyle name="20% - Énfasis6 2 2 3" xfId="4211" xr:uid="{00000000-0005-0000-0000-000073100000}"/>
    <cellStyle name="20% - Énfasis6 2 2 4" xfId="4212" xr:uid="{00000000-0005-0000-0000-000074100000}"/>
    <cellStyle name="20% - Énfasis6 2 2 4 2" xfId="4213" xr:uid="{00000000-0005-0000-0000-000075100000}"/>
    <cellStyle name="20% - Énfasis6 2 3" xfId="4214" xr:uid="{00000000-0005-0000-0000-000076100000}"/>
    <cellStyle name="20% - Énfasis6 2 4" xfId="4215" xr:uid="{00000000-0005-0000-0000-000077100000}"/>
    <cellStyle name="20% - Énfasis6 2 4 2" xfId="4216" xr:uid="{00000000-0005-0000-0000-000078100000}"/>
    <cellStyle name="20% - Énfasis6 2 5" xfId="4217" xr:uid="{00000000-0005-0000-0000-000079100000}"/>
    <cellStyle name="20% - Énfasis6 2 6" xfId="4218" xr:uid="{00000000-0005-0000-0000-00007A100000}"/>
    <cellStyle name="20% - Énfasis6 2_Deuda septiembre_marcos" xfId="887" xr:uid="{00000000-0005-0000-0000-000077030000}"/>
    <cellStyle name="20% - Énfasis6 3" xfId="3316" xr:uid="{00000000-0005-0000-0000-0000F40C0000}"/>
    <cellStyle name="20% - Énfasis6 3 2" xfId="4219" xr:uid="{00000000-0005-0000-0000-00007B100000}"/>
    <cellStyle name="20% - Énfasis6 3 3" xfId="4220" xr:uid="{00000000-0005-0000-0000-00007C100000}"/>
    <cellStyle name="20% - Énfasis6 3 4" xfId="4221" xr:uid="{00000000-0005-0000-0000-00007D100000}"/>
    <cellStyle name="20% - Énfasis6 4" xfId="4222" xr:uid="{00000000-0005-0000-0000-00007E100000}"/>
    <cellStyle name="20% - Énfasis6 4 2" xfId="4223" xr:uid="{00000000-0005-0000-0000-00007F100000}"/>
    <cellStyle name="20% - Énfasis6 4 3" xfId="4224" xr:uid="{00000000-0005-0000-0000-000080100000}"/>
    <cellStyle name="20% - Énfasis6 5" xfId="4225" xr:uid="{00000000-0005-0000-0000-000081100000}"/>
    <cellStyle name="20% - Énfasis6 5 2" xfId="4226" xr:uid="{00000000-0005-0000-0000-000082100000}"/>
    <cellStyle name="20% - Énfasis6 6" xfId="4227" xr:uid="{00000000-0005-0000-0000-000083100000}"/>
    <cellStyle name="20% - Énfasis6 6 2" xfId="4228" xr:uid="{00000000-0005-0000-0000-000084100000}"/>
    <cellStyle name="20% - Énfasis6 7" xfId="4229" xr:uid="{00000000-0005-0000-0000-000085100000}"/>
    <cellStyle name="20% - Énfasis6 7 2" xfId="4230" xr:uid="{00000000-0005-0000-0000-000086100000}"/>
    <cellStyle name="20% - Énfasis6 8" xfId="4231" xr:uid="{00000000-0005-0000-0000-000087100000}"/>
    <cellStyle name="20% - Énfasis6 8 2" xfId="4232" xr:uid="{00000000-0005-0000-0000-000088100000}"/>
    <cellStyle name="20% - Énfasis6 9" xfId="4233" xr:uid="{00000000-0005-0000-0000-000089100000}"/>
    <cellStyle name="20% - Énfasis6 9 2" xfId="4234" xr:uid="{00000000-0005-0000-0000-00008A100000}"/>
    <cellStyle name="40% - Ênfase1" xfId="888" xr:uid="{00000000-0005-0000-0000-000078030000}"/>
    <cellStyle name="40% - Ênfase2" xfId="889" xr:uid="{00000000-0005-0000-0000-000079030000}"/>
    <cellStyle name="40% - Ênfase3" xfId="890" xr:uid="{00000000-0005-0000-0000-00007A030000}"/>
    <cellStyle name="40% - Ênfase4" xfId="891" xr:uid="{00000000-0005-0000-0000-00007B030000}"/>
    <cellStyle name="40% - Ênfase5" xfId="892" xr:uid="{00000000-0005-0000-0000-00007C030000}"/>
    <cellStyle name="40% - Ênfase6" xfId="893" xr:uid="{00000000-0005-0000-0000-00007D030000}"/>
    <cellStyle name="40% - Énfasis1 10" xfId="4235" xr:uid="{00000000-0005-0000-0000-00008B100000}"/>
    <cellStyle name="40% - Énfasis1 10 2" xfId="4236" xr:uid="{00000000-0005-0000-0000-00008C100000}"/>
    <cellStyle name="40% - Énfasis1 11" xfId="4237" xr:uid="{00000000-0005-0000-0000-00008D100000}"/>
    <cellStyle name="40% - Énfasis1 11 2" xfId="4238" xr:uid="{00000000-0005-0000-0000-00008E100000}"/>
    <cellStyle name="40% - Énfasis1 12" xfId="4239" xr:uid="{00000000-0005-0000-0000-00008F100000}"/>
    <cellStyle name="40% - Énfasis1 12 2" xfId="4240" xr:uid="{00000000-0005-0000-0000-000090100000}"/>
    <cellStyle name="40% - Énfasis1 13" xfId="4241" xr:uid="{00000000-0005-0000-0000-000091100000}"/>
    <cellStyle name="40% - Énfasis1 13 2" xfId="4242" xr:uid="{00000000-0005-0000-0000-000092100000}"/>
    <cellStyle name="40% - Énfasis1 14" xfId="4243" xr:uid="{00000000-0005-0000-0000-000093100000}"/>
    <cellStyle name="40% - Énfasis1 14 2" xfId="4244" xr:uid="{00000000-0005-0000-0000-000094100000}"/>
    <cellStyle name="40% - Énfasis1 15" xfId="4245" xr:uid="{00000000-0005-0000-0000-000095100000}"/>
    <cellStyle name="40% - Énfasis1 15 2" xfId="4246" xr:uid="{00000000-0005-0000-0000-000096100000}"/>
    <cellStyle name="40% - Énfasis1 16" xfId="4247" xr:uid="{00000000-0005-0000-0000-000097100000}"/>
    <cellStyle name="40% - Énfasis1 2" xfId="894" xr:uid="{00000000-0005-0000-0000-00007E030000}"/>
    <cellStyle name="40% - Énfasis1 2 2" xfId="895" xr:uid="{00000000-0005-0000-0000-00007F030000}"/>
    <cellStyle name="40% - Énfasis1 2 2 2" xfId="4248" xr:uid="{00000000-0005-0000-0000-000098100000}"/>
    <cellStyle name="40% - Énfasis1 2 2 3" xfId="4249" xr:uid="{00000000-0005-0000-0000-000099100000}"/>
    <cellStyle name="40% - Énfasis1 2 2 4" xfId="4250" xr:uid="{00000000-0005-0000-0000-00009A100000}"/>
    <cellStyle name="40% - Énfasis1 2 2 4 2" xfId="4251" xr:uid="{00000000-0005-0000-0000-00009B100000}"/>
    <cellStyle name="40% - Énfasis1 2 3" xfId="4252" xr:uid="{00000000-0005-0000-0000-00009C100000}"/>
    <cellStyle name="40% - Énfasis1 2 4" xfId="4253" xr:uid="{00000000-0005-0000-0000-00009D100000}"/>
    <cellStyle name="40% - Énfasis1 2 4 2" xfId="4254" xr:uid="{00000000-0005-0000-0000-00009E100000}"/>
    <cellStyle name="40% - Énfasis1 2 5" xfId="4255" xr:uid="{00000000-0005-0000-0000-00009F100000}"/>
    <cellStyle name="40% - Énfasis1 2 6" xfId="4256" xr:uid="{00000000-0005-0000-0000-0000A0100000}"/>
    <cellStyle name="40% - Énfasis1 2_Deuda septiembre_marcos" xfId="896" xr:uid="{00000000-0005-0000-0000-000080030000}"/>
    <cellStyle name="40% - Énfasis1 3" xfId="3317" xr:uid="{00000000-0005-0000-0000-0000F50C0000}"/>
    <cellStyle name="40% - Énfasis1 3 2" xfId="4257" xr:uid="{00000000-0005-0000-0000-0000A1100000}"/>
    <cellStyle name="40% - Énfasis1 3 3" xfId="4258" xr:uid="{00000000-0005-0000-0000-0000A2100000}"/>
    <cellStyle name="40% - Énfasis1 3 4" xfId="4259" xr:uid="{00000000-0005-0000-0000-0000A3100000}"/>
    <cellStyle name="40% - Énfasis1 4" xfId="4260" xr:uid="{00000000-0005-0000-0000-0000A4100000}"/>
    <cellStyle name="40% - Énfasis1 4 2" xfId="4261" xr:uid="{00000000-0005-0000-0000-0000A5100000}"/>
    <cellStyle name="40% - Énfasis1 4 3" xfId="4262" xr:uid="{00000000-0005-0000-0000-0000A6100000}"/>
    <cellStyle name="40% - Énfasis1 5" xfId="4263" xr:uid="{00000000-0005-0000-0000-0000A7100000}"/>
    <cellStyle name="40% - Énfasis1 5 2" xfId="4264" xr:uid="{00000000-0005-0000-0000-0000A8100000}"/>
    <cellStyle name="40% - Énfasis1 6" xfId="4265" xr:uid="{00000000-0005-0000-0000-0000A9100000}"/>
    <cellStyle name="40% - Énfasis1 6 2" xfId="4266" xr:uid="{00000000-0005-0000-0000-0000AA100000}"/>
    <cellStyle name="40% - Énfasis1 7" xfId="4267" xr:uid="{00000000-0005-0000-0000-0000AB100000}"/>
    <cellStyle name="40% - Énfasis1 7 2" xfId="4268" xr:uid="{00000000-0005-0000-0000-0000AC100000}"/>
    <cellStyle name="40% - Énfasis1 8" xfId="4269" xr:uid="{00000000-0005-0000-0000-0000AD100000}"/>
    <cellStyle name="40% - Énfasis1 8 2" xfId="4270" xr:uid="{00000000-0005-0000-0000-0000AE100000}"/>
    <cellStyle name="40% - Énfasis1 9" xfId="4271" xr:uid="{00000000-0005-0000-0000-0000AF100000}"/>
    <cellStyle name="40% - Énfasis1 9 2" xfId="4272" xr:uid="{00000000-0005-0000-0000-0000B0100000}"/>
    <cellStyle name="40% - Énfasis2 10" xfId="4273" xr:uid="{00000000-0005-0000-0000-0000B1100000}"/>
    <cellStyle name="40% - Énfasis2 10 2" xfId="4274" xr:uid="{00000000-0005-0000-0000-0000B2100000}"/>
    <cellStyle name="40% - Énfasis2 11" xfId="4275" xr:uid="{00000000-0005-0000-0000-0000B3100000}"/>
    <cellStyle name="40% - Énfasis2 11 2" xfId="4276" xr:uid="{00000000-0005-0000-0000-0000B4100000}"/>
    <cellStyle name="40% - Énfasis2 12" xfId="4277" xr:uid="{00000000-0005-0000-0000-0000B5100000}"/>
    <cellStyle name="40% - Énfasis2 12 2" xfId="4278" xr:uid="{00000000-0005-0000-0000-0000B6100000}"/>
    <cellStyle name="40% - Énfasis2 13" xfId="4279" xr:uid="{00000000-0005-0000-0000-0000B7100000}"/>
    <cellStyle name="40% - Énfasis2 13 2" xfId="4280" xr:uid="{00000000-0005-0000-0000-0000B8100000}"/>
    <cellStyle name="40% - Énfasis2 14" xfId="4281" xr:uid="{00000000-0005-0000-0000-0000B9100000}"/>
    <cellStyle name="40% - Énfasis2 14 2" xfId="4282" xr:uid="{00000000-0005-0000-0000-0000BA100000}"/>
    <cellStyle name="40% - Énfasis2 15" xfId="4283" xr:uid="{00000000-0005-0000-0000-0000BB100000}"/>
    <cellStyle name="40% - Énfasis2 2" xfId="897" xr:uid="{00000000-0005-0000-0000-000081030000}"/>
    <cellStyle name="40% - Énfasis2 2 2" xfId="4284" xr:uid="{00000000-0005-0000-0000-0000BC100000}"/>
    <cellStyle name="40% - Énfasis2 2 2 2" xfId="4285" xr:uid="{00000000-0005-0000-0000-0000BD100000}"/>
    <cellStyle name="40% - Énfasis2 2 3" xfId="4286" xr:uid="{00000000-0005-0000-0000-0000BE100000}"/>
    <cellStyle name="40% - Énfasis2 2 3 2" xfId="4287" xr:uid="{00000000-0005-0000-0000-0000BF100000}"/>
    <cellStyle name="40% - Énfasis2 2 4" xfId="4288" xr:uid="{00000000-0005-0000-0000-0000C0100000}"/>
    <cellStyle name="40% - Énfasis2 2 5" xfId="4289" xr:uid="{00000000-0005-0000-0000-0000C1100000}"/>
    <cellStyle name="40% - Énfasis2 3" xfId="3318" xr:uid="{00000000-0005-0000-0000-0000F60C0000}"/>
    <cellStyle name="40% - Énfasis2 3 2" xfId="4290" xr:uid="{00000000-0005-0000-0000-0000C2100000}"/>
    <cellStyle name="40% - Énfasis2 3 3" xfId="4291" xr:uid="{00000000-0005-0000-0000-0000C3100000}"/>
    <cellStyle name="40% - Énfasis2 3 4" xfId="4292" xr:uid="{00000000-0005-0000-0000-0000C4100000}"/>
    <cellStyle name="40% - Énfasis2 4" xfId="4293" xr:uid="{00000000-0005-0000-0000-0000C5100000}"/>
    <cellStyle name="40% - Énfasis2 4 2" xfId="4294" xr:uid="{00000000-0005-0000-0000-0000C6100000}"/>
    <cellStyle name="40% - Énfasis2 4 3" xfId="4295" xr:uid="{00000000-0005-0000-0000-0000C7100000}"/>
    <cellStyle name="40% - Énfasis2 5" xfId="4296" xr:uid="{00000000-0005-0000-0000-0000C8100000}"/>
    <cellStyle name="40% - Énfasis2 5 2" xfId="4297" xr:uid="{00000000-0005-0000-0000-0000C9100000}"/>
    <cellStyle name="40% - Énfasis2 6" xfId="4298" xr:uid="{00000000-0005-0000-0000-0000CA100000}"/>
    <cellStyle name="40% - Énfasis2 6 2" xfId="4299" xr:uid="{00000000-0005-0000-0000-0000CB100000}"/>
    <cellStyle name="40% - Énfasis2 7" xfId="4300" xr:uid="{00000000-0005-0000-0000-0000CC100000}"/>
    <cellStyle name="40% - Énfasis2 7 2" xfId="4301" xr:uid="{00000000-0005-0000-0000-0000CD100000}"/>
    <cellStyle name="40% - Énfasis2 8" xfId="4302" xr:uid="{00000000-0005-0000-0000-0000CE100000}"/>
    <cellStyle name="40% - Énfasis2 8 2" xfId="4303" xr:uid="{00000000-0005-0000-0000-0000CF100000}"/>
    <cellStyle name="40% - Énfasis2 9" xfId="4304" xr:uid="{00000000-0005-0000-0000-0000D0100000}"/>
    <cellStyle name="40% - Énfasis2 9 2" xfId="4305" xr:uid="{00000000-0005-0000-0000-0000D1100000}"/>
    <cellStyle name="40% - Énfasis3 10" xfId="4306" xr:uid="{00000000-0005-0000-0000-0000D2100000}"/>
    <cellStyle name="40% - Énfasis3 10 2" xfId="4307" xr:uid="{00000000-0005-0000-0000-0000D3100000}"/>
    <cellStyle name="40% - Énfasis3 11" xfId="4308" xr:uid="{00000000-0005-0000-0000-0000D4100000}"/>
    <cellStyle name="40% - Énfasis3 11 2" xfId="4309" xr:uid="{00000000-0005-0000-0000-0000D5100000}"/>
    <cellStyle name="40% - Énfasis3 12" xfId="4310" xr:uid="{00000000-0005-0000-0000-0000D6100000}"/>
    <cellStyle name="40% - Énfasis3 12 2" xfId="4311" xr:uid="{00000000-0005-0000-0000-0000D7100000}"/>
    <cellStyle name="40% - Énfasis3 13" xfId="4312" xr:uid="{00000000-0005-0000-0000-0000D8100000}"/>
    <cellStyle name="40% - Énfasis3 13 2" xfId="4313" xr:uid="{00000000-0005-0000-0000-0000D9100000}"/>
    <cellStyle name="40% - Énfasis3 14" xfId="4314" xr:uid="{00000000-0005-0000-0000-0000DA100000}"/>
    <cellStyle name="40% - Énfasis3 14 2" xfId="4315" xr:uid="{00000000-0005-0000-0000-0000DB100000}"/>
    <cellStyle name="40% - Énfasis3 15" xfId="4316" xr:uid="{00000000-0005-0000-0000-0000DC100000}"/>
    <cellStyle name="40% - Énfasis3 15 2" xfId="4317" xr:uid="{00000000-0005-0000-0000-0000DD100000}"/>
    <cellStyle name="40% - Énfasis3 16" xfId="4318" xr:uid="{00000000-0005-0000-0000-0000DE100000}"/>
    <cellStyle name="40% - Énfasis3 16 2" xfId="4319" xr:uid="{00000000-0005-0000-0000-0000DF100000}"/>
    <cellStyle name="40% - Énfasis3 17" xfId="4320" xr:uid="{00000000-0005-0000-0000-0000E0100000}"/>
    <cellStyle name="40% - Énfasis3 2" xfId="898" xr:uid="{00000000-0005-0000-0000-000082030000}"/>
    <cellStyle name="40% - Énfasis3 2 2" xfId="899" xr:uid="{00000000-0005-0000-0000-000083030000}"/>
    <cellStyle name="40% - Énfasis3 2 3" xfId="4321" xr:uid="{00000000-0005-0000-0000-0000E1100000}"/>
    <cellStyle name="40% - Énfasis3 2 4" xfId="4322" xr:uid="{00000000-0005-0000-0000-0000E2100000}"/>
    <cellStyle name="40% - Énfasis3 2 4 2" xfId="4323" xr:uid="{00000000-0005-0000-0000-0000E3100000}"/>
    <cellStyle name="40% - Énfasis3 2 5" xfId="4324" xr:uid="{00000000-0005-0000-0000-0000E4100000}"/>
    <cellStyle name="40% - Énfasis3 2 6" xfId="4325" xr:uid="{00000000-0005-0000-0000-0000E5100000}"/>
    <cellStyle name="40% - Énfasis3 2_Deuda septiembre_marcos" xfId="900" xr:uid="{00000000-0005-0000-0000-000084030000}"/>
    <cellStyle name="40% - Énfasis3 3" xfId="901" xr:uid="{00000000-0005-0000-0000-000085030000}"/>
    <cellStyle name="40% - Énfasis3 3 2" xfId="902" xr:uid="{00000000-0005-0000-0000-000086030000}"/>
    <cellStyle name="40% - Énfasis3 3_Deuda septiembre_marcos" xfId="903" xr:uid="{00000000-0005-0000-0000-000087030000}"/>
    <cellStyle name="40% - Énfasis3 4" xfId="904" xr:uid="{00000000-0005-0000-0000-000088030000}"/>
    <cellStyle name="40% - Énfasis3 4 2" xfId="4326" xr:uid="{00000000-0005-0000-0000-0000E6100000}"/>
    <cellStyle name="40% - Énfasis3 4 3" xfId="4327" xr:uid="{00000000-0005-0000-0000-0000E7100000}"/>
    <cellStyle name="40% - Énfasis3 5" xfId="4328" xr:uid="{00000000-0005-0000-0000-0000E8100000}"/>
    <cellStyle name="40% - Énfasis3 5 2" xfId="4329" xr:uid="{00000000-0005-0000-0000-0000E9100000}"/>
    <cellStyle name="40% - Énfasis3 5 3" xfId="4330" xr:uid="{00000000-0005-0000-0000-0000EA100000}"/>
    <cellStyle name="40% - Énfasis3 6" xfId="4331" xr:uid="{00000000-0005-0000-0000-0000EB100000}"/>
    <cellStyle name="40% - Énfasis3 6 2" xfId="4332" xr:uid="{00000000-0005-0000-0000-0000EC100000}"/>
    <cellStyle name="40% - Énfasis3 7" xfId="4333" xr:uid="{00000000-0005-0000-0000-0000ED100000}"/>
    <cellStyle name="40% - Énfasis3 7 2" xfId="4334" xr:uid="{00000000-0005-0000-0000-0000EE100000}"/>
    <cellStyle name="40% - Énfasis3 8" xfId="4335" xr:uid="{00000000-0005-0000-0000-0000EF100000}"/>
    <cellStyle name="40% - Énfasis3 8 2" xfId="4336" xr:uid="{00000000-0005-0000-0000-0000F0100000}"/>
    <cellStyle name="40% - Énfasis3 9" xfId="4337" xr:uid="{00000000-0005-0000-0000-0000F1100000}"/>
    <cellStyle name="40% - Énfasis3 9 2" xfId="4338" xr:uid="{00000000-0005-0000-0000-0000F2100000}"/>
    <cellStyle name="40% - Énfasis4 10" xfId="4339" xr:uid="{00000000-0005-0000-0000-0000F3100000}"/>
    <cellStyle name="40% - Énfasis4 10 2" xfId="4340" xr:uid="{00000000-0005-0000-0000-0000F4100000}"/>
    <cellStyle name="40% - Énfasis4 11" xfId="4341" xr:uid="{00000000-0005-0000-0000-0000F5100000}"/>
    <cellStyle name="40% - Énfasis4 11 2" xfId="4342" xr:uid="{00000000-0005-0000-0000-0000F6100000}"/>
    <cellStyle name="40% - Énfasis4 12" xfId="4343" xr:uid="{00000000-0005-0000-0000-0000F7100000}"/>
    <cellStyle name="40% - Énfasis4 12 2" xfId="4344" xr:uid="{00000000-0005-0000-0000-0000F8100000}"/>
    <cellStyle name="40% - Énfasis4 13" xfId="4345" xr:uid="{00000000-0005-0000-0000-0000F9100000}"/>
    <cellStyle name="40% - Énfasis4 13 2" xfId="4346" xr:uid="{00000000-0005-0000-0000-0000FA100000}"/>
    <cellStyle name="40% - Énfasis4 14" xfId="4347" xr:uid="{00000000-0005-0000-0000-0000FB100000}"/>
    <cellStyle name="40% - Énfasis4 14 2" xfId="4348" xr:uid="{00000000-0005-0000-0000-0000FC100000}"/>
    <cellStyle name="40% - Énfasis4 15" xfId="4349" xr:uid="{00000000-0005-0000-0000-0000FD100000}"/>
    <cellStyle name="40% - Énfasis4 15 2" xfId="4350" xr:uid="{00000000-0005-0000-0000-0000FE100000}"/>
    <cellStyle name="40% - Énfasis4 16" xfId="4351" xr:uid="{00000000-0005-0000-0000-0000FF100000}"/>
    <cellStyle name="40% - Énfasis4 2" xfId="905" xr:uid="{00000000-0005-0000-0000-000089030000}"/>
    <cellStyle name="40% - Énfasis4 2 2" xfId="906" xr:uid="{00000000-0005-0000-0000-00008A030000}"/>
    <cellStyle name="40% - Énfasis4 2 2 2" xfId="4352" xr:uid="{00000000-0005-0000-0000-000000110000}"/>
    <cellStyle name="40% - Énfasis4 2 2 3" xfId="4353" xr:uid="{00000000-0005-0000-0000-000001110000}"/>
    <cellStyle name="40% - Énfasis4 2 2 4" xfId="4354" xr:uid="{00000000-0005-0000-0000-000002110000}"/>
    <cellStyle name="40% - Énfasis4 2 2 4 2" xfId="4355" xr:uid="{00000000-0005-0000-0000-000003110000}"/>
    <cellStyle name="40% - Énfasis4 2 3" xfId="4356" xr:uid="{00000000-0005-0000-0000-000004110000}"/>
    <cellStyle name="40% - Énfasis4 2 4" xfId="4357" xr:uid="{00000000-0005-0000-0000-000005110000}"/>
    <cellStyle name="40% - Énfasis4 2 4 2" xfId="4358" xr:uid="{00000000-0005-0000-0000-000006110000}"/>
    <cellStyle name="40% - Énfasis4 2 5" xfId="4359" xr:uid="{00000000-0005-0000-0000-000007110000}"/>
    <cellStyle name="40% - Énfasis4 2 6" xfId="4360" xr:uid="{00000000-0005-0000-0000-000008110000}"/>
    <cellStyle name="40% - Énfasis4 2_Deuda septiembre_marcos" xfId="907" xr:uid="{00000000-0005-0000-0000-00008B030000}"/>
    <cellStyle name="40% - Énfasis4 3" xfId="3319" xr:uid="{00000000-0005-0000-0000-0000F70C0000}"/>
    <cellStyle name="40% - Énfasis4 3 2" xfId="4361" xr:uid="{00000000-0005-0000-0000-000009110000}"/>
    <cellStyle name="40% - Énfasis4 3 3" xfId="4362" xr:uid="{00000000-0005-0000-0000-00000A110000}"/>
    <cellStyle name="40% - Énfasis4 3 4" xfId="4363" xr:uid="{00000000-0005-0000-0000-00000B110000}"/>
    <cellStyle name="40% - Énfasis4 4" xfId="4364" xr:uid="{00000000-0005-0000-0000-00000C110000}"/>
    <cellStyle name="40% - Énfasis4 4 2" xfId="4365" xr:uid="{00000000-0005-0000-0000-00000D110000}"/>
    <cellStyle name="40% - Énfasis4 4 3" xfId="4366" xr:uid="{00000000-0005-0000-0000-00000E110000}"/>
    <cellStyle name="40% - Énfasis4 5" xfId="4367" xr:uid="{00000000-0005-0000-0000-00000F110000}"/>
    <cellStyle name="40% - Énfasis4 5 2" xfId="4368" xr:uid="{00000000-0005-0000-0000-000010110000}"/>
    <cellStyle name="40% - Énfasis4 6" xfId="4369" xr:uid="{00000000-0005-0000-0000-000011110000}"/>
    <cellStyle name="40% - Énfasis4 6 2" xfId="4370" xr:uid="{00000000-0005-0000-0000-000012110000}"/>
    <cellStyle name="40% - Énfasis4 7" xfId="4371" xr:uid="{00000000-0005-0000-0000-000013110000}"/>
    <cellStyle name="40% - Énfasis4 7 2" xfId="4372" xr:uid="{00000000-0005-0000-0000-000014110000}"/>
    <cellStyle name="40% - Énfasis4 8" xfId="4373" xr:uid="{00000000-0005-0000-0000-000015110000}"/>
    <cellStyle name="40% - Énfasis4 8 2" xfId="4374" xr:uid="{00000000-0005-0000-0000-000016110000}"/>
    <cellStyle name="40% - Énfasis4 9" xfId="4375" xr:uid="{00000000-0005-0000-0000-000017110000}"/>
    <cellStyle name="40% - Énfasis4 9 2" xfId="4376" xr:uid="{00000000-0005-0000-0000-000018110000}"/>
    <cellStyle name="40% - Énfasis5 10" xfId="4377" xr:uid="{00000000-0005-0000-0000-000019110000}"/>
    <cellStyle name="40% - Énfasis5 10 2" xfId="4378" xr:uid="{00000000-0005-0000-0000-00001A110000}"/>
    <cellStyle name="40% - Énfasis5 11" xfId="4379" xr:uid="{00000000-0005-0000-0000-00001B110000}"/>
    <cellStyle name="40% - Énfasis5 11 2" xfId="4380" xr:uid="{00000000-0005-0000-0000-00001C110000}"/>
    <cellStyle name="40% - Énfasis5 12" xfId="4381" xr:uid="{00000000-0005-0000-0000-00001D110000}"/>
    <cellStyle name="40% - Énfasis5 12 2" xfId="4382" xr:uid="{00000000-0005-0000-0000-00001E110000}"/>
    <cellStyle name="40% - Énfasis5 13" xfId="4383" xr:uid="{00000000-0005-0000-0000-00001F110000}"/>
    <cellStyle name="40% - Énfasis5 13 2" xfId="4384" xr:uid="{00000000-0005-0000-0000-000020110000}"/>
    <cellStyle name="40% - Énfasis5 14" xfId="4385" xr:uid="{00000000-0005-0000-0000-000021110000}"/>
    <cellStyle name="40% - Énfasis5 14 2" xfId="4386" xr:uid="{00000000-0005-0000-0000-000022110000}"/>
    <cellStyle name="40% - Énfasis5 15" xfId="4387" xr:uid="{00000000-0005-0000-0000-000023110000}"/>
    <cellStyle name="40% - Énfasis5 15 2" xfId="4388" xr:uid="{00000000-0005-0000-0000-000024110000}"/>
    <cellStyle name="40% - Énfasis5 16" xfId="4389" xr:uid="{00000000-0005-0000-0000-000025110000}"/>
    <cellStyle name="40% - Énfasis5 2" xfId="908" xr:uid="{00000000-0005-0000-0000-00008C030000}"/>
    <cellStyle name="40% - Énfasis5 2 2" xfId="909" xr:uid="{00000000-0005-0000-0000-00008D030000}"/>
    <cellStyle name="40% - Énfasis5 2 2 2" xfId="4390" xr:uid="{00000000-0005-0000-0000-000026110000}"/>
    <cellStyle name="40% - Énfasis5 2 2 3" xfId="4391" xr:uid="{00000000-0005-0000-0000-000027110000}"/>
    <cellStyle name="40% - Énfasis5 2 2 4" xfId="4392" xr:uid="{00000000-0005-0000-0000-000028110000}"/>
    <cellStyle name="40% - Énfasis5 2 2 4 2" xfId="4393" xr:uid="{00000000-0005-0000-0000-000029110000}"/>
    <cellStyle name="40% - Énfasis5 2 3" xfId="4394" xr:uid="{00000000-0005-0000-0000-00002A110000}"/>
    <cellStyle name="40% - Énfasis5 2 4" xfId="4395" xr:uid="{00000000-0005-0000-0000-00002B110000}"/>
    <cellStyle name="40% - Énfasis5 2 4 2" xfId="4396" xr:uid="{00000000-0005-0000-0000-00002C110000}"/>
    <cellStyle name="40% - Énfasis5 2 5" xfId="4397" xr:uid="{00000000-0005-0000-0000-00002D110000}"/>
    <cellStyle name="40% - Énfasis5 2 6" xfId="4398" xr:uid="{00000000-0005-0000-0000-00002E110000}"/>
    <cellStyle name="40% - Énfasis5 2_Deuda septiembre_marcos" xfId="910" xr:uid="{00000000-0005-0000-0000-00008E030000}"/>
    <cellStyle name="40% - Énfasis5 3" xfId="3320" xr:uid="{00000000-0005-0000-0000-0000F80C0000}"/>
    <cellStyle name="40% - Énfasis5 3 2" xfId="4399" xr:uid="{00000000-0005-0000-0000-00002F110000}"/>
    <cellStyle name="40% - Énfasis5 3 3" xfId="4400" xr:uid="{00000000-0005-0000-0000-000030110000}"/>
    <cellStyle name="40% - Énfasis5 3 4" xfId="4401" xr:uid="{00000000-0005-0000-0000-000031110000}"/>
    <cellStyle name="40% - Énfasis5 4" xfId="4402" xr:uid="{00000000-0005-0000-0000-000032110000}"/>
    <cellStyle name="40% - Énfasis5 4 2" xfId="4403" xr:uid="{00000000-0005-0000-0000-000033110000}"/>
    <cellStyle name="40% - Énfasis5 4 3" xfId="4404" xr:uid="{00000000-0005-0000-0000-000034110000}"/>
    <cellStyle name="40% - Énfasis5 5" xfId="4405" xr:uid="{00000000-0005-0000-0000-000035110000}"/>
    <cellStyle name="40% - Énfasis5 5 2" xfId="4406" xr:uid="{00000000-0005-0000-0000-000036110000}"/>
    <cellStyle name="40% - Énfasis5 6" xfId="4407" xr:uid="{00000000-0005-0000-0000-000037110000}"/>
    <cellStyle name="40% - Énfasis5 6 2" xfId="4408" xr:uid="{00000000-0005-0000-0000-000038110000}"/>
    <cellStyle name="40% - Énfasis5 7" xfId="4409" xr:uid="{00000000-0005-0000-0000-000039110000}"/>
    <cellStyle name="40% - Énfasis5 7 2" xfId="4410" xr:uid="{00000000-0005-0000-0000-00003A110000}"/>
    <cellStyle name="40% - Énfasis5 8" xfId="4411" xr:uid="{00000000-0005-0000-0000-00003B110000}"/>
    <cellStyle name="40% - Énfasis5 8 2" xfId="4412" xr:uid="{00000000-0005-0000-0000-00003C110000}"/>
    <cellStyle name="40% - Énfasis5 9" xfId="4413" xr:uid="{00000000-0005-0000-0000-00003D110000}"/>
    <cellStyle name="40% - Énfasis5 9 2" xfId="4414" xr:uid="{00000000-0005-0000-0000-00003E110000}"/>
    <cellStyle name="40% - Énfasis6 10" xfId="4415" xr:uid="{00000000-0005-0000-0000-00003F110000}"/>
    <cellStyle name="40% - Énfasis6 10 2" xfId="4416" xr:uid="{00000000-0005-0000-0000-000040110000}"/>
    <cellStyle name="40% - Énfasis6 11" xfId="4417" xr:uid="{00000000-0005-0000-0000-000041110000}"/>
    <cellStyle name="40% - Énfasis6 11 2" xfId="4418" xr:uid="{00000000-0005-0000-0000-000042110000}"/>
    <cellStyle name="40% - Énfasis6 12" xfId="4419" xr:uid="{00000000-0005-0000-0000-000043110000}"/>
    <cellStyle name="40% - Énfasis6 12 2" xfId="4420" xr:uid="{00000000-0005-0000-0000-000044110000}"/>
    <cellStyle name="40% - Énfasis6 13" xfId="4421" xr:uid="{00000000-0005-0000-0000-000045110000}"/>
    <cellStyle name="40% - Énfasis6 13 2" xfId="4422" xr:uid="{00000000-0005-0000-0000-000046110000}"/>
    <cellStyle name="40% - Énfasis6 14" xfId="4423" xr:uid="{00000000-0005-0000-0000-000047110000}"/>
    <cellStyle name="40% - Énfasis6 14 2" xfId="4424" xr:uid="{00000000-0005-0000-0000-000048110000}"/>
    <cellStyle name="40% - Énfasis6 15" xfId="4425" xr:uid="{00000000-0005-0000-0000-000049110000}"/>
    <cellStyle name="40% - Énfasis6 2" xfId="911" xr:uid="{00000000-0005-0000-0000-00008F030000}"/>
    <cellStyle name="40% - Énfasis6 2 2" xfId="4426" xr:uid="{00000000-0005-0000-0000-00004A110000}"/>
    <cellStyle name="40% - Énfasis6 2 2 2" xfId="4427" xr:uid="{00000000-0005-0000-0000-00004B110000}"/>
    <cellStyle name="40% - Énfasis6 2 3" xfId="4428" xr:uid="{00000000-0005-0000-0000-00004C110000}"/>
    <cellStyle name="40% - Énfasis6 2 3 2" xfId="4429" xr:uid="{00000000-0005-0000-0000-00004D110000}"/>
    <cellStyle name="40% - Énfasis6 2 4" xfId="4430" xr:uid="{00000000-0005-0000-0000-00004E110000}"/>
    <cellStyle name="40% - Énfasis6 2 5" xfId="4431" xr:uid="{00000000-0005-0000-0000-00004F110000}"/>
    <cellStyle name="40% - Énfasis6 3" xfId="3321" xr:uid="{00000000-0005-0000-0000-0000F90C0000}"/>
    <cellStyle name="40% - Énfasis6 3 2" xfId="4432" xr:uid="{00000000-0005-0000-0000-000050110000}"/>
    <cellStyle name="40% - Énfasis6 3 3" xfId="4433" xr:uid="{00000000-0005-0000-0000-000051110000}"/>
    <cellStyle name="40% - Énfasis6 3 4" xfId="4434" xr:uid="{00000000-0005-0000-0000-000052110000}"/>
    <cellStyle name="40% - Énfasis6 4" xfId="4435" xr:uid="{00000000-0005-0000-0000-000053110000}"/>
    <cellStyle name="40% - Énfasis6 4 2" xfId="4436" xr:uid="{00000000-0005-0000-0000-000054110000}"/>
    <cellStyle name="40% - Énfasis6 4 3" xfId="4437" xr:uid="{00000000-0005-0000-0000-000055110000}"/>
    <cellStyle name="40% - Énfasis6 5" xfId="4438" xr:uid="{00000000-0005-0000-0000-000056110000}"/>
    <cellStyle name="40% - Énfasis6 5 2" xfId="4439" xr:uid="{00000000-0005-0000-0000-000057110000}"/>
    <cellStyle name="40% - Énfasis6 6" xfId="4440" xr:uid="{00000000-0005-0000-0000-000058110000}"/>
    <cellStyle name="40% - Énfasis6 6 2" xfId="4441" xr:uid="{00000000-0005-0000-0000-000059110000}"/>
    <cellStyle name="40% - Énfasis6 7" xfId="4442" xr:uid="{00000000-0005-0000-0000-00005A110000}"/>
    <cellStyle name="40% - Énfasis6 7 2" xfId="4443" xr:uid="{00000000-0005-0000-0000-00005B110000}"/>
    <cellStyle name="40% - Énfasis6 8" xfId="4444" xr:uid="{00000000-0005-0000-0000-00005C110000}"/>
    <cellStyle name="40% - Énfasis6 8 2" xfId="4445" xr:uid="{00000000-0005-0000-0000-00005D110000}"/>
    <cellStyle name="40% - Énfasis6 9" xfId="4446" xr:uid="{00000000-0005-0000-0000-00005E110000}"/>
    <cellStyle name="40% - Énfasis6 9 2" xfId="4447" xr:uid="{00000000-0005-0000-0000-00005F110000}"/>
    <cellStyle name="60% - Ênfase1" xfId="912" xr:uid="{00000000-0005-0000-0000-000090030000}"/>
    <cellStyle name="60% - Ênfase2" xfId="913" xr:uid="{00000000-0005-0000-0000-000091030000}"/>
    <cellStyle name="60% - Ênfase3" xfId="914" xr:uid="{00000000-0005-0000-0000-000092030000}"/>
    <cellStyle name="60% - Ênfase4" xfId="915" xr:uid="{00000000-0005-0000-0000-000093030000}"/>
    <cellStyle name="60% - Ênfase5" xfId="916" xr:uid="{00000000-0005-0000-0000-000094030000}"/>
    <cellStyle name="60% - Ênfase6" xfId="917" xr:uid="{00000000-0005-0000-0000-000095030000}"/>
    <cellStyle name="60% - Énfasis1 10" xfId="4448" xr:uid="{00000000-0005-0000-0000-000060110000}"/>
    <cellStyle name="60% - Énfasis1 11" xfId="4449" xr:uid="{00000000-0005-0000-0000-000061110000}"/>
    <cellStyle name="60% - Énfasis1 11 2" xfId="4450" xr:uid="{00000000-0005-0000-0000-000062110000}"/>
    <cellStyle name="60% - Énfasis1 12" xfId="4451" xr:uid="{00000000-0005-0000-0000-000063110000}"/>
    <cellStyle name="60% - Énfasis1 12 2" xfId="4452" xr:uid="{00000000-0005-0000-0000-000064110000}"/>
    <cellStyle name="60% - Énfasis1 13" xfId="4453" xr:uid="{00000000-0005-0000-0000-000065110000}"/>
    <cellStyle name="60% - Énfasis1 13 2" xfId="4454" xr:uid="{00000000-0005-0000-0000-000066110000}"/>
    <cellStyle name="60% - Énfasis1 14" xfId="4455" xr:uid="{00000000-0005-0000-0000-000067110000}"/>
    <cellStyle name="60% - Énfasis1 14 2" xfId="4456" xr:uid="{00000000-0005-0000-0000-000068110000}"/>
    <cellStyle name="60% - Énfasis1 15" xfId="4457" xr:uid="{00000000-0005-0000-0000-000069110000}"/>
    <cellStyle name="60% - Énfasis1 15 2" xfId="4458" xr:uid="{00000000-0005-0000-0000-00006A110000}"/>
    <cellStyle name="60% - Énfasis1 16" xfId="4459" xr:uid="{00000000-0005-0000-0000-00006B110000}"/>
    <cellStyle name="60% - Énfasis1 2" xfId="918" xr:uid="{00000000-0005-0000-0000-000096030000}"/>
    <cellStyle name="60% - Énfasis1 2 2" xfId="919" xr:uid="{00000000-0005-0000-0000-000097030000}"/>
    <cellStyle name="60% - Énfasis1 2 2 2" xfId="4460" xr:uid="{00000000-0005-0000-0000-00006C110000}"/>
    <cellStyle name="60% - Énfasis1 2 2 3" xfId="4461" xr:uid="{00000000-0005-0000-0000-00006D110000}"/>
    <cellStyle name="60% - Énfasis1 2 2 4" xfId="4462" xr:uid="{00000000-0005-0000-0000-00006E110000}"/>
    <cellStyle name="60% - Énfasis1 2 2 4 2" xfId="4463" xr:uid="{00000000-0005-0000-0000-00006F110000}"/>
    <cellStyle name="60% - Énfasis1 2 3" xfId="4464" xr:uid="{00000000-0005-0000-0000-000070110000}"/>
    <cellStyle name="60% - Énfasis1 2 4" xfId="4465" xr:uid="{00000000-0005-0000-0000-000071110000}"/>
    <cellStyle name="60% - Énfasis1 2 4 2" xfId="4466" xr:uid="{00000000-0005-0000-0000-000072110000}"/>
    <cellStyle name="60% - Énfasis1 2 5" xfId="4467" xr:uid="{00000000-0005-0000-0000-000073110000}"/>
    <cellStyle name="60% - Énfasis1 2_Deuda septiembre_marcos" xfId="920" xr:uid="{00000000-0005-0000-0000-000098030000}"/>
    <cellStyle name="60% - Énfasis1 3" xfId="3322" xr:uid="{00000000-0005-0000-0000-0000FA0C0000}"/>
    <cellStyle name="60% - Énfasis1 3 2" xfId="4468" xr:uid="{00000000-0005-0000-0000-000074110000}"/>
    <cellStyle name="60% - Énfasis1 3 3" xfId="4469" xr:uid="{00000000-0005-0000-0000-000075110000}"/>
    <cellStyle name="60% - Énfasis1 4" xfId="4470" xr:uid="{00000000-0005-0000-0000-000076110000}"/>
    <cellStyle name="60% - Énfasis1 4 2" xfId="4471" xr:uid="{00000000-0005-0000-0000-000077110000}"/>
    <cellStyle name="60% - Énfasis1 4 3" xfId="4472" xr:uid="{00000000-0005-0000-0000-000078110000}"/>
    <cellStyle name="60% - Énfasis1 5" xfId="4473" xr:uid="{00000000-0005-0000-0000-000079110000}"/>
    <cellStyle name="60% - Énfasis1 6" xfId="4474" xr:uid="{00000000-0005-0000-0000-00007A110000}"/>
    <cellStyle name="60% - Énfasis1 7" xfId="4475" xr:uid="{00000000-0005-0000-0000-00007B110000}"/>
    <cellStyle name="60% - Énfasis1 8" xfId="4476" xr:uid="{00000000-0005-0000-0000-00007C110000}"/>
    <cellStyle name="60% - Énfasis1 9" xfId="4477" xr:uid="{00000000-0005-0000-0000-00007D110000}"/>
    <cellStyle name="60% - Énfasis2 10" xfId="4478" xr:uid="{00000000-0005-0000-0000-00007E110000}"/>
    <cellStyle name="60% - Énfasis2 10 2" xfId="4479" xr:uid="{00000000-0005-0000-0000-00007F110000}"/>
    <cellStyle name="60% - Énfasis2 11" xfId="4480" xr:uid="{00000000-0005-0000-0000-000080110000}"/>
    <cellStyle name="60% - Énfasis2 11 2" xfId="4481" xr:uid="{00000000-0005-0000-0000-000081110000}"/>
    <cellStyle name="60% - Énfasis2 12" xfId="4482" xr:uid="{00000000-0005-0000-0000-000082110000}"/>
    <cellStyle name="60% - Énfasis2 12 2" xfId="4483" xr:uid="{00000000-0005-0000-0000-000083110000}"/>
    <cellStyle name="60% - Énfasis2 13" xfId="4484" xr:uid="{00000000-0005-0000-0000-000084110000}"/>
    <cellStyle name="60% - Énfasis2 13 2" xfId="4485" xr:uid="{00000000-0005-0000-0000-000085110000}"/>
    <cellStyle name="60% - Énfasis2 14" xfId="4486" xr:uid="{00000000-0005-0000-0000-000086110000}"/>
    <cellStyle name="60% - Énfasis2 14 2" xfId="4487" xr:uid="{00000000-0005-0000-0000-000087110000}"/>
    <cellStyle name="60% - Énfasis2 15" xfId="4488" xr:uid="{00000000-0005-0000-0000-000088110000}"/>
    <cellStyle name="60% - Énfasis2 2" xfId="3323" xr:uid="{00000000-0005-0000-0000-0000FB0C0000}"/>
    <cellStyle name="60% - Énfasis2 2 2" xfId="4489" xr:uid="{00000000-0005-0000-0000-000089110000}"/>
    <cellStyle name="60% - Énfasis2 2 3" xfId="4490" xr:uid="{00000000-0005-0000-0000-00008A110000}"/>
    <cellStyle name="60% - Énfasis2 2 4" xfId="4491" xr:uid="{00000000-0005-0000-0000-00008B110000}"/>
    <cellStyle name="60% - Énfasis2 3" xfId="3324" xr:uid="{00000000-0005-0000-0000-0000FC0C0000}"/>
    <cellStyle name="60% - Énfasis2 3 2" xfId="4492" xr:uid="{00000000-0005-0000-0000-00008C110000}"/>
    <cellStyle name="60% - Énfasis2 3 3" xfId="4493" xr:uid="{00000000-0005-0000-0000-00008D110000}"/>
    <cellStyle name="60% - Énfasis2 4" xfId="4494" xr:uid="{00000000-0005-0000-0000-00008E110000}"/>
    <cellStyle name="60% - Énfasis2 4 2" xfId="4495" xr:uid="{00000000-0005-0000-0000-00008F110000}"/>
    <cellStyle name="60% - Énfasis2 4 3" xfId="4496" xr:uid="{00000000-0005-0000-0000-000090110000}"/>
    <cellStyle name="60% - Énfasis2 5" xfId="4497" xr:uid="{00000000-0005-0000-0000-000091110000}"/>
    <cellStyle name="60% - Énfasis2 6" xfId="4498" xr:uid="{00000000-0005-0000-0000-000092110000}"/>
    <cellStyle name="60% - Énfasis2 7" xfId="4499" xr:uid="{00000000-0005-0000-0000-000093110000}"/>
    <cellStyle name="60% - Énfasis2 8" xfId="4500" xr:uid="{00000000-0005-0000-0000-000094110000}"/>
    <cellStyle name="60% - Énfasis2 9" xfId="4501" xr:uid="{00000000-0005-0000-0000-000095110000}"/>
    <cellStyle name="60% - Énfasis3 10" xfId="4502" xr:uid="{00000000-0005-0000-0000-000096110000}"/>
    <cellStyle name="60% - Énfasis3 11" xfId="4503" xr:uid="{00000000-0005-0000-0000-000097110000}"/>
    <cellStyle name="60% - Énfasis3 11 2" xfId="4504" xr:uid="{00000000-0005-0000-0000-000098110000}"/>
    <cellStyle name="60% - Énfasis3 12" xfId="4505" xr:uid="{00000000-0005-0000-0000-000099110000}"/>
    <cellStyle name="60% - Énfasis3 12 2" xfId="4506" xr:uid="{00000000-0005-0000-0000-00009A110000}"/>
    <cellStyle name="60% - Énfasis3 13" xfId="4507" xr:uid="{00000000-0005-0000-0000-00009B110000}"/>
    <cellStyle name="60% - Énfasis3 13 2" xfId="4508" xr:uid="{00000000-0005-0000-0000-00009C110000}"/>
    <cellStyle name="60% - Énfasis3 14" xfId="4509" xr:uid="{00000000-0005-0000-0000-00009D110000}"/>
    <cellStyle name="60% - Énfasis3 14 2" xfId="4510" xr:uid="{00000000-0005-0000-0000-00009E110000}"/>
    <cellStyle name="60% - Énfasis3 15" xfId="4511" xr:uid="{00000000-0005-0000-0000-00009F110000}"/>
    <cellStyle name="60% - Énfasis3 15 2" xfId="4512" xr:uid="{00000000-0005-0000-0000-0000A0110000}"/>
    <cellStyle name="60% - Énfasis3 16" xfId="4513" xr:uid="{00000000-0005-0000-0000-0000A1110000}"/>
    <cellStyle name="60% - Énfasis3 2" xfId="921" xr:uid="{00000000-0005-0000-0000-000099030000}"/>
    <cellStyle name="60% - Énfasis3 2 2" xfId="922" xr:uid="{00000000-0005-0000-0000-00009A030000}"/>
    <cellStyle name="60% - Énfasis3 2 2 2" xfId="4514" xr:uid="{00000000-0005-0000-0000-0000A2110000}"/>
    <cellStyle name="60% - Énfasis3 2 2 3" xfId="4515" xr:uid="{00000000-0005-0000-0000-0000A3110000}"/>
    <cellStyle name="60% - Énfasis3 2 2 4" xfId="4516" xr:uid="{00000000-0005-0000-0000-0000A4110000}"/>
    <cellStyle name="60% - Énfasis3 2 2 4 2" xfId="4517" xr:uid="{00000000-0005-0000-0000-0000A5110000}"/>
    <cellStyle name="60% - Énfasis3 2 3" xfId="4518" xr:uid="{00000000-0005-0000-0000-0000A6110000}"/>
    <cellStyle name="60% - Énfasis3 2 4" xfId="4519" xr:uid="{00000000-0005-0000-0000-0000A7110000}"/>
    <cellStyle name="60% - Énfasis3 2 4 2" xfId="4520" xr:uid="{00000000-0005-0000-0000-0000A8110000}"/>
    <cellStyle name="60% - Énfasis3 2 5" xfId="4521" xr:uid="{00000000-0005-0000-0000-0000A9110000}"/>
    <cellStyle name="60% - Énfasis3 2_Deuda septiembre_marcos" xfId="923" xr:uid="{00000000-0005-0000-0000-00009B030000}"/>
    <cellStyle name="60% - Énfasis3 3" xfId="3325" xr:uid="{00000000-0005-0000-0000-0000FD0C0000}"/>
    <cellStyle name="60% - Énfasis3 3 2" xfId="4522" xr:uid="{00000000-0005-0000-0000-0000AA110000}"/>
    <cellStyle name="60% - Énfasis3 3 3" xfId="4523" xr:uid="{00000000-0005-0000-0000-0000AB110000}"/>
    <cellStyle name="60% - Énfasis3 4" xfId="4524" xr:uid="{00000000-0005-0000-0000-0000AC110000}"/>
    <cellStyle name="60% - Énfasis3 4 2" xfId="4525" xr:uid="{00000000-0005-0000-0000-0000AD110000}"/>
    <cellStyle name="60% - Énfasis3 4 3" xfId="4526" xr:uid="{00000000-0005-0000-0000-0000AE110000}"/>
    <cellStyle name="60% - Énfasis3 5" xfId="4527" xr:uid="{00000000-0005-0000-0000-0000AF110000}"/>
    <cellStyle name="60% - Énfasis3 6" xfId="4528" xr:uid="{00000000-0005-0000-0000-0000B0110000}"/>
    <cellStyle name="60% - Énfasis3 7" xfId="4529" xr:uid="{00000000-0005-0000-0000-0000B1110000}"/>
    <cellStyle name="60% - Énfasis3 8" xfId="4530" xr:uid="{00000000-0005-0000-0000-0000B2110000}"/>
    <cellStyle name="60% - Énfasis3 9" xfId="4531" xr:uid="{00000000-0005-0000-0000-0000B3110000}"/>
    <cellStyle name="60% - Énfasis4 10" xfId="4532" xr:uid="{00000000-0005-0000-0000-0000B4110000}"/>
    <cellStyle name="60% - Énfasis4 10 2" xfId="4533" xr:uid="{00000000-0005-0000-0000-0000B5110000}"/>
    <cellStyle name="60% - Énfasis4 11" xfId="4534" xr:uid="{00000000-0005-0000-0000-0000B6110000}"/>
    <cellStyle name="60% - Énfasis4 11 2" xfId="4535" xr:uid="{00000000-0005-0000-0000-0000B7110000}"/>
    <cellStyle name="60% - Énfasis4 12" xfId="4536" xr:uid="{00000000-0005-0000-0000-0000B8110000}"/>
    <cellStyle name="60% - Énfasis4 12 2" xfId="4537" xr:uid="{00000000-0005-0000-0000-0000B9110000}"/>
    <cellStyle name="60% - Énfasis4 13" xfId="4538" xr:uid="{00000000-0005-0000-0000-0000BA110000}"/>
    <cellStyle name="60% - Énfasis4 13 2" xfId="4539" xr:uid="{00000000-0005-0000-0000-0000BB110000}"/>
    <cellStyle name="60% - Énfasis4 14" xfId="4540" xr:uid="{00000000-0005-0000-0000-0000BC110000}"/>
    <cellStyle name="60% - Énfasis4 14 2" xfId="4541" xr:uid="{00000000-0005-0000-0000-0000BD110000}"/>
    <cellStyle name="60% - Énfasis4 15" xfId="4542" xr:uid="{00000000-0005-0000-0000-0000BE110000}"/>
    <cellStyle name="60% - Énfasis4 2" xfId="3326" xr:uid="{00000000-0005-0000-0000-0000FE0C0000}"/>
    <cellStyle name="60% - Énfasis4 2 2" xfId="4543" xr:uid="{00000000-0005-0000-0000-0000BF110000}"/>
    <cellStyle name="60% - Énfasis4 2 3" xfId="4544" xr:uid="{00000000-0005-0000-0000-0000C0110000}"/>
    <cellStyle name="60% - Énfasis4 2 4" xfId="4545" xr:uid="{00000000-0005-0000-0000-0000C1110000}"/>
    <cellStyle name="60% - Énfasis4 3" xfId="3327" xr:uid="{00000000-0005-0000-0000-0000FF0C0000}"/>
    <cellStyle name="60% - Énfasis4 3 2" xfId="4546" xr:uid="{00000000-0005-0000-0000-0000C2110000}"/>
    <cellStyle name="60% - Énfasis4 3 3" xfId="4547" xr:uid="{00000000-0005-0000-0000-0000C3110000}"/>
    <cellStyle name="60% - Énfasis4 4" xfId="4548" xr:uid="{00000000-0005-0000-0000-0000C4110000}"/>
    <cellStyle name="60% - Énfasis4 4 2" xfId="4549" xr:uid="{00000000-0005-0000-0000-0000C5110000}"/>
    <cellStyle name="60% - Énfasis4 4 3" xfId="4550" xr:uid="{00000000-0005-0000-0000-0000C6110000}"/>
    <cellStyle name="60% - Énfasis4 5" xfId="4551" xr:uid="{00000000-0005-0000-0000-0000C7110000}"/>
    <cellStyle name="60% - Énfasis4 6" xfId="4552" xr:uid="{00000000-0005-0000-0000-0000C8110000}"/>
    <cellStyle name="60% - Énfasis4 7" xfId="4553" xr:uid="{00000000-0005-0000-0000-0000C9110000}"/>
    <cellStyle name="60% - Énfasis4 8" xfId="4554" xr:uid="{00000000-0005-0000-0000-0000CA110000}"/>
    <cellStyle name="60% - Énfasis4 9" xfId="4555" xr:uid="{00000000-0005-0000-0000-0000CB110000}"/>
    <cellStyle name="60% - Énfasis5 10" xfId="4556" xr:uid="{00000000-0005-0000-0000-0000CC110000}"/>
    <cellStyle name="60% - Énfasis5 10 2" xfId="4557" xr:uid="{00000000-0005-0000-0000-0000CD110000}"/>
    <cellStyle name="60% - Énfasis5 11" xfId="4558" xr:uid="{00000000-0005-0000-0000-0000CE110000}"/>
    <cellStyle name="60% - Énfasis5 11 2" xfId="4559" xr:uid="{00000000-0005-0000-0000-0000CF110000}"/>
    <cellStyle name="60% - Énfasis5 12" xfId="4560" xr:uid="{00000000-0005-0000-0000-0000D0110000}"/>
    <cellStyle name="60% - Énfasis5 12 2" xfId="4561" xr:uid="{00000000-0005-0000-0000-0000D1110000}"/>
    <cellStyle name="60% - Énfasis5 13" xfId="4562" xr:uid="{00000000-0005-0000-0000-0000D2110000}"/>
    <cellStyle name="60% - Énfasis5 13 2" xfId="4563" xr:uid="{00000000-0005-0000-0000-0000D3110000}"/>
    <cellStyle name="60% - Énfasis5 14" xfId="4564" xr:uid="{00000000-0005-0000-0000-0000D4110000}"/>
    <cellStyle name="60% - Énfasis5 14 2" xfId="4565" xr:uid="{00000000-0005-0000-0000-0000D5110000}"/>
    <cellStyle name="60% - Énfasis5 15" xfId="4566" xr:uid="{00000000-0005-0000-0000-0000D6110000}"/>
    <cellStyle name="60% - Énfasis5 2" xfId="3328" xr:uid="{00000000-0005-0000-0000-0000000D0000}"/>
    <cellStyle name="60% - Énfasis5 2 2" xfId="4567" xr:uid="{00000000-0005-0000-0000-0000D7110000}"/>
    <cellStyle name="60% - Énfasis5 2 3" xfId="4568" xr:uid="{00000000-0005-0000-0000-0000D8110000}"/>
    <cellStyle name="60% - Énfasis5 2 4" xfId="4569" xr:uid="{00000000-0005-0000-0000-0000D9110000}"/>
    <cellStyle name="60% - Énfasis5 3" xfId="3329" xr:uid="{00000000-0005-0000-0000-0000010D0000}"/>
    <cellStyle name="60% - Énfasis5 3 2" xfId="4570" xr:uid="{00000000-0005-0000-0000-0000DA110000}"/>
    <cellStyle name="60% - Énfasis5 3 3" xfId="4571" xr:uid="{00000000-0005-0000-0000-0000DB110000}"/>
    <cellStyle name="60% - Énfasis5 4" xfId="4572" xr:uid="{00000000-0005-0000-0000-0000DC110000}"/>
    <cellStyle name="60% - Énfasis5 4 2" xfId="4573" xr:uid="{00000000-0005-0000-0000-0000DD110000}"/>
    <cellStyle name="60% - Énfasis5 4 3" xfId="4574" xr:uid="{00000000-0005-0000-0000-0000DE110000}"/>
    <cellStyle name="60% - Énfasis5 5" xfId="4575" xr:uid="{00000000-0005-0000-0000-0000DF110000}"/>
    <cellStyle name="60% - Énfasis5 6" xfId="4576" xr:uid="{00000000-0005-0000-0000-0000E0110000}"/>
    <cellStyle name="60% - Énfasis5 7" xfId="4577" xr:uid="{00000000-0005-0000-0000-0000E1110000}"/>
    <cellStyle name="60% - Énfasis5 8" xfId="4578" xr:uid="{00000000-0005-0000-0000-0000E2110000}"/>
    <cellStyle name="60% - Énfasis5 9" xfId="4579" xr:uid="{00000000-0005-0000-0000-0000E3110000}"/>
    <cellStyle name="60% - Énfasis6 10" xfId="4580" xr:uid="{00000000-0005-0000-0000-0000E4110000}"/>
    <cellStyle name="60% - Énfasis6 10 2" xfId="4581" xr:uid="{00000000-0005-0000-0000-0000E5110000}"/>
    <cellStyle name="60% - Énfasis6 11" xfId="4582" xr:uid="{00000000-0005-0000-0000-0000E6110000}"/>
    <cellStyle name="60% - Énfasis6 11 2" xfId="4583" xr:uid="{00000000-0005-0000-0000-0000E7110000}"/>
    <cellStyle name="60% - Énfasis6 12" xfId="4584" xr:uid="{00000000-0005-0000-0000-0000E8110000}"/>
    <cellStyle name="60% - Énfasis6 12 2" xfId="4585" xr:uid="{00000000-0005-0000-0000-0000E9110000}"/>
    <cellStyle name="60% - Énfasis6 13" xfId="4586" xr:uid="{00000000-0005-0000-0000-0000EA110000}"/>
    <cellStyle name="60% - Énfasis6 13 2" xfId="4587" xr:uid="{00000000-0005-0000-0000-0000EB110000}"/>
    <cellStyle name="60% - Énfasis6 14" xfId="4588" xr:uid="{00000000-0005-0000-0000-0000EC110000}"/>
    <cellStyle name="60% - Énfasis6 14 2" xfId="4589" xr:uid="{00000000-0005-0000-0000-0000ED110000}"/>
    <cellStyle name="60% - Énfasis6 15" xfId="4590" xr:uid="{00000000-0005-0000-0000-0000EE110000}"/>
    <cellStyle name="60% - Énfasis6 2" xfId="3330" xr:uid="{00000000-0005-0000-0000-0000020D0000}"/>
    <cellStyle name="60% - Énfasis6 2 2" xfId="4591" xr:uid="{00000000-0005-0000-0000-0000EF110000}"/>
    <cellStyle name="60% - Énfasis6 2 3" xfId="4592" xr:uid="{00000000-0005-0000-0000-0000F0110000}"/>
    <cellStyle name="60% - Énfasis6 2 4" xfId="4593" xr:uid="{00000000-0005-0000-0000-0000F1110000}"/>
    <cellStyle name="60% - Énfasis6 3" xfId="3331" xr:uid="{00000000-0005-0000-0000-0000030D0000}"/>
    <cellStyle name="60% - Énfasis6 3 2" xfId="4594" xr:uid="{00000000-0005-0000-0000-0000F2110000}"/>
    <cellStyle name="60% - Énfasis6 3 3" xfId="4595" xr:uid="{00000000-0005-0000-0000-0000F3110000}"/>
    <cellStyle name="60% - Énfasis6 4" xfId="4596" xr:uid="{00000000-0005-0000-0000-0000F4110000}"/>
    <cellStyle name="60% - Énfasis6 4 2" xfId="4597" xr:uid="{00000000-0005-0000-0000-0000F5110000}"/>
    <cellStyle name="60% - Énfasis6 4 3" xfId="4598" xr:uid="{00000000-0005-0000-0000-0000F6110000}"/>
    <cellStyle name="60% - Énfasis6 5" xfId="4599" xr:uid="{00000000-0005-0000-0000-0000F7110000}"/>
    <cellStyle name="60% - Énfasis6 6" xfId="4600" xr:uid="{00000000-0005-0000-0000-0000F8110000}"/>
    <cellStyle name="60% - Énfasis6 7" xfId="4601" xr:uid="{00000000-0005-0000-0000-0000F9110000}"/>
    <cellStyle name="60% - Énfasis6 8" xfId="4602" xr:uid="{00000000-0005-0000-0000-0000FA110000}"/>
    <cellStyle name="60% - Énfasis6 9" xfId="4603" xr:uid="{00000000-0005-0000-0000-0000FB110000}"/>
    <cellStyle name="AA" xfId="924" xr:uid="{00000000-0005-0000-0000-00009C030000}"/>
    <cellStyle name="AA 10" xfId="3332" xr:uid="{00000000-0005-0000-0000-0000040D0000}"/>
    <cellStyle name="AA 2" xfId="3333" xr:uid="{00000000-0005-0000-0000-0000050D0000}"/>
    <cellStyle name="AA 3" xfId="3334" xr:uid="{00000000-0005-0000-0000-0000060D0000}"/>
    <cellStyle name="AA 4" xfId="3335" xr:uid="{00000000-0005-0000-0000-0000070D0000}"/>
    <cellStyle name="AA 5" xfId="3336" xr:uid="{00000000-0005-0000-0000-0000080D0000}"/>
    <cellStyle name="AA 6" xfId="3337" xr:uid="{00000000-0005-0000-0000-0000090D0000}"/>
    <cellStyle name="AA 7" xfId="3338" xr:uid="{00000000-0005-0000-0000-00000A0D0000}"/>
    <cellStyle name="AA 8" xfId="3339" xr:uid="{00000000-0005-0000-0000-00000B0D0000}"/>
    <cellStyle name="AA 9" xfId="3340" xr:uid="{00000000-0005-0000-0000-00000C0D0000}"/>
    <cellStyle name="AA_TRANSELCA" xfId="3341" xr:uid="{00000000-0005-0000-0000-00000D0D0000}"/>
    <cellStyle name="Actual Date" xfId="925" xr:uid="{00000000-0005-0000-0000-00009D030000}"/>
    <cellStyle name="Actual Date 2" xfId="926" xr:uid="{00000000-0005-0000-0000-00009E030000}"/>
    <cellStyle name="Actual Date 2 2" xfId="927" xr:uid="{00000000-0005-0000-0000-00009F030000}"/>
    <cellStyle name="Actual Date 2 3" xfId="928" xr:uid="{00000000-0005-0000-0000-0000A0030000}"/>
    <cellStyle name="Actual Date 2 4" xfId="929" xr:uid="{00000000-0005-0000-0000-0000A1030000}"/>
    <cellStyle name="Actual Date 2 5" xfId="930" xr:uid="{00000000-0005-0000-0000-0000A2030000}"/>
    <cellStyle name="Actual Date 2 6" xfId="931" xr:uid="{00000000-0005-0000-0000-0000A3030000}"/>
    <cellStyle name="Actual Date 2 7" xfId="932" xr:uid="{00000000-0005-0000-0000-0000A4030000}"/>
    <cellStyle name="Actual Date 2 8" xfId="933" xr:uid="{00000000-0005-0000-0000-0000A5030000}"/>
    <cellStyle name="Actual Date 2_ActiFijos" xfId="934" xr:uid="{00000000-0005-0000-0000-0000A6030000}"/>
    <cellStyle name="Actual Date 3" xfId="935" xr:uid="{00000000-0005-0000-0000-0000A7030000}"/>
    <cellStyle name="Actual Date 3 2" xfId="936" xr:uid="{00000000-0005-0000-0000-0000A8030000}"/>
    <cellStyle name="Actual Date 3 3" xfId="937" xr:uid="{00000000-0005-0000-0000-0000A9030000}"/>
    <cellStyle name="Actual Date 3 4" xfId="938" xr:uid="{00000000-0005-0000-0000-0000AA030000}"/>
    <cellStyle name="Actual Date 3 5" xfId="939" xr:uid="{00000000-0005-0000-0000-0000AB030000}"/>
    <cellStyle name="Actual Date 3 6" xfId="940" xr:uid="{00000000-0005-0000-0000-0000AC030000}"/>
    <cellStyle name="Actual Date 3 7" xfId="941" xr:uid="{00000000-0005-0000-0000-0000AD030000}"/>
    <cellStyle name="Actual Date 3 8" xfId="942" xr:uid="{00000000-0005-0000-0000-0000AE030000}"/>
    <cellStyle name="Actual Date 3_ActiFijos" xfId="943" xr:uid="{00000000-0005-0000-0000-0000AF030000}"/>
    <cellStyle name="Actual Date 4" xfId="944" xr:uid="{00000000-0005-0000-0000-0000B0030000}"/>
    <cellStyle name="Actual Date 4 2" xfId="945" xr:uid="{00000000-0005-0000-0000-0000B1030000}"/>
    <cellStyle name="Actual Date 4 3" xfId="946" xr:uid="{00000000-0005-0000-0000-0000B2030000}"/>
    <cellStyle name="Actual Date 4 4" xfId="947" xr:uid="{00000000-0005-0000-0000-0000B3030000}"/>
    <cellStyle name="Actual Date 4 5" xfId="948" xr:uid="{00000000-0005-0000-0000-0000B4030000}"/>
    <cellStyle name="Actual Date 4 6" xfId="949" xr:uid="{00000000-0005-0000-0000-0000B5030000}"/>
    <cellStyle name="Actual Date 4 7" xfId="950" xr:uid="{00000000-0005-0000-0000-0000B6030000}"/>
    <cellStyle name="Actual Date 4 8" xfId="951" xr:uid="{00000000-0005-0000-0000-0000B7030000}"/>
    <cellStyle name="Actual Date 4_ActiFijos" xfId="952" xr:uid="{00000000-0005-0000-0000-0000B8030000}"/>
    <cellStyle name="Actual Date_Bases_Generales" xfId="953" xr:uid="{00000000-0005-0000-0000-0000B9030000}"/>
    <cellStyle name="año" xfId="954" xr:uid="{00000000-0005-0000-0000-0000BA030000}"/>
    <cellStyle name="año 2" xfId="955" xr:uid="{00000000-0005-0000-0000-0000BB030000}"/>
    <cellStyle name="año 2 2" xfId="956" xr:uid="{00000000-0005-0000-0000-0000BC030000}"/>
    <cellStyle name="año 2 2 2" xfId="957" xr:uid="{00000000-0005-0000-0000-0000BD030000}"/>
    <cellStyle name="año 2 2 2 2" xfId="958" xr:uid="{00000000-0005-0000-0000-0000BE030000}"/>
    <cellStyle name="año 2 2 2 3" xfId="959" xr:uid="{00000000-0005-0000-0000-0000BF030000}"/>
    <cellStyle name="año 2 2 2_Deuda septiembre_marcos" xfId="960" xr:uid="{00000000-0005-0000-0000-0000C0030000}"/>
    <cellStyle name="año 2 2 3" xfId="961" xr:uid="{00000000-0005-0000-0000-0000C1030000}"/>
    <cellStyle name="año 2 2 4" xfId="962" xr:uid="{00000000-0005-0000-0000-0000C2030000}"/>
    <cellStyle name="año 2 2_Deuda septiembre_marcos" xfId="963" xr:uid="{00000000-0005-0000-0000-0000C3030000}"/>
    <cellStyle name="año 2 3" xfId="964" xr:uid="{00000000-0005-0000-0000-0000C4030000}"/>
    <cellStyle name="año 2 3 2" xfId="965" xr:uid="{00000000-0005-0000-0000-0000C5030000}"/>
    <cellStyle name="año 2 3 2 2" xfId="966" xr:uid="{00000000-0005-0000-0000-0000C6030000}"/>
    <cellStyle name="año 2 3 2 3" xfId="967" xr:uid="{00000000-0005-0000-0000-0000C7030000}"/>
    <cellStyle name="año 2 3 2_Deuda septiembre_marcos" xfId="968" xr:uid="{00000000-0005-0000-0000-0000C8030000}"/>
    <cellStyle name="año 2 3 3" xfId="969" xr:uid="{00000000-0005-0000-0000-0000C9030000}"/>
    <cellStyle name="año 2 3 4" xfId="970" xr:uid="{00000000-0005-0000-0000-0000CA030000}"/>
    <cellStyle name="año 2 3_Deuda septiembre_marcos" xfId="971" xr:uid="{00000000-0005-0000-0000-0000CB030000}"/>
    <cellStyle name="año 2 4" xfId="972" xr:uid="{00000000-0005-0000-0000-0000CC030000}"/>
    <cellStyle name="año 2 4 2" xfId="973" xr:uid="{00000000-0005-0000-0000-0000CD030000}"/>
    <cellStyle name="año 2 4 2 2" xfId="974" xr:uid="{00000000-0005-0000-0000-0000CE030000}"/>
    <cellStyle name="año 2 4 2 3" xfId="975" xr:uid="{00000000-0005-0000-0000-0000CF030000}"/>
    <cellStyle name="año 2 4 2_Deuda septiembre_marcos" xfId="976" xr:uid="{00000000-0005-0000-0000-0000D0030000}"/>
    <cellStyle name="año 2 4 3" xfId="977" xr:uid="{00000000-0005-0000-0000-0000D1030000}"/>
    <cellStyle name="año 2 4 4" xfId="978" xr:uid="{00000000-0005-0000-0000-0000D2030000}"/>
    <cellStyle name="año 2 4_Deuda septiembre_marcos" xfId="979" xr:uid="{00000000-0005-0000-0000-0000D3030000}"/>
    <cellStyle name="año 2 5" xfId="980" xr:uid="{00000000-0005-0000-0000-0000D4030000}"/>
    <cellStyle name="año 2 5 2" xfId="981" xr:uid="{00000000-0005-0000-0000-0000D5030000}"/>
    <cellStyle name="año 2 5 3" xfId="982" xr:uid="{00000000-0005-0000-0000-0000D6030000}"/>
    <cellStyle name="año 2 5_Deuda septiembre_marcos" xfId="983" xr:uid="{00000000-0005-0000-0000-0000D7030000}"/>
    <cellStyle name="año 2 6" xfId="984" xr:uid="{00000000-0005-0000-0000-0000D8030000}"/>
    <cellStyle name="año 2 6 2" xfId="985" xr:uid="{00000000-0005-0000-0000-0000D9030000}"/>
    <cellStyle name="año 2 6 3" xfId="986" xr:uid="{00000000-0005-0000-0000-0000DA030000}"/>
    <cellStyle name="año 2 6_Deuda septiembre_marcos" xfId="987" xr:uid="{00000000-0005-0000-0000-0000DB030000}"/>
    <cellStyle name="año 2 7" xfId="988" xr:uid="{00000000-0005-0000-0000-0000DC030000}"/>
    <cellStyle name="año 2 8" xfId="989" xr:uid="{00000000-0005-0000-0000-0000DD030000}"/>
    <cellStyle name="año 2_ActiFijos" xfId="990" xr:uid="{00000000-0005-0000-0000-0000DE030000}"/>
    <cellStyle name="año 3" xfId="991" xr:uid="{00000000-0005-0000-0000-0000DF030000}"/>
    <cellStyle name="año 3 2" xfId="992" xr:uid="{00000000-0005-0000-0000-0000E0030000}"/>
    <cellStyle name="año 3 2 2" xfId="993" xr:uid="{00000000-0005-0000-0000-0000E1030000}"/>
    <cellStyle name="año 3 2 2 2" xfId="994" xr:uid="{00000000-0005-0000-0000-0000E2030000}"/>
    <cellStyle name="año 3 2 2 3" xfId="995" xr:uid="{00000000-0005-0000-0000-0000E3030000}"/>
    <cellStyle name="año 3 2 2_Deuda septiembre_marcos" xfId="996" xr:uid="{00000000-0005-0000-0000-0000E4030000}"/>
    <cellStyle name="año 3 2 3" xfId="997" xr:uid="{00000000-0005-0000-0000-0000E5030000}"/>
    <cellStyle name="año 3 2 4" xfId="998" xr:uid="{00000000-0005-0000-0000-0000E6030000}"/>
    <cellStyle name="año 3 2_Deuda septiembre_marcos" xfId="999" xr:uid="{00000000-0005-0000-0000-0000E7030000}"/>
    <cellStyle name="año 3 3" xfId="1000" xr:uid="{00000000-0005-0000-0000-0000E8030000}"/>
    <cellStyle name="año 3 3 2" xfId="1001" xr:uid="{00000000-0005-0000-0000-0000E9030000}"/>
    <cellStyle name="año 3 3 2 2" xfId="1002" xr:uid="{00000000-0005-0000-0000-0000EA030000}"/>
    <cellStyle name="año 3 3 2 3" xfId="1003" xr:uid="{00000000-0005-0000-0000-0000EB030000}"/>
    <cellStyle name="año 3 3 2_Deuda septiembre_marcos" xfId="1004" xr:uid="{00000000-0005-0000-0000-0000EC030000}"/>
    <cellStyle name="año 3 3 3" xfId="1005" xr:uid="{00000000-0005-0000-0000-0000ED030000}"/>
    <cellStyle name="año 3 3 4" xfId="1006" xr:uid="{00000000-0005-0000-0000-0000EE030000}"/>
    <cellStyle name="año 3 3_Deuda septiembre_marcos" xfId="1007" xr:uid="{00000000-0005-0000-0000-0000EF030000}"/>
    <cellStyle name="año 3 4" xfId="1008" xr:uid="{00000000-0005-0000-0000-0000F0030000}"/>
    <cellStyle name="año 3 4 2" xfId="1009" xr:uid="{00000000-0005-0000-0000-0000F1030000}"/>
    <cellStyle name="año 3 4 2 2" xfId="1010" xr:uid="{00000000-0005-0000-0000-0000F2030000}"/>
    <cellStyle name="año 3 4 2 3" xfId="1011" xr:uid="{00000000-0005-0000-0000-0000F3030000}"/>
    <cellStyle name="año 3 4 2_Deuda septiembre_marcos" xfId="1012" xr:uid="{00000000-0005-0000-0000-0000F4030000}"/>
    <cellStyle name="año 3 4 3" xfId="1013" xr:uid="{00000000-0005-0000-0000-0000F5030000}"/>
    <cellStyle name="año 3 4 4" xfId="1014" xr:uid="{00000000-0005-0000-0000-0000F6030000}"/>
    <cellStyle name="año 3 4_Deuda septiembre_marcos" xfId="1015" xr:uid="{00000000-0005-0000-0000-0000F7030000}"/>
    <cellStyle name="año 3 5" xfId="1016" xr:uid="{00000000-0005-0000-0000-0000F8030000}"/>
    <cellStyle name="año 3 5 2" xfId="1017" xr:uid="{00000000-0005-0000-0000-0000F9030000}"/>
    <cellStyle name="año 3 5 3" xfId="1018" xr:uid="{00000000-0005-0000-0000-0000FA030000}"/>
    <cellStyle name="año 3 5_Deuda septiembre_marcos" xfId="1019" xr:uid="{00000000-0005-0000-0000-0000FB030000}"/>
    <cellStyle name="año 3 6" xfId="1020" xr:uid="{00000000-0005-0000-0000-0000FC030000}"/>
    <cellStyle name="año 3 6 2" xfId="1021" xr:uid="{00000000-0005-0000-0000-0000FD030000}"/>
    <cellStyle name="año 3 6 3" xfId="1022" xr:uid="{00000000-0005-0000-0000-0000FE030000}"/>
    <cellStyle name="año 3 6_Deuda septiembre_marcos" xfId="1023" xr:uid="{00000000-0005-0000-0000-0000FF030000}"/>
    <cellStyle name="año 3 7" xfId="1024" xr:uid="{00000000-0005-0000-0000-000000040000}"/>
    <cellStyle name="año 3 8" xfId="1025" xr:uid="{00000000-0005-0000-0000-000001040000}"/>
    <cellStyle name="año 3_ActiFijos" xfId="1026" xr:uid="{00000000-0005-0000-0000-000002040000}"/>
    <cellStyle name="año 4" xfId="1027" xr:uid="{00000000-0005-0000-0000-000003040000}"/>
    <cellStyle name="año 4 2" xfId="1028" xr:uid="{00000000-0005-0000-0000-000004040000}"/>
    <cellStyle name="año 4 2 2" xfId="1029" xr:uid="{00000000-0005-0000-0000-000005040000}"/>
    <cellStyle name="año 4 2 2 2" xfId="1030" xr:uid="{00000000-0005-0000-0000-000006040000}"/>
    <cellStyle name="año 4 2 2 3" xfId="1031" xr:uid="{00000000-0005-0000-0000-000007040000}"/>
    <cellStyle name="año 4 2 2_Deuda septiembre_marcos" xfId="1032" xr:uid="{00000000-0005-0000-0000-000008040000}"/>
    <cellStyle name="año 4 2 3" xfId="1033" xr:uid="{00000000-0005-0000-0000-000009040000}"/>
    <cellStyle name="año 4 2 4" xfId="1034" xr:uid="{00000000-0005-0000-0000-00000A040000}"/>
    <cellStyle name="año 4 2_Deuda septiembre_marcos" xfId="1035" xr:uid="{00000000-0005-0000-0000-00000B040000}"/>
    <cellStyle name="año 4 3" xfId="1036" xr:uid="{00000000-0005-0000-0000-00000C040000}"/>
    <cellStyle name="año 4 3 2" xfId="1037" xr:uid="{00000000-0005-0000-0000-00000D040000}"/>
    <cellStyle name="año 4 3 2 2" xfId="1038" xr:uid="{00000000-0005-0000-0000-00000E040000}"/>
    <cellStyle name="año 4 3 2 3" xfId="1039" xr:uid="{00000000-0005-0000-0000-00000F040000}"/>
    <cellStyle name="año 4 3 2_Deuda septiembre_marcos" xfId="1040" xr:uid="{00000000-0005-0000-0000-000010040000}"/>
    <cellStyle name="año 4 3 3" xfId="1041" xr:uid="{00000000-0005-0000-0000-000011040000}"/>
    <cellStyle name="año 4 3 4" xfId="1042" xr:uid="{00000000-0005-0000-0000-000012040000}"/>
    <cellStyle name="año 4 3_Deuda septiembre_marcos" xfId="1043" xr:uid="{00000000-0005-0000-0000-000013040000}"/>
    <cellStyle name="año 4 4" xfId="1044" xr:uid="{00000000-0005-0000-0000-000014040000}"/>
    <cellStyle name="año 4 4 2" xfId="1045" xr:uid="{00000000-0005-0000-0000-000015040000}"/>
    <cellStyle name="año 4 4 2 2" xfId="1046" xr:uid="{00000000-0005-0000-0000-000016040000}"/>
    <cellStyle name="año 4 4 2 3" xfId="1047" xr:uid="{00000000-0005-0000-0000-000017040000}"/>
    <cellStyle name="año 4 4 2_Deuda septiembre_marcos" xfId="1048" xr:uid="{00000000-0005-0000-0000-000018040000}"/>
    <cellStyle name="año 4 4 3" xfId="1049" xr:uid="{00000000-0005-0000-0000-000019040000}"/>
    <cellStyle name="año 4 4 4" xfId="1050" xr:uid="{00000000-0005-0000-0000-00001A040000}"/>
    <cellStyle name="año 4 4_Deuda septiembre_marcos" xfId="1051" xr:uid="{00000000-0005-0000-0000-00001B040000}"/>
    <cellStyle name="año 4 5" xfId="1052" xr:uid="{00000000-0005-0000-0000-00001C040000}"/>
    <cellStyle name="año 4 5 2" xfId="1053" xr:uid="{00000000-0005-0000-0000-00001D040000}"/>
    <cellStyle name="año 4 5 3" xfId="1054" xr:uid="{00000000-0005-0000-0000-00001E040000}"/>
    <cellStyle name="año 4 5_Deuda septiembre_marcos" xfId="1055" xr:uid="{00000000-0005-0000-0000-00001F040000}"/>
    <cellStyle name="año 4 6" xfId="1056" xr:uid="{00000000-0005-0000-0000-000020040000}"/>
    <cellStyle name="año 4 6 2" xfId="1057" xr:uid="{00000000-0005-0000-0000-000021040000}"/>
    <cellStyle name="año 4 6 3" xfId="1058" xr:uid="{00000000-0005-0000-0000-000022040000}"/>
    <cellStyle name="año 4 6_Deuda septiembre_marcos" xfId="1059" xr:uid="{00000000-0005-0000-0000-000023040000}"/>
    <cellStyle name="año 4 7" xfId="1060" xr:uid="{00000000-0005-0000-0000-000024040000}"/>
    <cellStyle name="año 4 8" xfId="1061" xr:uid="{00000000-0005-0000-0000-000025040000}"/>
    <cellStyle name="año 4_ActiFijos" xfId="1062" xr:uid="{00000000-0005-0000-0000-000026040000}"/>
    <cellStyle name="año 5" xfId="1063" xr:uid="{00000000-0005-0000-0000-000027040000}"/>
    <cellStyle name="año 5 2" xfId="1064" xr:uid="{00000000-0005-0000-0000-000028040000}"/>
    <cellStyle name="año 5 3" xfId="1065" xr:uid="{00000000-0005-0000-0000-000029040000}"/>
    <cellStyle name="año 5_Deuda septiembre_marcos" xfId="1066" xr:uid="{00000000-0005-0000-0000-00002A040000}"/>
    <cellStyle name="año 6" xfId="1067" xr:uid="{00000000-0005-0000-0000-00002B040000}"/>
    <cellStyle name="año 6 2" xfId="1068" xr:uid="{00000000-0005-0000-0000-00002C040000}"/>
    <cellStyle name="año 6_Deuda septiembre_marcos" xfId="1069" xr:uid="{00000000-0005-0000-0000-00002D040000}"/>
    <cellStyle name="año 7" xfId="1070" xr:uid="{00000000-0005-0000-0000-00002E040000}"/>
    <cellStyle name="año 7 2" xfId="1071" xr:uid="{00000000-0005-0000-0000-00002F040000}"/>
    <cellStyle name="año 7_Deuda septiembre_marcos" xfId="1072" xr:uid="{00000000-0005-0000-0000-000030040000}"/>
    <cellStyle name="año 8" xfId="1073" xr:uid="{00000000-0005-0000-0000-000031040000}"/>
    <cellStyle name="año 9" xfId="1074" xr:uid="{00000000-0005-0000-0000-000032040000}"/>
    <cellStyle name="año_Bases_Generales" xfId="1075" xr:uid="{00000000-0005-0000-0000-000033040000}"/>
    <cellStyle name="basis points" xfId="1076" xr:uid="{00000000-0005-0000-0000-000034040000}"/>
    <cellStyle name="basis points 2" xfId="1077" xr:uid="{00000000-0005-0000-0000-000035040000}"/>
    <cellStyle name="basis points 2 2" xfId="1078" xr:uid="{00000000-0005-0000-0000-000036040000}"/>
    <cellStyle name="basis points 2 2 2" xfId="4604" xr:uid="{00000000-0005-0000-0000-0000FC110000}"/>
    <cellStyle name="basis points 2 3" xfId="1079" xr:uid="{00000000-0005-0000-0000-000037040000}"/>
    <cellStyle name="basis points 2 3 2" xfId="4605" xr:uid="{00000000-0005-0000-0000-0000FD110000}"/>
    <cellStyle name="basis points 2 4" xfId="1080" xr:uid="{00000000-0005-0000-0000-000038040000}"/>
    <cellStyle name="basis points 2 4 2" xfId="4606" xr:uid="{00000000-0005-0000-0000-0000FE110000}"/>
    <cellStyle name="basis points 2 5" xfId="1081" xr:uid="{00000000-0005-0000-0000-000039040000}"/>
    <cellStyle name="basis points 2 5 2" xfId="4607" xr:uid="{00000000-0005-0000-0000-0000FF110000}"/>
    <cellStyle name="basis points 2 6" xfId="1082" xr:uid="{00000000-0005-0000-0000-00003A040000}"/>
    <cellStyle name="basis points 2 6 2" xfId="4608" xr:uid="{00000000-0005-0000-0000-000000120000}"/>
    <cellStyle name="basis points 2 7" xfId="1083" xr:uid="{00000000-0005-0000-0000-00003B040000}"/>
    <cellStyle name="basis points 2 8" xfId="1084" xr:uid="{00000000-0005-0000-0000-00003C040000}"/>
    <cellStyle name="basis points 3" xfId="1085" xr:uid="{00000000-0005-0000-0000-00003D040000}"/>
    <cellStyle name="basis points 3 2" xfId="1086" xr:uid="{00000000-0005-0000-0000-00003E040000}"/>
    <cellStyle name="basis points 3 2 2" xfId="4609" xr:uid="{00000000-0005-0000-0000-000001120000}"/>
    <cellStyle name="basis points 3 3" xfId="1087" xr:uid="{00000000-0005-0000-0000-00003F040000}"/>
    <cellStyle name="basis points 3 3 2" xfId="4610" xr:uid="{00000000-0005-0000-0000-000002120000}"/>
    <cellStyle name="basis points 3 4" xfId="1088" xr:uid="{00000000-0005-0000-0000-000040040000}"/>
    <cellStyle name="basis points 3 4 2" xfId="4611" xr:uid="{00000000-0005-0000-0000-000003120000}"/>
    <cellStyle name="basis points 3 5" xfId="1089" xr:uid="{00000000-0005-0000-0000-000041040000}"/>
    <cellStyle name="basis points 3 5 2" xfId="4612" xr:uid="{00000000-0005-0000-0000-000004120000}"/>
    <cellStyle name="basis points 3 6" xfId="1090" xr:uid="{00000000-0005-0000-0000-000042040000}"/>
    <cellStyle name="basis points 3 6 2" xfId="4613" xr:uid="{00000000-0005-0000-0000-000005120000}"/>
    <cellStyle name="basis points 3 7" xfId="1091" xr:uid="{00000000-0005-0000-0000-000043040000}"/>
    <cellStyle name="basis points 3 8" xfId="1092" xr:uid="{00000000-0005-0000-0000-000044040000}"/>
    <cellStyle name="basis points 4" xfId="1093" xr:uid="{00000000-0005-0000-0000-000045040000}"/>
    <cellStyle name="basis points 4 2" xfId="1094" xr:uid="{00000000-0005-0000-0000-000046040000}"/>
    <cellStyle name="basis points 4 2 2" xfId="4614" xr:uid="{00000000-0005-0000-0000-000006120000}"/>
    <cellStyle name="basis points 4 3" xfId="1095" xr:uid="{00000000-0005-0000-0000-000047040000}"/>
    <cellStyle name="basis points 4 3 2" xfId="4615" xr:uid="{00000000-0005-0000-0000-000007120000}"/>
    <cellStyle name="basis points 4 4" xfId="1096" xr:uid="{00000000-0005-0000-0000-000048040000}"/>
    <cellStyle name="basis points 4 4 2" xfId="4616" xr:uid="{00000000-0005-0000-0000-000008120000}"/>
    <cellStyle name="basis points 4 5" xfId="1097" xr:uid="{00000000-0005-0000-0000-000049040000}"/>
    <cellStyle name="basis points 4 5 2" xfId="4617" xr:uid="{00000000-0005-0000-0000-000009120000}"/>
    <cellStyle name="basis points 4 6" xfId="1098" xr:uid="{00000000-0005-0000-0000-00004A040000}"/>
    <cellStyle name="basis points 4 6 2" xfId="4618" xr:uid="{00000000-0005-0000-0000-00000A120000}"/>
    <cellStyle name="basis points 4 7" xfId="1099" xr:uid="{00000000-0005-0000-0000-00004B040000}"/>
    <cellStyle name="basis points 4 8" xfId="1100" xr:uid="{00000000-0005-0000-0000-00004C040000}"/>
    <cellStyle name="basis points 5" xfId="4619" xr:uid="{00000000-0005-0000-0000-00000B120000}"/>
    <cellStyle name="bb" xfId="1101" xr:uid="{00000000-0005-0000-0000-00004D040000}"/>
    <cellStyle name="bb 10" xfId="3342" xr:uid="{00000000-0005-0000-0000-00000E0D0000}"/>
    <cellStyle name="bb 2" xfId="3343" xr:uid="{00000000-0005-0000-0000-00000F0D0000}"/>
    <cellStyle name="bb 3" xfId="3344" xr:uid="{00000000-0005-0000-0000-0000100D0000}"/>
    <cellStyle name="bb 4" xfId="3345" xr:uid="{00000000-0005-0000-0000-0000110D0000}"/>
    <cellStyle name="bb 5" xfId="3346" xr:uid="{00000000-0005-0000-0000-0000120D0000}"/>
    <cellStyle name="bb 6" xfId="3347" xr:uid="{00000000-0005-0000-0000-0000130D0000}"/>
    <cellStyle name="bb 7" xfId="3348" xr:uid="{00000000-0005-0000-0000-0000140D0000}"/>
    <cellStyle name="bb 8" xfId="3349" xr:uid="{00000000-0005-0000-0000-0000150D0000}"/>
    <cellStyle name="bb 9" xfId="3350" xr:uid="{00000000-0005-0000-0000-0000160D0000}"/>
    <cellStyle name="bb_TRANSELCA" xfId="3351" xr:uid="{00000000-0005-0000-0000-0000170D0000}"/>
    <cellStyle name="Bom" xfId="1102" xr:uid="{00000000-0005-0000-0000-00004E040000}"/>
    <cellStyle name="Buena 10" xfId="4620" xr:uid="{00000000-0005-0000-0000-00000C120000}"/>
    <cellStyle name="Buena 10 2" xfId="4621" xr:uid="{00000000-0005-0000-0000-00000D120000}"/>
    <cellStyle name="Buena 11" xfId="4622" xr:uid="{00000000-0005-0000-0000-00000E120000}"/>
    <cellStyle name="Buena 11 2" xfId="4623" xr:uid="{00000000-0005-0000-0000-00000F120000}"/>
    <cellStyle name="Buena 12" xfId="4624" xr:uid="{00000000-0005-0000-0000-000010120000}"/>
    <cellStyle name="Buena 12 2" xfId="4625" xr:uid="{00000000-0005-0000-0000-000011120000}"/>
    <cellStyle name="Buena 13" xfId="4626" xr:uid="{00000000-0005-0000-0000-000012120000}"/>
    <cellStyle name="Buena 13 2" xfId="4627" xr:uid="{00000000-0005-0000-0000-000013120000}"/>
    <cellStyle name="Buena 14" xfId="4628" xr:uid="{00000000-0005-0000-0000-000014120000}"/>
    <cellStyle name="Buena 14 2" xfId="4629" xr:uid="{00000000-0005-0000-0000-000015120000}"/>
    <cellStyle name="Buena 15" xfId="4630" xr:uid="{00000000-0005-0000-0000-000016120000}"/>
    <cellStyle name="Buena 2" xfId="3352" xr:uid="{00000000-0005-0000-0000-0000180D0000}"/>
    <cellStyle name="Buena 2 2" xfId="4631" xr:uid="{00000000-0005-0000-0000-000017120000}"/>
    <cellStyle name="Buena 2 2 2" xfId="4632" xr:uid="{00000000-0005-0000-0000-000018120000}"/>
    <cellStyle name="Buena 2 3" xfId="4633" xr:uid="{00000000-0005-0000-0000-000019120000}"/>
    <cellStyle name="Buena 2 3 2" xfId="4634" xr:uid="{00000000-0005-0000-0000-00001A120000}"/>
    <cellStyle name="Buena 2 4" xfId="4635" xr:uid="{00000000-0005-0000-0000-00001B120000}"/>
    <cellStyle name="Buena 3" xfId="3353" xr:uid="{00000000-0005-0000-0000-0000190D0000}"/>
    <cellStyle name="Buena 3 2" xfId="4636" xr:uid="{00000000-0005-0000-0000-00001C120000}"/>
    <cellStyle name="Buena 3 3" xfId="4637" xr:uid="{00000000-0005-0000-0000-00001D120000}"/>
    <cellStyle name="Buena 4" xfId="4638" xr:uid="{00000000-0005-0000-0000-00001E120000}"/>
    <cellStyle name="Buena 4 2" xfId="4639" xr:uid="{00000000-0005-0000-0000-00001F120000}"/>
    <cellStyle name="Buena 4 3" xfId="4640" xr:uid="{00000000-0005-0000-0000-000020120000}"/>
    <cellStyle name="Buena 5" xfId="4641" xr:uid="{00000000-0005-0000-0000-000021120000}"/>
    <cellStyle name="Buena 5 2" xfId="4642" xr:uid="{00000000-0005-0000-0000-000022120000}"/>
    <cellStyle name="Buena 6" xfId="4643" xr:uid="{00000000-0005-0000-0000-000023120000}"/>
    <cellStyle name="Buena 6 2" xfId="4644" xr:uid="{00000000-0005-0000-0000-000024120000}"/>
    <cellStyle name="Buena 7" xfId="4645" xr:uid="{00000000-0005-0000-0000-000025120000}"/>
    <cellStyle name="Buena 7 2" xfId="4646" xr:uid="{00000000-0005-0000-0000-000026120000}"/>
    <cellStyle name="Buena 8" xfId="4647" xr:uid="{00000000-0005-0000-0000-000027120000}"/>
    <cellStyle name="Buena 8 2" xfId="4648" xr:uid="{00000000-0005-0000-0000-000028120000}"/>
    <cellStyle name="Buena 9" xfId="4649" xr:uid="{00000000-0005-0000-0000-000029120000}"/>
    <cellStyle name="Buena 9 2" xfId="4650" xr:uid="{00000000-0005-0000-0000-00002A120000}"/>
    <cellStyle name="Cabecera 1" xfId="3354" xr:uid="{00000000-0005-0000-0000-00001A0D0000}"/>
    <cellStyle name="Cabecera 2" xfId="3355" xr:uid="{00000000-0005-0000-0000-00001B0D0000}"/>
    <cellStyle name="Calculation" xfId="1103" xr:uid="{00000000-0005-0000-0000-00004F040000}"/>
    <cellStyle name="Cálculo 10" xfId="4651" xr:uid="{00000000-0005-0000-0000-00002B120000}"/>
    <cellStyle name="Cálculo 10 2" xfId="4652" xr:uid="{00000000-0005-0000-0000-00002C120000}"/>
    <cellStyle name="Cálculo 11" xfId="4653" xr:uid="{00000000-0005-0000-0000-00002D120000}"/>
    <cellStyle name="Cálculo 11 2" xfId="4654" xr:uid="{00000000-0005-0000-0000-00002E120000}"/>
    <cellStyle name="Cálculo 12" xfId="4655" xr:uid="{00000000-0005-0000-0000-00002F120000}"/>
    <cellStyle name="Cálculo 12 2" xfId="4656" xr:uid="{00000000-0005-0000-0000-000030120000}"/>
    <cellStyle name="Cálculo 13" xfId="4657" xr:uid="{00000000-0005-0000-0000-000031120000}"/>
    <cellStyle name="Cálculo 13 2" xfId="4658" xr:uid="{00000000-0005-0000-0000-000032120000}"/>
    <cellStyle name="Cálculo 14" xfId="4659" xr:uid="{00000000-0005-0000-0000-000033120000}"/>
    <cellStyle name="Cálculo 14 2" xfId="4660" xr:uid="{00000000-0005-0000-0000-000034120000}"/>
    <cellStyle name="Cálculo 15" xfId="4661" xr:uid="{00000000-0005-0000-0000-000035120000}"/>
    <cellStyle name="Cálculo 15 2" xfId="4662" xr:uid="{00000000-0005-0000-0000-000036120000}"/>
    <cellStyle name="Cálculo 16" xfId="4663" xr:uid="{00000000-0005-0000-0000-000037120000}"/>
    <cellStyle name="Cálculo 2" xfId="1104" xr:uid="{00000000-0005-0000-0000-000050040000}"/>
    <cellStyle name="Cálculo 2 2" xfId="1105" xr:uid="{00000000-0005-0000-0000-000051040000}"/>
    <cellStyle name="Cálculo 2 2 2" xfId="4664" xr:uid="{00000000-0005-0000-0000-000038120000}"/>
    <cellStyle name="Cálculo 2 2 3" xfId="4665" xr:uid="{00000000-0005-0000-0000-000039120000}"/>
    <cellStyle name="Cálculo 2 2 4" xfId="4666" xr:uid="{00000000-0005-0000-0000-00003A120000}"/>
    <cellStyle name="Cálculo 2 2 4 2" xfId="4667" xr:uid="{00000000-0005-0000-0000-00003B120000}"/>
    <cellStyle name="Cálculo 2 3" xfId="4668" xr:uid="{00000000-0005-0000-0000-00003C120000}"/>
    <cellStyle name="Cálculo 2 4" xfId="4669" xr:uid="{00000000-0005-0000-0000-00003D120000}"/>
    <cellStyle name="Cálculo 2 4 2" xfId="4670" xr:uid="{00000000-0005-0000-0000-00003E120000}"/>
    <cellStyle name="Cálculo 2 5" xfId="4671" xr:uid="{00000000-0005-0000-0000-00003F120000}"/>
    <cellStyle name="Cálculo 2_Deuda septiembre_marcos" xfId="1106" xr:uid="{00000000-0005-0000-0000-000052040000}"/>
    <cellStyle name="Cálculo 3" xfId="3356" xr:uid="{00000000-0005-0000-0000-00001C0D0000}"/>
    <cellStyle name="Cálculo 3 2" xfId="4672" xr:uid="{00000000-0005-0000-0000-000040120000}"/>
    <cellStyle name="Cálculo 3 3" xfId="4673" xr:uid="{00000000-0005-0000-0000-000041120000}"/>
    <cellStyle name="Cálculo 4" xfId="4674" xr:uid="{00000000-0005-0000-0000-000042120000}"/>
    <cellStyle name="Cálculo 4 2" xfId="4675" xr:uid="{00000000-0005-0000-0000-000043120000}"/>
    <cellStyle name="Cálculo 4 3" xfId="4676" xr:uid="{00000000-0005-0000-0000-000044120000}"/>
    <cellStyle name="Cálculo 5" xfId="4677" xr:uid="{00000000-0005-0000-0000-000045120000}"/>
    <cellStyle name="Cálculo 5 2" xfId="4678" xr:uid="{00000000-0005-0000-0000-000046120000}"/>
    <cellStyle name="Cálculo 6" xfId="4679" xr:uid="{00000000-0005-0000-0000-000047120000}"/>
    <cellStyle name="Cálculo 6 2" xfId="4680" xr:uid="{00000000-0005-0000-0000-000048120000}"/>
    <cellStyle name="Cálculo 7" xfId="4681" xr:uid="{00000000-0005-0000-0000-000049120000}"/>
    <cellStyle name="Cálculo 7 2" xfId="4682" xr:uid="{00000000-0005-0000-0000-00004A120000}"/>
    <cellStyle name="Cálculo 8" xfId="4683" xr:uid="{00000000-0005-0000-0000-00004B120000}"/>
    <cellStyle name="Cálculo 8 2" xfId="4684" xr:uid="{00000000-0005-0000-0000-00004C120000}"/>
    <cellStyle name="Cálculo 9" xfId="4685" xr:uid="{00000000-0005-0000-0000-00004D120000}"/>
    <cellStyle name="Cálculo 9 2" xfId="4686" xr:uid="{00000000-0005-0000-0000-00004E120000}"/>
    <cellStyle name="CC" xfId="1107" xr:uid="{00000000-0005-0000-0000-000053040000}"/>
    <cellStyle name="CC 10" xfId="3357" xr:uid="{00000000-0005-0000-0000-00001D0D0000}"/>
    <cellStyle name="CC 2" xfId="3358" xr:uid="{00000000-0005-0000-0000-00001E0D0000}"/>
    <cellStyle name="CC 3" xfId="3359" xr:uid="{00000000-0005-0000-0000-00001F0D0000}"/>
    <cellStyle name="CC 4" xfId="3360" xr:uid="{00000000-0005-0000-0000-0000200D0000}"/>
    <cellStyle name="CC 5" xfId="3361" xr:uid="{00000000-0005-0000-0000-0000210D0000}"/>
    <cellStyle name="CC 6" xfId="3362" xr:uid="{00000000-0005-0000-0000-0000220D0000}"/>
    <cellStyle name="CC 7" xfId="3363" xr:uid="{00000000-0005-0000-0000-0000230D0000}"/>
    <cellStyle name="CC 8" xfId="3364" xr:uid="{00000000-0005-0000-0000-0000240D0000}"/>
    <cellStyle name="CC 9" xfId="3365" xr:uid="{00000000-0005-0000-0000-0000250D0000}"/>
    <cellStyle name="CC_TRANSELCA" xfId="3366" xr:uid="{00000000-0005-0000-0000-0000260D0000}"/>
    <cellStyle name="Celda de comprobación 10" xfId="4687" xr:uid="{00000000-0005-0000-0000-00004F120000}"/>
    <cellStyle name="Celda de comprobación 11" xfId="4688" xr:uid="{00000000-0005-0000-0000-000050120000}"/>
    <cellStyle name="Celda de comprobación 11 2" xfId="4689" xr:uid="{00000000-0005-0000-0000-000051120000}"/>
    <cellStyle name="Celda de comprobación 12" xfId="4690" xr:uid="{00000000-0005-0000-0000-000052120000}"/>
    <cellStyle name="Celda de comprobación 12 2" xfId="4691" xr:uid="{00000000-0005-0000-0000-000053120000}"/>
    <cellStyle name="Celda de comprobación 13" xfId="4692" xr:uid="{00000000-0005-0000-0000-000054120000}"/>
    <cellStyle name="Celda de comprobación 13 2" xfId="4693" xr:uid="{00000000-0005-0000-0000-000055120000}"/>
    <cellStyle name="Celda de comprobación 14" xfId="4694" xr:uid="{00000000-0005-0000-0000-000056120000}"/>
    <cellStyle name="Celda de comprobación 14 2" xfId="4695" xr:uid="{00000000-0005-0000-0000-000057120000}"/>
    <cellStyle name="Celda de comprobación 15" xfId="4696" xr:uid="{00000000-0005-0000-0000-000058120000}"/>
    <cellStyle name="Celda de comprobación 15 2" xfId="4697" xr:uid="{00000000-0005-0000-0000-000059120000}"/>
    <cellStyle name="Celda de comprobación 16" xfId="4698" xr:uid="{00000000-0005-0000-0000-00005A120000}"/>
    <cellStyle name="Celda de comprobación 2" xfId="1108" xr:uid="{00000000-0005-0000-0000-000054040000}"/>
    <cellStyle name="Celda de comprobación 2 2" xfId="1109" xr:uid="{00000000-0005-0000-0000-000055040000}"/>
    <cellStyle name="Celda de comprobación 2 2 2" xfId="4699" xr:uid="{00000000-0005-0000-0000-00005B120000}"/>
    <cellStyle name="Celda de comprobación 2 2 3" xfId="4700" xr:uid="{00000000-0005-0000-0000-00005C120000}"/>
    <cellStyle name="Celda de comprobación 2 2 4" xfId="4701" xr:uid="{00000000-0005-0000-0000-00005D120000}"/>
    <cellStyle name="Celda de comprobación 2 2 4 2" xfId="4702" xr:uid="{00000000-0005-0000-0000-00005E120000}"/>
    <cellStyle name="Celda de comprobación 2 3" xfId="4703" xr:uid="{00000000-0005-0000-0000-00005F120000}"/>
    <cellStyle name="Celda de comprobación 2 4" xfId="4704" xr:uid="{00000000-0005-0000-0000-000060120000}"/>
    <cellStyle name="Celda de comprobación 2 4 2" xfId="4705" xr:uid="{00000000-0005-0000-0000-000061120000}"/>
    <cellStyle name="Celda de comprobación 2 5" xfId="4706" xr:uid="{00000000-0005-0000-0000-000062120000}"/>
    <cellStyle name="Celda de comprobación 2_Deuda septiembre_marcos" xfId="1110" xr:uid="{00000000-0005-0000-0000-000056040000}"/>
    <cellStyle name="Celda de comprobación 3" xfId="3367" xr:uid="{00000000-0005-0000-0000-0000270D0000}"/>
    <cellStyle name="Celda de comprobación 3 2" xfId="4707" xr:uid="{00000000-0005-0000-0000-000063120000}"/>
    <cellStyle name="Celda de comprobación 3 3" xfId="4708" xr:uid="{00000000-0005-0000-0000-000064120000}"/>
    <cellStyle name="Celda de comprobación 4" xfId="4709" xr:uid="{00000000-0005-0000-0000-000065120000}"/>
    <cellStyle name="Celda de comprobación 4 2" xfId="4710" xr:uid="{00000000-0005-0000-0000-000066120000}"/>
    <cellStyle name="Celda de comprobación 4 3" xfId="4711" xr:uid="{00000000-0005-0000-0000-000067120000}"/>
    <cellStyle name="Celda de comprobación 5" xfId="4712" xr:uid="{00000000-0005-0000-0000-000068120000}"/>
    <cellStyle name="Celda de comprobación 6" xfId="4713" xr:uid="{00000000-0005-0000-0000-000069120000}"/>
    <cellStyle name="Celda de comprobación 7" xfId="4714" xr:uid="{00000000-0005-0000-0000-00006A120000}"/>
    <cellStyle name="Celda de comprobación 8" xfId="4715" xr:uid="{00000000-0005-0000-0000-00006B120000}"/>
    <cellStyle name="Celda de comprobación 9" xfId="4716" xr:uid="{00000000-0005-0000-0000-00006C120000}"/>
    <cellStyle name="Celda vinculada 10" xfId="4717" xr:uid="{00000000-0005-0000-0000-00006D120000}"/>
    <cellStyle name="Celda vinculada 10 2" xfId="4718" xr:uid="{00000000-0005-0000-0000-00006E120000}"/>
    <cellStyle name="Celda vinculada 11" xfId="4719" xr:uid="{00000000-0005-0000-0000-00006F120000}"/>
    <cellStyle name="Celda vinculada 11 2" xfId="4720" xr:uid="{00000000-0005-0000-0000-000070120000}"/>
    <cellStyle name="Celda vinculada 12" xfId="4721" xr:uid="{00000000-0005-0000-0000-000071120000}"/>
    <cellStyle name="Celda vinculada 12 2" xfId="4722" xr:uid="{00000000-0005-0000-0000-000072120000}"/>
    <cellStyle name="Celda vinculada 13" xfId="4723" xr:uid="{00000000-0005-0000-0000-000073120000}"/>
    <cellStyle name="Celda vinculada 13 2" xfId="4724" xr:uid="{00000000-0005-0000-0000-000074120000}"/>
    <cellStyle name="Celda vinculada 14" xfId="4725" xr:uid="{00000000-0005-0000-0000-000075120000}"/>
    <cellStyle name="Celda vinculada 14 2" xfId="4726" xr:uid="{00000000-0005-0000-0000-000076120000}"/>
    <cellStyle name="Celda vinculada 15" xfId="4727" xr:uid="{00000000-0005-0000-0000-000077120000}"/>
    <cellStyle name="Celda vinculada 2" xfId="3368" xr:uid="{00000000-0005-0000-0000-0000280D0000}"/>
    <cellStyle name="Celda vinculada 2 2" xfId="4728" xr:uid="{00000000-0005-0000-0000-000078120000}"/>
    <cellStyle name="Celda vinculada 2 3" xfId="4729" xr:uid="{00000000-0005-0000-0000-000079120000}"/>
    <cellStyle name="Celda vinculada 2 4" xfId="4730" xr:uid="{00000000-0005-0000-0000-00007A120000}"/>
    <cellStyle name="Celda vinculada 3" xfId="3369" xr:uid="{00000000-0005-0000-0000-0000290D0000}"/>
    <cellStyle name="Celda vinculada 3 2" xfId="4731" xr:uid="{00000000-0005-0000-0000-00007B120000}"/>
    <cellStyle name="Celda vinculada 3 3" xfId="4732" xr:uid="{00000000-0005-0000-0000-00007C120000}"/>
    <cellStyle name="Celda vinculada 4" xfId="4733" xr:uid="{00000000-0005-0000-0000-00007D120000}"/>
    <cellStyle name="Celda vinculada 4 2" xfId="4734" xr:uid="{00000000-0005-0000-0000-00007E120000}"/>
    <cellStyle name="Celda vinculada 4 3" xfId="4735" xr:uid="{00000000-0005-0000-0000-00007F120000}"/>
    <cellStyle name="Celda vinculada 5" xfId="4736" xr:uid="{00000000-0005-0000-0000-000080120000}"/>
    <cellStyle name="Celda vinculada 6" xfId="4737" xr:uid="{00000000-0005-0000-0000-000081120000}"/>
    <cellStyle name="Celda vinculada 7" xfId="4738" xr:uid="{00000000-0005-0000-0000-000082120000}"/>
    <cellStyle name="Celda vinculada 8" xfId="4739" xr:uid="{00000000-0005-0000-0000-000083120000}"/>
    <cellStyle name="Celda vinculada 9" xfId="4740" xr:uid="{00000000-0005-0000-0000-000084120000}"/>
    <cellStyle name="Célula de Verificação" xfId="1111" xr:uid="{00000000-0005-0000-0000-000057040000}"/>
    <cellStyle name="Célula Vinculada" xfId="1112" xr:uid="{00000000-0005-0000-0000-000058040000}"/>
    <cellStyle name="Code" xfId="3370" xr:uid="{00000000-0005-0000-0000-00002A0D0000}"/>
    <cellStyle name="Code Section" xfId="3371" xr:uid="{00000000-0005-0000-0000-00002B0D0000}"/>
    <cellStyle name="Column Header" xfId="3372" xr:uid="{00000000-0005-0000-0000-00002C0D0000}"/>
    <cellStyle name="Coma 2" xfId="3731" xr:uid="{00000000-0005-0000-0000-0000930E0000}"/>
    <cellStyle name="Coma 2 2" xfId="3820" xr:uid="{00000000-0005-0000-0000-0000EC0E0000}"/>
    <cellStyle name="Coma 2 2 2" xfId="6812" xr:uid="{00000000-0005-0000-0000-00009C1A0000}"/>
    <cellStyle name="Coma 2 2 2 2" xfId="7135" xr:uid="{00000000-0005-0000-0000-0000DF1B0000}"/>
    <cellStyle name="Coma 2 2 2 2 2" xfId="7776" xr:uid="{00000000-0005-0000-0000-0000601E0000}"/>
    <cellStyle name="Coma 2 2 2 3" xfId="7453" xr:uid="{00000000-0005-0000-0000-00001D1D0000}"/>
    <cellStyle name="Coma 2 2 3" xfId="6971" xr:uid="{00000000-0005-0000-0000-00003B1B0000}"/>
    <cellStyle name="Coma 2 2 3 2" xfId="7612" xr:uid="{00000000-0005-0000-0000-0000BC1D0000}"/>
    <cellStyle name="Coma 2 2 4" xfId="7291" xr:uid="{00000000-0005-0000-0000-00007B1C0000}"/>
    <cellStyle name="Coma 2 3" xfId="6781" xr:uid="{00000000-0005-0000-0000-00007D1A0000}"/>
    <cellStyle name="Coma 2 3 2" xfId="7104" xr:uid="{00000000-0005-0000-0000-0000C01B0000}"/>
    <cellStyle name="Coma 2 3 2 2" xfId="7745" xr:uid="{00000000-0005-0000-0000-0000411E0000}"/>
    <cellStyle name="Coma 2 3 3" xfId="7422" xr:uid="{00000000-0005-0000-0000-0000FE1C0000}"/>
    <cellStyle name="Coma 2 4" xfId="6940" xr:uid="{00000000-0005-0000-0000-00001C1B0000}"/>
    <cellStyle name="Coma 2 4 2" xfId="7581" xr:uid="{00000000-0005-0000-0000-00009D1D0000}"/>
    <cellStyle name="Coma 2 5" xfId="7260" xr:uid="{00000000-0005-0000-0000-00005C1C0000}"/>
    <cellStyle name="Coma0" xfId="1113" xr:uid="{00000000-0005-0000-0000-000059040000}"/>
    <cellStyle name="Coma0 10" xfId="3373" xr:uid="{00000000-0005-0000-0000-00002D0D0000}"/>
    <cellStyle name="Coma0 2" xfId="1114" xr:uid="{00000000-0005-0000-0000-00005A040000}"/>
    <cellStyle name="Coma0 2 2" xfId="1115" xr:uid="{00000000-0005-0000-0000-00005B040000}"/>
    <cellStyle name="Coma0 2 3" xfId="1116" xr:uid="{00000000-0005-0000-0000-00005C040000}"/>
    <cellStyle name="Coma0 2 4" xfId="1117" xr:uid="{00000000-0005-0000-0000-00005D040000}"/>
    <cellStyle name="Coma0 2 5" xfId="1118" xr:uid="{00000000-0005-0000-0000-00005E040000}"/>
    <cellStyle name="Coma0 2 6" xfId="1119" xr:uid="{00000000-0005-0000-0000-00005F040000}"/>
    <cellStyle name="Coma0 2 7" xfId="1120" xr:uid="{00000000-0005-0000-0000-000060040000}"/>
    <cellStyle name="Coma0 2 8" xfId="1121" xr:uid="{00000000-0005-0000-0000-000061040000}"/>
    <cellStyle name="Coma0 3" xfId="1122" xr:uid="{00000000-0005-0000-0000-000062040000}"/>
    <cellStyle name="Coma0 3 2" xfId="1123" xr:uid="{00000000-0005-0000-0000-000063040000}"/>
    <cellStyle name="Coma0 3 3" xfId="1124" xr:uid="{00000000-0005-0000-0000-000064040000}"/>
    <cellStyle name="Coma0 3 4" xfId="1125" xr:uid="{00000000-0005-0000-0000-000065040000}"/>
    <cellStyle name="Coma0 3 5" xfId="1126" xr:uid="{00000000-0005-0000-0000-000066040000}"/>
    <cellStyle name="Coma0 3 6" xfId="1127" xr:uid="{00000000-0005-0000-0000-000067040000}"/>
    <cellStyle name="Coma0 3 7" xfId="1128" xr:uid="{00000000-0005-0000-0000-000068040000}"/>
    <cellStyle name="Coma0 3 8" xfId="1129" xr:uid="{00000000-0005-0000-0000-000069040000}"/>
    <cellStyle name="Coma0 4" xfId="1130" xr:uid="{00000000-0005-0000-0000-00006A040000}"/>
    <cellStyle name="Coma0 4 2" xfId="1131" xr:uid="{00000000-0005-0000-0000-00006B040000}"/>
    <cellStyle name="Coma0 4 3" xfId="1132" xr:uid="{00000000-0005-0000-0000-00006C040000}"/>
    <cellStyle name="Coma0 4 4" xfId="1133" xr:uid="{00000000-0005-0000-0000-00006D040000}"/>
    <cellStyle name="Coma0 4 5" xfId="1134" xr:uid="{00000000-0005-0000-0000-00006E040000}"/>
    <cellStyle name="Coma0 4 6" xfId="1135" xr:uid="{00000000-0005-0000-0000-00006F040000}"/>
    <cellStyle name="Coma0 4 7" xfId="1136" xr:uid="{00000000-0005-0000-0000-000070040000}"/>
    <cellStyle name="Coma0 4 8" xfId="1137" xr:uid="{00000000-0005-0000-0000-000071040000}"/>
    <cellStyle name="Coma0 5" xfId="3374" xr:uid="{00000000-0005-0000-0000-00002E0D0000}"/>
    <cellStyle name="Coma0 6" xfId="3375" xr:uid="{00000000-0005-0000-0000-00002F0D0000}"/>
    <cellStyle name="Coma0 7" xfId="3376" xr:uid="{00000000-0005-0000-0000-0000300D0000}"/>
    <cellStyle name="Coma0 8" xfId="3377" xr:uid="{00000000-0005-0000-0000-0000310D0000}"/>
    <cellStyle name="Coma0 9" xfId="3378" xr:uid="{00000000-0005-0000-0000-0000320D0000}"/>
    <cellStyle name="Coma1" xfId="1138" xr:uid="{00000000-0005-0000-0000-000072040000}"/>
    <cellStyle name="Coma1 10" xfId="3379" xr:uid="{00000000-0005-0000-0000-0000330D0000}"/>
    <cellStyle name="Coma1 2" xfId="1139" xr:uid="{00000000-0005-0000-0000-000073040000}"/>
    <cellStyle name="Coma1 2 2" xfId="1140" xr:uid="{00000000-0005-0000-0000-000074040000}"/>
    <cellStyle name="Coma1 2 3" xfId="1141" xr:uid="{00000000-0005-0000-0000-000075040000}"/>
    <cellStyle name="Coma1 2 4" xfId="1142" xr:uid="{00000000-0005-0000-0000-000076040000}"/>
    <cellStyle name="Coma1 2 5" xfId="1143" xr:uid="{00000000-0005-0000-0000-000077040000}"/>
    <cellStyle name="Coma1 2 6" xfId="1144" xr:uid="{00000000-0005-0000-0000-000078040000}"/>
    <cellStyle name="Coma1 2 7" xfId="1145" xr:uid="{00000000-0005-0000-0000-000079040000}"/>
    <cellStyle name="Coma1 2 8" xfId="1146" xr:uid="{00000000-0005-0000-0000-00007A040000}"/>
    <cellStyle name="Coma1 3" xfId="1147" xr:uid="{00000000-0005-0000-0000-00007B040000}"/>
    <cellStyle name="Coma1 3 2" xfId="1148" xr:uid="{00000000-0005-0000-0000-00007C040000}"/>
    <cellStyle name="Coma1 3 3" xfId="1149" xr:uid="{00000000-0005-0000-0000-00007D040000}"/>
    <cellStyle name="Coma1 3 4" xfId="1150" xr:uid="{00000000-0005-0000-0000-00007E040000}"/>
    <cellStyle name="Coma1 3 5" xfId="1151" xr:uid="{00000000-0005-0000-0000-00007F040000}"/>
    <cellStyle name="Coma1 3 6" xfId="1152" xr:uid="{00000000-0005-0000-0000-000080040000}"/>
    <cellStyle name="Coma1 3 7" xfId="1153" xr:uid="{00000000-0005-0000-0000-000081040000}"/>
    <cellStyle name="Coma1 3 8" xfId="1154" xr:uid="{00000000-0005-0000-0000-000082040000}"/>
    <cellStyle name="Coma1 4" xfId="1155" xr:uid="{00000000-0005-0000-0000-000083040000}"/>
    <cellStyle name="Coma1 4 2" xfId="1156" xr:uid="{00000000-0005-0000-0000-000084040000}"/>
    <cellStyle name="Coma1 4 3" xfId="1157" xr:uid="{00000000-0005-0000-0000-000085040000}"/>
    <cellStyle name="Coma1 4 4" xfId="1158" xr:uid="{00000000-0005-0000-0000-000086040000}"/>
    <cellStyle name="Coma1 4 5" xfId="1159" xr:uid="{00000000-0005-0000-0000-000087040000}"/>
    <cellStyle name="Coma1 4 6" xfId="1160" xr:uid="{00000000-0005-0000-0000-000088040000}"/>
    <cellStyle name="Coma1 4 7" xfId="1161" xr:uid="{00000000-0005-0000-0000-000089040000}"/>
    <cellStyle name="Coma1 4 8" xfId="1162" xr:uid="{00000000-0005-0000-0000-00008A040000}"/>
    <cellStyle name="Coma1 5" xfId="3380" xr:uid="{00000000-0005-0000-0000-0000340D0000}"/>
    <cellStyle name="Coma1 6" xfId="3381" xr:uid="{00000000-0005-0000-0000-0000350D0000}"/>
    <cellStyle name="Coma1 7" xfId="3382" xr:uid="{00000000-0005-0000-0000-0000360D0000}"/>
    <cellStyle name="Coma1 8" xfId="3383" xr:uid="{00000000-0005-0000-0000-0000370D0000}"/>
    <cellStyle name="Coma1 9" xfId="3384" xr:uid="{00000000-0005-0000-0000-0000380D0000}"/>
    <cellStyle name="Comma" xfId="4" xr:uid="{00000000-0005-0000-0000-000004000000}"/>
    <cellStyle name="Comma [0]" xfId="5" xr:uid="{00000000-0005-0000-0000-000005000000}"/>
    <cellStyle name="Comma [0] 2" xfId="31" xr:uid="{00000000-0005-0000-0000-00001F000000}"/>
    <cellStyle name="Comma [0] 2 2" xfId="81" xr:uid="{00000000-0005-0000-0000-000051000000}"/>
    <cellStyle name="Comma [0] 2 2 2" xfId="6728" xr:uid="{00000000-0005-0000-0000-0000481A0000}"/>
    <cellStyle name="Comma [0] 2 2 2 2" xfId="6894" xr:uid="{00000000-0005-0000-0000-0000EE1A0000}"/>
    <cellStyle name="Comma [0] 2 2 2 2 2" xfId="7217" xr:uid="{00000000-0005-0000-0000-0000311C0000}"/>
    <cellStyle name="Comma [0] 2 2 2 2 2 2" xfId="7858" xr:uid="{00000000-0005-0000-0000-0000B21E0000}"/>
    <cellStyle name="Comma [0] 2 2 2 2 3" xfId="7535" xr:uid="{00000000-0005-0000-0000-00006F1D0000}"/>
    <cellStyle name="Comma [0] 2 2 2 3" xfId="7051" xr:uid="{00000000-0005-0000-0000-00008B1B0000}"/>
    <cellStyle name="Comma [0] 2 2 2 3 2" xfId="7692" xr:uid="{00000000-0005-0000-0000-00000C1E0000}"/>
    <cellStyle name="Comma [0] 2 2 2 4" xfId="7369" xr:uid="{00000000-0005-0000-0000-0000C91C0000}"/>
    <cellStyle name="Comma [0] 2 2 3" xfId="6711" xr:uid="{00000000-0005-0000-0000-0000371A0000}"/>
    <cellStyle name="Comma [0] 2 2 3 2" xfId="6878" xr:uid="{00000000-0005-0000-0000-0000DE1A0000}"/>
    <cellStyle name="Comma [0] 2 2 3 2 2" xfId="7201" xr:uid="{00000000-0005-0000-0000-0000211C0000}"/>
    <cellStyle name="Comma [0] 2 2 3 2 2 2" xfId="7842" xr:uid="{00000000-0005-0000-0000-0000A21E0000}"/>
    <cellStyle name="Comma [0] 2 2 3 2 3" xfId="7519" xr:uid="{00000000-0005-0000-0000-00005F1D0000}"/>
    <cellStyle name="Comma [0] 2 2 3 3" xfId="7035" xr:uid="{00000000-0005-0000-0000-00007B1B0000}"/>
    <cellStyle name="Comma [0] 2 2 3 3 2" xfId="7676" xr:uid="{00000000-0005-0000-0000-0000FC1D0000}"/>
    <cellStyle name="Comma [0] 2 2 3 4" xfId="7353" xr:uid="{00000000-0005-0000-0000-0000B91C0000}"/>
    <cellStyle name="Comma [0] 2 2 4" xfId="6901" xr:uid="{00000000-0005-0000-0000-0000F51A0000}"/>
    <cellStyle name="Comma [0] 2 2 4 2" xfId="7542" xr:uid="{00000000-0005-0000-0000-0000761D0000}"/>
    <cellStyle name="Comma [0] 2 2 5" xfId="7221" xr:uid="{00000000-0005-0000-0000-0000351C0000}"/>
    <cellStyle name="Comma [0] 2 3" xfId="6707" xr:uid="{00000000-0005-0000-0000-0000331A0000}"/>
    <cellStyle name="Comma [0] 2 3 2" xfId="6876" xr:uid="{00000000-0005-0000-0000-0000DC1A0000}"/>
    <cellStyle name="Comma [0] 2 3 2 2" xfId="7199" xr:uid="{00000000-0005-0000-0000-00001F1C0000}"/>
    <cellStyle name="Comma [0] 2 3 2 2 2" xfId="7840" xr:uid="{00000000-0005-0000-0000-0000A01E0000}"/>
    <cellStyle name="Comma [0] 2 3 2 3" xfId="7517" xr:uid="{00000000-0005-0000-0000-00005D1D0000}"/>
    <cellStyle name="Comma [0] 2 3 3" xfId="7033" xr:uid="{00000000-0005-0000-0000-0000791B0000}"/>
    <cellStyle name="Comma [0] 2 3 3 2" xfId="7674" xr:uid="{00000000-0005-0000-0000-0000FA1D0000}"/>
    <cellStyle name="Comma [0] 2 3 4" xfId="7351" xr:uid="{00000000-0005-0000-0000-0000B71C0000}"/>
    <cellStyle name="Comma [0] 2 4" xfId="6724" xr:uid="{00000000-0005-0000-0000-0000441A0000}"/>
    <cellStyle name="Comma [0] 2 4 2" xfId="6890" xr:uid="{00000000-0005-0000-0000-0000EA1A0000}"/>
    <cellStyle name="Comma [0] 2 4 2 2" xfId="7213" xr:uid="{00000000-0005-0000-0000-00002D1C0000}"/>
    <cellStyle name="Comma [0] 2 4 2 2 2" xfId="7854" xr:uid="{00000000-0005-0000-0000-0000AE1E0000}"/>
    <cellStyle name="Comma [0] 2 4 2 3" xfId="7531" xr:uid="{00000000-0005-0000-0000-00006B1D0000}"/>
    <cellStyle name="Comma [0] 2 4 3" xfId="7047" xr:uid="{00000000-0005-0000-0000-0000871B0000}"/>
    <cellStyle name="Comma [0] 2 4 3 2" xfId="7688" xr:uid="{00000000-0005-0000-0000-0000081E0000}"/>
    <cellStyle name="Comma [0] 2 4 4" xfId="7365" xr:uid="{00000000-0005-0000-0000-0000C51C0000}"/>
    <cellStyle name="Comma [0] 2 5" xfId="6704" xr:uid="{00000000-0005-0000-0000-0000301A0000}"/>
    <cellStyle name="Comma [0] 2 5 2" xfId="6873" xr:uid="{00000000-0005-0000-0000-0000D91A0000}"/>
    <cellStyle name="Comma [0] 2 5 2 2" xfId="7196" xr:uid="{00000000-0005-0000-0000-00001C1C0000}"/>
    <cellStyle name="Comma [0] 2 5 2 2 2" xfId="7837" xr:uid="{00000000-0005-0000-0000-00009D1E0000}"/>
    <cellStyle name="Comma [0] 2 5 2 3" xfId="7514" xr:uid="{00000000-0005-0000-0000-00005A1D0000}"/>
    <cellStyle name="Comma [0] 2 5 3" xfId="7030" xr:uid="{00000000-0005-0000-0000-0000761B0000}"/>
    <cellStyle name="Comma [0] 2 5 3 2" xfId="7671" xr:uid="{00000000-0005-0000-0000-0000F71D0000}"/>
    <cellStyle name="Comma [0] 2 5 4" xfId="7348" xr:uid="{00000000-0005-0000-0000-0000B41C0000}"/>
    <cellStyle name="Comma [0] 2 6" xfId="6899" xr:uid="{00000000-0005-0000-0000-0000F31A0000}"/>
    <cellStyle name="Comma [0] 2 6 2" xfId="7540" xr:uid="{00000000-0005-0000-0000-0000741D0000}"/>
    <cellStyle name="Comma [0] 2 7" xfId="7219" xr:uid="{00000000-0005-0000-0000-0000331C0000}"/>
    <cellStyle name="Comma [0] 3" xfId="68" xr:uid="{00000000-0005-0000-0000-000044000000}"/>
    <cellStyle name="Comma [0] 3 2" xfId="84" xr:uid="{00000000-0005-0000-0000-000054000000}"/>
    <cellStyle name="Comma [0] 3 2 2" xfId="6727" xr:uid="{00000000-0005-0000-0000-0000471A0000}"/>
    <cellStyle name="Comma [0] 3 2 2 2" xfId="6893" xr:uid="{00000000-0005-0000-0000-0000ED1A0000}"/>
    <cellStyle name="Comma [0] 3 2 2 2 2" xfId="7216" xr:uid="{00000000-0005-0000-0000-0000301C0000}"/>
    <cellStyle name="Comma [0] 3 2 2 2 2 2" xfId="7857" xr:uid="{00000000-0005-0000-0000-0000B11E0000}"/>
    <cellStyle name="Comma [0] 3 2 2 2 3" xfId="7534" xr:uid="{00000000-0005-0000-0000-00006E1D0000}"/>
    <cellStyle name="Comma [0] 3 2 2 3" xfId="7050" xr:uid="{00000000-0005-0000-0000-00008A1B0000}"/>
    <cellStyle name="Comma [0] 3 2 2 3 2" xfId="7691" xr:uid="{00000000-0005-0000-0000-00000B1E0000}"/>
    <cellStyle name="Comma [0] 3 2 2 4" xfId="7368" xr:uid="{00000000-0005-0000-0000-0000C81C0000}"/>
    <cellStyle name="Comma [0] 3 2 3" xfId="6713" xr:uid="{00000000-0005-0000-0000-0000391A0000}"/>
    <cellStyle name="Comma [0] 3 2 3 2" xfId="6880" xr:uid="{00000000-0005-0000-0000-0000E01A0000}"/>
    <cellStyle name="Comma [0] 3 2 3 2 2" xfId="7203" xr:uid="{00000000-0005-0000-0000-0000231C0000}"/>
    <cellStyle name="Comma [0] 3 2 3 2 2 2" xfId="7844" xr:uid="{00000000-0005-0000-0000-0000A41E0000}"/>
    <cellStyle name="Comma [0] 3 2 3 2 3" xfId="7521" xr:uid="{00000000-0005-0000-0000-0000611D0000}"/>
    <cellStyle name="Comma [0] 3 2 3 3" xfId="7037" xr:uid="{00000000-0005-0000-0000-00007D1B0000}"/>
    <cellStyle name="Comma [0] 3 2 3 3 2" xfId="7678" xr:uid="{00000000-0005-0000-0000-0000FE1D0000}"/>
    <cellStyle name="Comma [0] 3 2 3 4" xfId="7355" xr:uid="{00000000-0005-0000-0000-0000BB1C0000}"/>
    <cellStyle name="Comma [0] 3 2 4" xfId="6903" xr:uid="{00000000-0005-0000-0000-0000F71A0000}"/>
    <cellStyle name="Comma [0] 3 2 4 2" xfId="7544" xr:uid="{00000000-0005-0000-0000-0000781D0000}"/>
    <cellStyle name="Comma [0] 3 2 5" xfId="7223" xr:uid="{00000000-0005-0000-0000-0000371C0000}"/>
    <cellStyle name="Comma [0] 3 3" xfId="6720" xr:uid="{00000000-0005-0000-0000-0000401A0000}"/>
    <cellStyle name="Comma [0] 3 3 2" xfId="6886" xr:uid="{00000000-0005-0000-0000-0000E61A0000}"/>
    <cellStyle name="Comma [0] 3 3 2 2" xfId="7209" xr:uid="{00000000-0005-0000-0000-0000291C0000}"/>
    <cellStyle name="Comma [0] 3 3 2 2 2" xfId="7850" xr:uid="{00000000-0005-0000-0000-0000AA1E0000}"/>
    <cellStyle name="Comma [0] 3 3 2 3" xfId="7527" xr:uid="{00000000-0005-0000-0000-0000671D0000}"/>
    <cellStyle name="Comma [0] 3 3 3" xfId="7043" xr:uid="{00000000-0005-0000-0000-0000831B0000}"/>
    <cellStyle name="Comma [0] 3 3 3 2" xfId="7684" xr:uid="{00000000-0005-0000-0000-0000041E0000}"/>
    <cellStyle name="Comma [0] 3 3 4" xfId="7361" xr:uid="{00000000-0005-0000-0000-0000C11C0000}"/>
    <cellStyle name="Comma [0] 3 4" xfId="6708" xr:uid="{00000000-0005-0000-0000-0000341A0000}"/>
    <cellStyle name="Comma [0] 3 4 2" xfId="6877" xr:uid="{00000000-0005-0000-0000-0000DD1A0000}"/>
    <cellStyle name="Comma [0] 3 4 2 2" xfId="7200" xr:uid="{00000000-0005-0000-0000-0000201C0000}"/>
    <cellStyle name="Comma [0] 3 4 2 2 2" xfId="7841" xr:uid="{00000000-0005-0000-0000-0000A11E0000}"/>
    <cellStyle name="Comma [0] 3 4 2 3" xfId="7518" xr:uid="{00000000-0005-0000-0000-00005E1D0000}"/>
    <cellStyle name="Comma [0] 3 4 3" xfId="7034" xr:uid="{00000000-0005-0000-0000-00007A1B0000}"/>
    <cellStyle name="Comma [0] 3 4 3 2" xfId="7675" xr:uid="{00000000-0005-0000-0000-0000FB1D0000}"/>
    <cellStyle name="Comma [0] 3 4 4" xfId="7352" xr:uid="{00000000-0005-0000-0000-0000B81C0000}"/>
    <cellStyle name="Comma [0] 3 5" xfId="6900" xr:uid="{00000000-0005-0000-0000-0000F41A0000}"/>
    <cellStyle name="Comma [0] 3 5 2" xfId="7541" xr:uid="{00000000-0005-0000-0000-0000751D0000}"/>
    <cellStyle name="Comma [0] 3 6" xfId="7220" xr:uid="{00000000-0005-0000-0000-0000341C0000}"/>
    <cellStyle name="Comma [0] 4" xfId="82" xr:uid="{00000000-0005-0000-0000-000052000000}"/>
    <cellStyle name="Comma [0] 4 2" xfId="6729" xr:uid="{00000000-0005-0000-0000-0000491A0000}"/>
    <cellStyle name="Comma [0] 4 2 2" xfId="6895" xr:uid="{00000000-0005-0000-0000-0000EF1A0000}"/>
    <cellStyle name="Comma [0] 4 2 2 2" xfId="7218" xr:uid="{00000000-0005-0000-0000-0000321C0000}"/>
    <cellStyle name="Comma [0] 4 2 2 2 2" xfId="7859" xr:uid="{00000000-0005-0000-0000-0000B31E0000}"/>
    <cellStyle name="Comma [0] 4 2 2 3" xfId="7536" xr:uid="{00000000-0005-0000-0000-0000701D0000}"/>
    <cellStyle name="Comma [0] 4 2 3" xfId="7052" xr:uid="{00000000-0005-0000-0000-00008C1B0000}"/>
    <cellStyle name="Comma [0] 4 2 3 2" xfId="7693" xr:uid="{00000000-0005-0000-0000-00000D1E0000}"/>
    <cellStyle name="Comma [0] 4 2 4" xfId="7370" xr:uid="{00000000-0005-0000-0000-0000CA1C0000}"/>
    <cellStyle name="Comma [0] 4 3" xfId="6712" xr:uid="{00000000-0005-0000-0000-0000381A0000}"/>
    <cellStyle name="Comma [0] 4 3 2" xfId="6879" xr:uid="{00000000-0005-0000-0000-0000DF1A0000}"/>
    <cellStyle name="Comma [0] 4 3 2 2" xfId="7202" xr:uid="{00000000-0005-0000-0000-0000221C0000}"/>
    <cellStyle name="Comma [0] 4 3 2 2 2" xfId="7843" xr:uid="{00000000-0005-0000-0000-0000A31E0000}"/>
    <cellStyle name="Comma [0] 4 3 2 3" xfId="7520" xr:uid="{00000000-0005-0000-0000-0000601D0000}"/>
    <cellStyle name="Comma [0] 4 3 3" xfId="7036" xr:uid="{00000000-0005-0000-0000-00007C1B0000}"/>
    <cellStyle name="Comma [0] 4 3 3 2" xfId="7677" xr:uid="{00000000-0005-0000-0000-0000FD1D0000}"/>
    <cellStyle name="Comma [0] 4 3 4" xfId="7354" xr:uid="{00000000-0005-0000-0000-0000BA1C0000}"/>
    <cellStyle name="Comma [0] 4 4" xfId="6902" xr:uid="{00000000-0005-0000-0000-0000F61A0000}"/>
    <cellStyle name="Comma [0] 4 4 2" xfId="7543" xr:uid="{00000000-0005-0000-0000-0000771D0000}"/>
    <cellStyle name="Comma [0] 4 5" xfId="7222" xr:uid="{00000000-0005-0000-0000-0000361C0000}"/>
    <cellStyle name="Comma [0] 5" xfId="6872" xr:uid="{00000000-0005-0000-0000-0000D81A0000}"/>
    <cellStyle name="Comma [0] 5 2" xfId="7195" xr:uid="{00000000-0005-0000-0000-00001B1C0000}"/>
    <cellStyle name="Comma [0] 5 2 2" xfId="7836" xr:uid="{00000000-0005-0000-0000-00009C1E0000}"/>
    <cellStyle name="Comma [0] 5 3" xfId="7513" xr:uid="{00000000-0005-0000-0000-0000591D0000}"/>
    <cellStyle name="Comma [0] 6" xfId="7029" xr:uid="{00000000-0005-0000-0000-0000751B0000}"/>
    <cellStyle name="Comma [0] 6 2" xfId="7670" xr:uid="{00000000-0005-0000-0000-0000F61D0000}"/>
    <cellStyle name="Comma [0] 7" xfId="7347" xr:uid="{00000000-0005-0000-0000-0000B31C0000}"/>
    <cellStyle name="Comma [1]" xfId="1163" xr:uid="{00000000-0005-0000-0000-00008B040000}"/>
    <cellStyle name="Comma [1] 2" xfId="1164" xr:uid="{00000000-0005-0000-0000-00008C040000}"/>
    <cellStyle name="Comma [1] 2 2" xfId="1165" xr:uid="{00000000-0005-0000-0000-00008D040000}"/>
    <cellStyle name="Comma [1] 2 2 2" xfId="4741" xr:uid="{00000000-0005-0000-0000-000085120000}"/>
    <cellStyle name="Comma [1] 2 3" xfId="1166" xr:uid="{00000000-0005-0000-0000-00008E040000}"/>
    <cellStyle name="Comma [1] 2 3 2" xfId="4742" xr:uid="{00000000-0005-0000-0000-000086120000}"/>
    <cellStyle name="Comma [1] 2 4" xfId="1167" xr:uid="{00000000-0005-0000-0000-00008F040000}"/>
    <cellStyle name="Comma [1] 2 4 2" xfId="4743" xr:uid="{00000000-0005-0000-0000-000087120000}"/>
    <cellStyle name="Comma [1] 2 5" xfId="1168" xr:uid="{00000000-0005-0000-0000-000090040000}"/>
    <cellStyle name="Comma [1] 2 5 2" xfId="4744" xr:uid="{00000000-0005-0000-0000-000088120000}"/>
    <cellStyle name="Comma [1] 2 6" xfId="1169" xr:uid="{00000000-0005-0000-0000-000091040000}"/>
    <cellStyle name="Comma [1] 2 6 2" xfId="4745" xr:uid="{00000000-0005-0000-0000-000089120000}"/>
    <cellStyle name="Comma [1] 2 7" xfId="1170" xr:uid="{00000000-0005-0000-0000-000092040000}"/>
    <cellStyle name="Comma [1] 2 8" xfId="1171" xr:uid="{00000000-0005-0000-0000-000093040000}"/>
    <cellStyle name="Comma [1] 3" xfId="1172" xr:uid="{00000000-0005-0000-0000-000094040000}"/>
    <cellStyle name="Comma [1] 3 2" xfId="1173" xr:uid="{00000000-0005-0000-0000-000095040000}"/>
    <cellStyle name="Comma [1] 3 2 2" xfId="4746" xr:uid="{00000000-0005-0000-0000-00008A120000}"/>
    <cellStyle name="Comma [1] 3 3" xfId="1174" xr:uid="{00000000-0005-0000-0000-000096040000}"/>
    <cellStyle name="Comma [1] 3 3 2" xfId="4747" xr:uid="{00000000-0005-0000-0000-00008B120000}"/>
    <cellStyle name="Comma [1] 3 4" xfId="1175" xr:uid="{00000000-0005-0000-0000-000097040000}"/>
    <cellStyle name="Comma [1] 3 4 2" xfId="4748" xr:uid="{00000000-0005-0000-0000-00008C120000}"/>
    <cellStyle name="Comma [1] 3 5" xfId="1176" xr:uid="{00000000-0005-0000-0000-000098040000}"/>
    <cellStyle name="Comma [1] 3 5 2" xfId="4749" xr:uid="{00000000-0005-0000-0000-00008D120000}"/>
    <cellStyle name="Comma [1] 3 6" xfId="1177" xr:uid="{00000000-0005-0000-0000-000099040000}"/>
    <cellStyle name="Comma [1] 3 6 2" xfId="4750" xr:uid="{00000000-0005-0000-0000-00008E120000}"/>
    <cellStyle name="Comma [1] 3 7" xfId="1178" xr:uid="{00000000-0005-0000-0000-00009A040000}"/>
    <cellStyle name="Comma [1] 3 8" xfId="1179" xr:uid="{00000000-0005-0000-0000-00009B040000}"/>
    <cellStyle name="Comma [1] 4" xfId="1180" xr:uid="{00000000-0005-0000-0000-00009C040000}"/>
    <cellStyle name="Comma [1] 4 2" xfId="1181" xr:uid="{00000000-0005-0000-0000-00009D040000}"/>
    <cellStyle name="Comma [1] 4 2 2" xfId="4751" xr:uid="{00000000-0005-0000-0000-00008F120000}"/>
    <cellStyle name="Comma [1] 4 3" xfId="1182" xr:uid="{00000000-0005-0000-0000-00009E040000}"/>
    <cellStyle name="Comma [1] 4 3 2" xfId="4752" xr:uid="{00000000-0005-0000-0000-000090120000}"/>
    <cellStyle name="Comma [1] 4 4" xfId="1183" xr:uid="{00000000-0005-0000-0000-00009F040000}"/>
    <cellStyle name="Comma [1] 4 4 2" xfId="4753" xr:uid="{00000000-0005-0000-0000-000091120000}"/>
    <cellStyle name="Comma [1] 4 5" xfId="1184" xr:uid="{00000000-0005-0000-0000-0000A0040000}"/>
    <cellStyle name="Comma [1] 4 5 2" xfId="4754" xr:uid="{00000000-0005-0000-0000-000092120000}"/>
    <cellStyle name="Comma [1] 4 6" xfId="1185" xr:uid="{00000000-0005-0000-0000-0000A1040000}"/>
    <cellStyle name="Comma [1] 4 6 2" xfId="4755" xr:uid="{00000000-0005-0000-0000-000093120000}"/>
    <cellStyle name="Comma [1] 4 7" xfId="1186" xr:uid="{00000000-0005-0000-0000-0000A2040000}"/>
    <cellStyle name="Comma [1] 4 8" xfId="1187" xr:uid="{00000000-0005-0000-0000-0000A3040000}"/>
    <cellStyle name="Comma [1] 5" xfId="4756" xr:uid="{00000000-0005-0000-0000-000094120000}"/>
    <cellStyle name="Comma 10" xfId="6779" xr:uid="{00000000-0005-0000-0000-00007B1A0000}"/>
    <cellStyle name="Comma 10 2" xfId="7102" xr:uid="{00000000-0005-0000-0000-0000BE1B0000}"/>
    <cellStyle name="Comma 10 2 2" xfId="7743" xr:uid="{00000000-0005-0000-0000-00003F1E0000}"/>
    <cellStyle name="Comma 10 3" xfId="7420" xr:uid="{00000000-0005-0000-0000-0000FC1C0000}"/>
    <cellStyle name="Comma 11" xfId="6778" xr:uid="{00000000-0005-0000-0000-00007A1A0000}"/>
    <cellStyle name="Comma 11 2" xfId="7101" xr:uid="{00000000-0005-0000-0000-0000BD1B0000}"/>
    <cellStyle name="Comma 11 2 2" xfId="7742" xr:uid="{00000000-0005-0000-0000-00003E1E0000}"/>
    <cellStyle name="Comma 11 3" xfId="7419" xr:uid="{00000000-0005-0000-0000-0000FB1C0000}"/>
    <cellStyle name="Comma 12" xfId="6867" xr:uid="{00000000-0005-0000-0000-0000D31A0000}"/>
    <cellStyle name="Comma 12 2" xfId="7190" xr:uid="{00000000-0005-0000-0000-0000161C0000}"/>
    <cellStyle name="Comma 12 2 2" xfId="7831" xr:uid="{00000000-0005-0000-0000-0000971E0000}"/>
    <cellStyle name="Comma 12 3" xfId="7508" xr:uid="{00000000-0005-0000-0000-0000541D0000}"/>
    <cellStyle name="Comma 13" xfId="6737" xr:uid="{00000000-0005-0000-0000-0000511A0000}"/>
    <cellStyle name="Comma 13 2" xfId="7060" xr:uid="{00000000-0005-0000-0000-0000941B0000}"/>
    <cellStyle name="Comma 13 2 2" xfId="7701" xr:uid="{00000000-0005-0000-0000-0000151E0000}"/>
    <cellStyle name="Comma 13 3" xfId="7378" xr:uid="{00000000-0005-0000-0000-0000D21C0000}"/>
    <cellStyle name="Comma 14" xfId="6814" xr:uid="{00000000-0005-0000-0000-00009E1A0000}"/>
    <cellStyle name="Comma 14 2" xfId="7137" xr:uid="{00000000-0005-0000-0000-0000E11B0000}"/>
    <cellStyle name="Comma 14 2 2" xfId="7778" xr:uid="{00000000-0005-0000-0000-0000621E0000}"/>
    <cellStyle name="Comma 14 3" xfId="7455" xr:uid="{00000000-0005-0000-0000-00001F1D0000}"/>
    <cellStyle name="Comma 15" xfId="6868" xr:uid="{00000000-0005-0000-0000-0000D41A0000}"/>
    <cellStyle name="Comma 15 2" xfId="7191" xr:uid="{00000000-0005-0000-0000-0000171C0000}"/>
    <cellStyle name="Comma 15 2 2" xfId="7832" xr:uid="{00000000-0005-0000-0000-0000981E0000}"/>
    <cellStyle name="Comma 15 3" xfId="7509" xr:uid="{00000000-0005-0000-0000-0000551D0000}"/>
    <cellStyle name="Comma 16" xfId="6736" xr:uid="{00000000-0005-0000-0000-0000501A0000}"/>
    <cellStyle name="Comma 16 2" xfId="7059" xr:uid="{00000000-0005-0000-0000-0000931B0000}"/>
    <cellStyle name="Comma 16 2 2" xfId="7700" xr:uid="{00000000-0005-0000-0000-0000141E0000}"/>
    <cellStyle name="Comma 16 3" xfId="7377" xr:uid="{00000000-0005-0000-0000-0000D11C0000}"/>
    <cellStyle name="Comma 17" xfId="6777" xr:uid="{00000000-0005-0000-0000-0000791A0000}"/>
    <cellStyle name="Comma 17 2" xfId="7100" xr:uid="{00000000-0005-0000-0000-0000BC1B0000}"/>
    <cellStyle name="Comma 17 2 2" xfId="7741" xr:uid="{00000000-0005-0000-0000-00003D1E0000}"/>
    <cellStyle name="Comma 17 3" xfId="7418" xr:uid="{00000000-0005-0000-0000-0000FA1C0000}"/>
    <cellStyle name="Comma 18" xfId="6770" xr:uid="{00000000-0005-0000-0000-0000721A0000}"/>
    <cellStyle name="Comma 18 2" xfId="7093" xr:uid="{00000000-0005-0000-0000-0000B51B0000}"/>
    <cellStyle name="Comma 18 2 2" xfId="7734" xr:uid="{00000000-0005-0000-0000-0000361E0000}"/>
    <cellStyle name="Comma 18 3" xfId="7411" xr:uid="{00000000-0005-0000-0000-0000F31C0000}"/>
    <cellStyle name="Comma 19" xfId="6775" xr:uid="{00000000-0005-0000-0000-0000771A0000}"/>
    <cellStyle name="Comma 19 2" xfId="7098" xr:uid="{00000000-0005-0000-0000-0000BA1B0000}"/>
    <cellStyle name="Comma 19 2 2" xfId="7739" xr:uid="{00000000-0005-0000-0000-00003B1E0000}"/>
    <cellStyle name="Comma 19 3" xfId="7416" xr:uid="{00000000-0005-0000-0000-0000F81C0000}"/>
    <cellStyle name="Comma 2" xfId="69" xr:uid="{00000000-0005-0000-0000-000045000000}"/>
    <cellStyle name="Comma 2 10" xfId="1188" xr:uid="{00000000-0005-0000-0000-0000A4040000}"/>
    <cellStyle name="Comma 2 2" xfId="1189" xr:uid="{00000000-0005-0000-0000-0000A5040000}"/>
    <cellStyle name="Comma 2 3" xfId="1190" xr:uid="{00000000-0005-0000-0000-0000A6040000}"/>
    <cellStyle name="Comma 2 4" xfId="1191" xr:uid="{00000000-0005-0000-0000-0000A7040000}"/>
    <cellStyle name="Comma 2 5" xfId="1192" xr:uid="{00000000-0005-0000-0000-0000A8040000}"/>
    <cellStyle name="Comma 2 6" xfId="1193" xr:uid="{00000000-0005-0000-0000-0000A9040000}"/>
    <cellStyle name="Comma 2 7" xfId="1194" xr:uid="{00000000-0005-0000-0000-0000AA040000}"/>
    <cellStyle name="Comma 2 8" xfId="1195" xr:uid="{00000000-0005-0000-0000-0000AB040000}"/>
    <cellStyle name="Comma 2 9" xfId="6709" xr:uid="{00000000-0005-0000-0000-0000351A0000}"/>
    <cellStyle name="Comma 2_ActiFijos" xfId="1196" xr:uid="{00000000-0005-0000-0000-0000AC040000}"/>
    <cellStyle name="Comma 20" xfId="6771" xr:uid="{00000000-0005-0000-0000-0000731A0000}"/>
    <cellStyle name="Comma 20 2" xfId="7094" xr:uid="{00000000-0005-0000-0000-0000B61B0000}"/>
    <cellStyle name="Comma 20 2 2" xfId="7735" xr:uid="{00000000-0005-0000-0000-0000371E0000}"/>
    <cellStyle name="Comma 20 3" xfId="7412" xr:uid="{00000000-0005-0000-0000-0000F41C0000}"/>
    <cellStyle name="Comma 21" xfId="6774" xr:uid="{00000000-0005-0000-0000-0000761A0000}"/>
    <cellStyle name="Comma 21 2" xfId="7097" xr:uid="{00000000-0005-0000-0000-0000B91B0000}"/>
    <cellStyle name="Comma 21 2 2" xfId="7738" xr:uid="{00000000-0005-0000-0000-00003A1E0000}"/>
    <cellStyle name="Comma 21 3" xfId="7415" xr:uid="{00000000-0005-0000-0000-0000F71C0000}"/>
    <cellStyle name="Comma 22" xfId="6772" xr:uid="{00000000-0005-0000-0000-0000741A0000}"/>
    <cellStyle name="Comma 22 2" xfId="7095" xr:uid="{00000000-0005-0000-0000-0000B71B0000}"/>
    <cellStyle name="Comma 22 2 2" xfId="7736" xr:uid="{00000000-0005-0000-0000-0000381E0000}"/>
    <cellStyle name="Comma 22 3" xfId="7413" xr:uid="{00000000-0005-0000-0000-0000F51C0000}"/>
    <cellStyle name="Comma 23" xfId="6773" xr:uid="{00000000-0005-0000-0000-0000751A0000}"/>
    <cellStyle name="Comma 23 2" xfId="7096" xr:uid="{00000000-0005-0000-0000-0000B81B0000}"/>
    <cellStyle name="Comma 23 2 2" xfId="7737" xr:uid="{00000000-0005-0000-0000-0000391E0000}"/>
    <cellStyle name="Comma 23 3" xfId="7414" xr:uid="{00000000-0005-0000-0000-0000F61C0000}"/>
    <cellStyle name="Comma 24" xfId="6866" xr:uid="{00000000-0005-0000-0000-0000D21A0000}"/>
    <cellStyle name="Comma 24 2" xfId="7189" xr:uid="{00000000-0005-0000-0000-0000151C0000}"/>
    <cellStyle name="Comma 24 2 2" xfId="7830" xr:uid="{00000000-0005-0000-0000-0000961E0000}"/>
    <cellStyle name="Comma 24 3" xfId="7507" xr:uid="{00000000-0005-0000-0000-0000531D0000}"/>
    <cellStyle name="Comma 25" xfId="6738" xr:uid="{00000000-0005-0000-0000-0000521A0000}"/>
    <cellStyle name="Comma 25 2" xfId="7061" xr:uid="{00000000-0005-0000-0000-0000951B0000}"/>
    <cellStyle name="Comma 25 2 2" xfId="7702" xr:uid="{00000000-0005-0000-0000-0000161E0000}"/>
    <cellStyle name="Comma 25 3" xfId="7379" xr:uid="{00000000-0005-0000-0000-0000D31C0000}"/>
    <cellStyle name="Comma 26" xfId="6869" xr:uid="{00000000-0005-0000-0000-0000D51A0000}"/>
    <cellStyle name="Comma 26 2" xfId="7192" xr:uid="{00000000-0005-0000-0000-0000181C0000}"/>
    <cellStyle name="Comma 26 2 2" xfId="7833" xr:uid="{00000000-0005-0000-0000-0000991E0000}"/>
    <cellStyle name="Comma 26 3" xfId="7510" xr:uid="{00000000-0005-0000-0000-0000561D0000}"/>
    <cellStyle name="Comma 27" xfId="6735" xr:uid="{00000000-0005-0000-0000-00004F1A0000}"/>
    <cellStyle name="Comma 27 2" xfId="7058" xr:uid="{00000000-0005-0000-0000-0000921B0000}"/>
    <cellStyle name="Comma 27 2 2" xfId="7699" xr:uid="{00000000-0005-0000-0000-0000131E0000}"/>
    <cellStyle name="Comma 27 3" xfId="7376" xr:uid="{00000000-0005-0000-0000-0000D01C0000}"/>
    <cellStyle name="Comma 28" xfId="6815" xr:uid="{00000000-0005-0000-0000-00009F1A0000}"/>
    <cellStyle name="Comma 28 2" xfId="7138" xr:uid="{00000000-0005-0000-0000-0000E21B0000}"/>
    <cellStyle name="Comma 28 2 2" xfId="7779" xr:uid="{00000000-0005-0000-0000-0000631E0000}"/>
    <cellStyle name="Comma 28 3" xfId="7456" xr:uid="{00000000-0005-0000-0000-0000201D0000}"/>
    <cellStyle name="Comma 29" xfId="6776" xr:uid="{00000000-0005-0000-0000-0000781A0000}"/>
    <cellStyle name="Comma 29 2" xfId="7099" xr:uid="{00000000-0005-0000-0000-0000BB1B0000}"/>
    <cellStyle name="Comma 29 2 2" xfId="7740" xr:uid="{00000000-0005-0000-0000-00003C1E0000}"/>
    <cellStyle name="Comma 29 3" xfId="7417" xr:uid="{00000000-0005-0000-0000-0000F91C0000}"/>
    <cellStyle name="Comma 3" xfId="1197" xr:uid="{00000000-0005-0000-0000-0000AD040000}"/>
    <cellStyle name="Comma 3 2" xfId="1198" xr:uid="{00000000-0005-0000-0000-0000AE040000}"/>
    <cellStyle name="Comma 3 3" xfId="1199" xr:uid="{00000000-0005-0000-0000-0000AF040000}"/>
    <cellStyle name="Comma 3 4" xfId="1200" xr:uid="{00000000-0005-0000-0000-0000B0040000}"/>
    <cellStyle name="Comma 3 5" xfId="1201" xr:uid="{00000000-0005-0000-0000-0000B1040000}"/>
    <cellStyle name="Comma 3 6" xfId="1202" xr:uid="{00000000-0005-0000-0000-0000B2040000}"/>
    <cellStyle name="Comma 3 7" xfId="1203" xr:uid="{00000000-0005-0000-0000-0000B3040000}"/>
    <cellStyle name="Comma 3 8" xfId="1204" xr:uid="{00000000-0005-0000-0000-0000B4040000}"/>
    <cellStyle name="Comma 3_ActiFijos" xfId="1205" xr:uid="{00000000-0005-0000-0000-0000B5040000}"/>
    <cellStyle name="Comma 30" xfId="6939" xr:uid="{00000000-0005-0000-0000-00001B1B0000}"/>
    <cellStyle name="Comma 30 2" xfId="7580" xr:uid="{00000000-0005-0000-0000-00009C1D0000}"/>
    <cellStyle name="Comma 31" xfId="6909" xr:uid="{00000000-0005-0000-0000-0000FD1A0000}"/>
    <cellStyle name="Comma 31 2" xfId="7550" xr:uid="{00000000-0005-0000-0000-00007E1D0000}"/>
    <cellStyle name="Comma 32" xfId="7026" xr:uid="{00000000-0005-0000-0000-0000721B0000}"/>
    <cellStyle name="Comma 32 2" xfId="7667" xr:uid="{00000000-0005-0000-0000-0000F31D0000}"/>
    <cellStyle name="Comma 33" xfId="7025" xr:uid="{00000000-0005-0000-0000-0000711B0000}"/>
    <cellStyle name="Comma 33 2" xfId="7666" xr:uid="{00000000-0005-0000-0000-0000F21D0000}"/>
    <cellStyle name="Comma 34" xfId="6973" xr:uid="{00000000-0005-0000-0000-00003D1B0000}"/>
    <cellStyle name="Comma 34 2" xfId="7614" xr:uid="{00000000-0005-0000-0000-0000BE1D0000}"/>
    <cellStyle name="Comma 35" xfId="6974" xr:uid="{00000000-0005-0000-0000-00003E1B0000}"/>
    <cellStyle name="Comma 35 2" xfId="7615" xr:uid="{00000000-0005-0000-0000-0000BF1D0000}"/>
    <cellStyle name="Comma 36" xfId="6910" xr:uid="{00000000-0005-0000-0000-0000FE1A0000}"/>
    <cellStyle name="Comma 36 2" xfId="7551" xr:uid="{00000000-0005-0000-0000-00007F1D0000}"/>
    <cellStyle name="Comma 37" xfId="7259" xr:uid="{00000000-0005-0000-0000-00005B1C0000}"/>
    <cellStyle name="Comma 38" xfId="7230" xr:uid="{00000000-0005-0000-0000-00003E1C0000}"/>
    <cellStyle name="Comma 4" xfId="1206" xr:uid="{00000000-0005-0000-0000-0000B6040000}"/>
    <cellStyle name="Comma 4 2" xfId="1207" xr:uid="{00000000-0005-0000-0000-0000B7040000}"/>
    <cellStyle name="Comma 4 3" xfId="1208" xr:uid="{00000000-0005-0000-0000-0000B8040000}"/>
    <cellStyle name="Comma 4 4" xfId="1209" xr:uid="{00000000-0005-0000-0000-0000B9040000}"/>
    <cellStyle name="Comma 4 5" xfId="1210" xr:uid="{00000000-0005-0000-0000-0000BA040000}"/>
    <cellStyle name="Comma 4 6" xfId="1211" xr:uid="{00000000-0005-0000-0000-0000BB040000}"/>
    <cellStyle name="Comma 4 7" xfId="1212" xr:uid="{00000000-0005-0000-0000-0000BC040000}"/>
    <cellStyle name="Comma 4 8" xfId="1213" xr:uid="{00000000-0005-0000-0000-0000BD040000}"/>
    <cellStyle name="Comma 4_ActiFijos" xfId="1214" xr:uid="{00000000-0005-0000-0000-0000BE040000}"/>
    <cellStyle name="Comma 5" xfId="6703" xr:uid="{00000000-0005-0000-0000-00002F1A0000}"/>
    <cellStyle name="Comma 5 2" xfId="6871" xr:uid="{00000000-0005-0000-0000-0000D71A0000}"/>
    <cellStyle name="Comma 5 2 2" xfId="7194" xr:uid="{00000000-0005-0000-0000-00001A1C0000}"/>
    <cellStyle name="Comma 5 2 2 2" xfId="7835" xr:uid="{00000000-0005-0000-0000-00009B1E0000}"/>
    <cellStyle name="Comma 5 2 3" xfId="7512" xr:uid="{00000000-0005-0000-0000-0000581D0000}"/>
    <cellStyle name="Comma 5 3" xfId="7028" xr:uid="{00000000-0005-0000-0000-0000741B0000}"/>
    <cellStyle name="Comma 5 3 2" xfId="7669" xr:uid="{00000000-0005-0000-0000-0000F51D0000}"/>
    <cellStyle name="Comma 5 4" xfId="7346" xr:uid="{00000000-0005-0000-0000-0000B21C0000}"/>
    <cellStyle name="Comma 6" xfId="6780" xr:uid="{00000000-0005-0000-0000-00007C1A0000}"/>
    <cellStyle name="Comma 6 2" xfId="7103" xr:uid="{00000000-0005-0000-0000-0000BF1B0000}"/>
    <cellStyle name="Comma 6 2 2" xfId="7744" xr:uid="{00000000-0005-0000-0000-0000401E0000}"/>
    <cellStyle name="Comma 6 3" xfId="7421" xr:uid="{00000000-0005-0000-0000-0000FD1C0000}"/>
    <cellStyle name="Comma 7" xfId="6740" xr:uid="{00000000-0005-0000-0000-0000541A0000}"/>
    <cellStyle name="Comma 7 2" xfId="7063" xr:uid="{00000000-0005-0000-0000-0000971B0000}"/>
    <cellStyle name="Comma 7 2 2" xfId="7704" xr:uid="{00000000-0005-0000-0000-0000181E0000}"/>
    <cellStyle name="Comma 7 3" xfId="7381" xr:uid="{00000000-0005-0000-0000-0000D51C0000}"/>
    <cellStyle name="Comma 8" xfId="6739" xr:uid="{00000000-0005-0000-0000-0000531A0000}"/>
    <cellStyle name="Comma 8 2" xfId="7062" xr:uid="{00000000-0005-0000-0000-0000961B0000}"/>
    <cellStyle name="Comma 8 2 2" xfId="7703" xr:uid="{00000000-0005-0000-0000-0000171E0000}"/>
    <cellStyle name="Comma 8 3" xfId="7380" xr:uid="{00000000-0005-0000-0000-0000D41C0000}"/>
    <cellStyle name="Comma 9" xfId="6741" xr:uid="{00000000-0005-0000-0000-0000551A0000}"/>
    <cellStyle name="Comma 9 2" xfId="7064" xr:uid="{00000000-0005-0000-0000-0000981B0000}"/>
    <cellStyle name="Comma 9 2 2" xfId="7705" xr:uid="{00000000-0005-0000-0000-0000191E0000}"/>
    <cellStyle name="Comma 9 3" xfId="7382" xr:uid="{00000000-0005-0000-0000-0000D61C0000}"/>
    <cellStyle name="Comma_12matrix" xfId="1215" xr:uid="{00000000-0005-0000-0000-0000BF040000}"/>
    <cellStyle name="Comma0" xfId="1216" xr:uid="{00000000-0005-0000-0000-0000C0040000}"/>
    <cellStyle name="Comma0 10" xfId="3385" xr:uid="{00000000-0005-0000-0000-0000390D0000}"/>
    <cellStyle name="Comma0 2" xfId="1217" xr:uid="{00000000-0005-0000-0000-0000C1040000}"/>
    <cellStyle name="Comma0 2 2" xfId="1218" xr:uid="{00000000-0005-0000-0000-0000C2040000}"/>
    <cellStyle name="Comma0 2 2 2" xfId="4757" xr:uid="{00000000-0005-0000-0000-000095120000}"/>
    <cellStyle name="Comma0 2 3" xfId="1219" xr:uid="{00000000-0005-0000-0000-0000C3040000}"/>
    <cellStyle name="Comma0 2 3 2" xfId="4758" xr:uid="{00000000-0005-0000-0000-000096120000}"/>
    <cellStyle name="Comma0 2 4" xfId="1220" xr:uid="{00000000-0005-0000-0000-0000C4040000}"/>
    <cellStyle name="Comma0 2 4 2" xfId="4759" xr:uid="{00000000-0005-0000-0000-000097120000}"/>
    <cellStyle name="Comma0 2 5" xfId="1221" xr:uid="{00000000-0005-0000-0000-0000C5040000}"/>
    <cellStyle name="Comma0 2 5 2" xfId="4760" xr:uid="{00000000-0005-0000-0000-000098120000}"/>
    <cellStyle name="Comma0 2 6" xfId="1222" xr:uid="{00000000-0005-0000-0000-0000C6040000}"/>
    <cellStyle name="Comma0 2 6 2" xfId="4761" xr:uid="{00000000-0005-0000-0000-000099120000}"/>
    <cellStyle name="Comma0 2 7" xfId="1223" xr:uid="{00000000-0005-0000-0000-0000C7040000}"/>
    <cellStyle name="Comma0 2 8" xfId="1224" xr:uid="{00000000-0005-0000-0000-0000C8040000}"/>
    <cellStyle name="Comma0 3" xfId="1225" xr:uid="{00000000-0005-0000-0000-0000C9040000}"/>
    <cellStyle name="Comma0 3 2" xfId="1226" xr:uid="{00000000-0005-0000-0000-0000CA040000}"/>
    <cellStyle name="Comma0 3 2 2" xfId="4762" xr:uid="{00000000-0005-0000-0000-00009A120000}"/>
    <cellStyle name="Comma0 3 3" xfId="1227" xr:uid="{00000000-0005-0000-0000-0000CB040000}"/>
    <cellStyle name="Comma0 3 3 2" xfId="4763" xr:uid="{00000000-0005-0000-0000-00009B120000}"/>
    <cellStyle name="Comma0 3 4" xfId="1228" xr:uid="{00000000-0005-0000-0000-0000CC040000}"/>
    <cellStyle name="Comma0 3 4 2" xfId="4764" xr:uid="{00000000-0005-0000-0000-00009C120000}"/>
    <cellStyle name="Comma0 3 5" xfId="1229" xr:uid="{00000000-0005-0000-0000-0000CD040000}"/>
    <cellStyle name="Comma0 3 5 2" xfId="4765" xr:uid="{00000000-0005-0000-0000-00009D120000}"/>
    <cellStyle name="Comma0 3 6" xfId="1230" xr:uid="{00000000-0005-0000-0000-0000CE040000}"/>
    <cellStyle name="Comma0 3 6 2" xfId="4766" xr:uid="{00000000-0005-0000-0000-00009E120000}"/>
    <cellStyle name="Comma0 3 7" xfId="1231" xr:uid="{00000000-0005-0000-0000-0000CF040000}"/>
    <cellStyle name="Comma0 3 8" xfId="1232" xr:uid="{00000000-0005-0000-0000-0000D0040000}"/>
    <cellStyle name="Comma0 4" xfId="1233" xr:uid="{00000000-0005-0000-0000-0000D1040000}"/>
    <cellStyle name="Comma0 4 2" xfId="1234" xr:uid="{00000000-0005-0000-0000-0000D2040000}"/>
    <cellStyle name="Comma0 4 2 2" xfId="4767" xr:uid="{00000000-0005-0000-0000-00009F120000}"/>
    <cellStyle name="Comma0 4 3" xfId="1235" xr:uid="{00000000-0005-0000-0000-0000D3040000}"/>
    <cellStyle name="Comma0 4 3 2" xfId="4768" xr:uid="{00000000-0005-0000-0000-0000A0120000}"/>
    <cellStyle name="Comma0 4 4" xfId="1236" xr:uid="{00000000-0005-0000-0000-0000D4040000}"/>
    <cellStyle name="Comma0 4 4 2" xfId="4769" xr:uid="{00000000-0005-0000-0000-0000A1120000}"/>
    <cellStyle name="Comma0 4 5" xfId="1237" xr:uid="{00000000-0005-0000-0000-0000D5040000}"/>
    <cellStyle name="Comma0 4 5 2" xfId="4770" xr:uid="{00000000-0005-0000-0000-0000A2120000}"/>
    <cellStyle name="Comma0 4 6" xfId="1238" xr:uid="{00000000-0005-0000-0000-0000D6040000}"/>
    <cellStyle name="Comma0 4 6 2" xfId="4771" xr:uid="{00000000-0005-0000-0000-0000A3120000}"/>
    <cellStyle name="Comma0 4 7" xfId="1239" xr:uid="{00000000-0005-0000-0000-0000D7040000}"/>
    <cellStyle name="Comma0 4 8" xfId="1240" xr:uid="{00000000-0005-0000-0000-0000D8040000}"/>
    <cellStyle name="Comma0 5" xfId="3386" xr:uid="{00000000-0005-0000-0000-00003A0D0000}"/>
    <cellStyle name="Comma0 6" xfId="3387" xr:uid="{00000000-0005-0000-0000-00003B0D0000}"/>
    <cellStyle name="Comma0 7" xfId="3388" xr:uid="{00000000-0005-0000-0000-00003C0D0000}"/>
    <cellStyle name="Comma0 8" xfId="3389" xr:uid="{00000000-0005-0000-0000-00003D0D0000}"/>
    <cellStyle name="Comma0 9" xfId="3390" xr:uid="{00000000-0005-0000-0000-00003E0D0000}"/>
    <cellStyle name="ContentsHyperlink" xfId="3732" xr:uid="{00000000-0005-0000-0000-0000940E0000}"/>
    <cellStyle name="Currency" xfId="2" xr:uid="{00000000-0005-0000-0000-000002000000}"/>
    <cellStyle name="Currency [0]" xfId="3" xr:uid="{00000000-0005-0000-0000-000003000000}"/>
    <cellStyle name="Currency [0] 2" xfId="3783" xr:uid="{00000000-0005-0000-0000-0000C70E0000}"/>
    <cellStyle name="Currency 2" xfId="1241" xr:uid="{00000000-0005-0000-0000-0000D9040000}"/>
    <cellStyle name="Currency 2 2" xfId="1242" xr:uid="{00000000-0005-0000-0000-0000DA040000}"/>
    <cellStyle name="Currency 2 3" xfId="1243" xr:uid="{00000000-0005-0000-0000-0000DB040000}"/>
    <cellStyle name="Currency 2 4" xfId="1244" xr:uid="{00000000-0005-0000-0000-0000DC040000}"/>
    <cellStyle name="Currency 2 5" xfId="1245" xr:uid="{00000000-0005-0000-0000-0000DD040000}"/>
    <cellStyle name="Currency 2 6" xfId="1246" xr:uid="{00000000-0005-0000-0000-0000DE040000}"/>
    <cellStyle name="Currency 2 7" xfId="1247" xr:uid="{00000000-0005-0000-0000-0000DF040000}"/>
    <cellStyle name="Currency 2 8" xfId="1248" xr:uid="{00000000-0005-0000-0000-0000E0040000}"/>
    <cellStyle name="Currency 2_ActiFijos" xfId="1249" xr:uid="{00000000-0005-0000-0000-0000E1040000}"/>
    <cellStyle name="Currency 3" xfId="1250" xr:uid="{00000000-0005-0000-0000-0000E2040000}"/>
    <cellStyle name="Currency 3 2" xfId="1251" xr:uid="{00000000-0005-0000-0000-0000E3040000}"/>
    <cellStyle name="Currency 3 3" xfId="1252" xr:uid="{00000000-0005-0000-0000-0000E4040000}"/>
    <cellStyle name="Currency 3 4" xfId="1253" xr:uid="{00000000-0005-0000-0000-0000E5040000}"/>
    <cellStyle name="Currency 3 5" xfId="1254" xr:uid="{00000000-0005-0000-0000-0000E6040000}"/>
    <cellStyle name="Currency 3 6" xfId="1255" xr:uid="{00000000-0005-0000-0000-0000E7040000}"/>
    <cellStyle name="Currency 3 7" xfId="1256" xr:uid="{00000000-0005-0000-0000-0000E8040000}"/>
    <cellStyle name="Currency 3 8" xfId="1257" xr:uid="{00000000-0005-0000-0000-0000E9040000}"/>
    <cellStyle name="Currency 3_ActiFijos" xfId="1258" xr:uid="{00000000-0005-0000-0000-0000EA040000}"/>
    <cellStyle name="Currency 4" xfId="1259" xr:uid="{00000000-0005-0000-0000-0000EB040000}"/>
    <cellStyle name="Currency 4 2" xfId="1260" xr:uid="{00000000-0005-0000-0000-0000EC040000}"/>
    <cellStyle name="Currency 4 3" xfId="1261" xr:uid="{00000000-0005-0000-0000-0000ED040000}"/>
    <cellStyle name="Currency 4 4" xfId="1262" xr:uid="{00000000-0005-0000-0000-0000EE040000}"/>
    <cellStyle name="Currency 4 5" xfId="1263" xr:uid="{00000000-0005-0000-0000-0000EF040000}"/>
    <cellStyle name="Currency 4 6" xfId="1264" xr:uid="{00000000-0005-0000-0000-0000F0040000}"/>
    <cellStyle name="Currency 4 7" xfId="1265" xr:uid="{00000000-0005-0000-0000-0000F1040000}"/>
    <cellStyle name="Currency 4 8" xfId="1266" xr:uid="{00000000-0005-0000-0000-0000F2040000}"/>
    <cellStyle name="Currency 4_ActiFijos" xfId="1267" xr:uid="{00000000-0005-0000-0000-0000F3040000}"/>
    <cellStyle name="Currency_12matrix" xfId="1268" xr:uid="{00000000-0005-0000-0000-0000F4040000}"/>
    <cellStyle name="Currency0" xfId="1269" xr:uid="{00000000-0005-0000-0000-0000F5040000}"/>
    <cellStyle name="Currency0 10" xfId="1270" xr:uid="{00000000-0005-0000-0000-0000F6040000}"/>
    <cellStyle name="Currency0 10 2" xfId="4772" xr:uid="{00000000-0005-0000-0000-0000A4120000}"/>
    <cellStyle name="Currency0 11" xfId="1271" xr:uid="{00000000-0005-0000-0000-0000F7040000}"/>
    <cellStyle name="Currency0 11 2" xfId="4773" xr:uid="{00000000-0005-0000-0000-0000A5120000}"/>
    <cellStyle name="Currency0 12" xfId="1272" xr:uid="{00000000-0005-0000-0000-0000F8040000}"/>
    <cellStyle name="Currency0 13" xfId="1273" xr:uid="{00000000-0005-0000-0000-0000F9040000}"/>
    <cellStyle name="Currency0 2" xfId="1274" xr:uid="{00000000-0005-0000-0000-0000FA040000}"/>
    <cellStyle name="Currency0 2 2" xfId="1275" xr:uid="{00000000-0005-0000-0000-0000FB040000}"/>
    <cellStyle name="Currency0 2 2 2" xfId="4774" xr:uid="{00000000-0005-0000-0000-0000A6120000}"/>
    <cellStyle name="Currency0 2 3" xfId="1276" xr:uid="{00000000-0005-0000-0000-0000FC040000}"/>
    <cellStyle name="Currency0 2 3 2" xfId="4775" xr:uid="{00000000-0005-0000-0000-0000A7120000}"/>
    <cellStyle name="Currency0 2 4" xfId="1277" xr:uid="{00000000-0005-0000-0000-0000FD040000}"/>
    <cellStyle name="Currency0 2 4 2" xfId="4776" xr:uid="{00000000-0005-0000-0000-0000A8120000}"/>
    <cellStyle name="Currency0 2 5" xfId="1278" xr:uid="{00000000-0005-0000-0000-0000FE040000}"/>
    <cellStyle name="Currency0 2 5 2" xfId="4777" xr:uid="{00000000-0005-0000-0000-0000A9120000}"/>
    <cellStyle name="Currency0 2 6" xfId="1279" xr:uid="{00000000-0005-0000-0000-0000FF040000}"/>
    <cellStyle name="Currency0 2 6 2" xfId="4778" xr:uid="{00000000-0005-0000-0000-0000AA120000}"/>
    <cellStyle name="Currency0 2 7" xfId="1280" xr:uid="{00000000-0005-0000-0000-000000050000}"/>
    <cellStyle name="Currency0 2 8" xfId="1281" xr:uid="{00000000-0005-0000-0000-000001050000}"/>
    <cellStyle name="Currency0 3" xfId="1282" xr:uid="{00000000-0005-0000-0000-000002050000}"/>
    <cellStyle name="Currency0 3 2" xfId="1283" xr:uid="{00000000-0005-0000-0000-000003050000}"/>
    <cellStyle name="Currency0 3 2 2" xfId="4779" xr:uid="{00000000-0005-0000-0000-0000AB120000}"/>
    <cellStyle name="Currency0 3 3" xfId="1284" xr:uid="{00000000-0005-0000-0000-000004050000}"/>
    <cellStyle name="Currency0 3 3 2" xfId="4780" xr:uid="{00000000-0005-0000-0000-0000AC120000}"/>
    <cellStyle name="Currency0 3 4" xfId="1285" xr:uid="{00000000-0005-0000-0000-000005050000}"/>
    <cellStyle name="Currency0 3 4 2" xfId="4781" xr:uid="{00000000-0005-0000-0000-0000AD120000}"/>
    <cellStyle name="Currency0 3 5" xfId="1286" xr:uid="{00000000-0005-0000-0000-000006050000}"/>
    <cellStyle name="Currency0 3 5 2" xfId="4782" xr:uid="{00000000-0005-0000-0000-0000AE120000}"/>
    <cellStyle name="Currency0 3 6" xfId="1287" xr:uid="{00000000-0005-0000-0000-000007050000}"/>
    <cellStyle name="Currency0 3 6 2" xfId="4783" xr:uid="{00000000-0005-0000-0000-0000AF120000}"/>
    <cellStyle name="Currency0 3 7" xfId="1288" xr:uid="{00000000-0005-0000-0000-000008050000}"/>
    <cellStyle name="Currency0 3 8" xfId="1289" xr:uid="{00000000-0005-0000-0000-000009050000}"/>
    <cellStyle name="Currency0 4" xfId="1290" xr:uid="{00000000-0005-0000-0000-00000A050000}"/>
    <cellStyle name="Currency0 4 2" xfId="1291" xr:uid="{00000000-0005-0000-0000-00000B050000}"/>
    <cellStyle name="Currency0 4 2 2" xfId="4784" xr:uid="{00000000-0005-0000-0000-0000B0120000}"/>
    <cellStyle name="Currency0 4 3" xfId="1292" xr:uid="{00000000-0005-0000-0000-00000C050000}"/>
    <cellStyle name="Currency0 4 3 2" xfId="4785" xr:uid="{00000000-0005-0000-0000-0000B1120000}"/>
    <cellStyle name="Currency0 4 4" xfId="1293" xr:uid="{00000000-0005-0000-0000-00000D050000}"/>
    <cellStyle name="Currency0 4 4 2" xfId="4786" xr:uid="{00000000-0005-0000-0000-0000B2120000}"/>
    <cellStyle name="Currency0 4 5" xfId="1294" xr:uid="{00000000-0005-0000-0000-00000E050000}"/>
    <cellStyle name="Currency0 4 5 2" xfId="4787" xr:uid="{00000000-0005-0000-0000-0000B3120000}"/>
    <cellStyle name="Currency0 4 6" xfId="1295" xr:uid="{00000000-0005-0000-0000-00000F050000}"/>
    <cellStyle name="Currency0 4 6 2" xfId="4788" xr:uid="{00000000-0005-0000-0000-0000B4120000}"/>
    <cellStyle name="Currency0 4 7" xfId="1296" xr:uid="{00000000-0005-0000-0000-000010050000}"/>
    <cellStyle name="Currency0 4 8" xfId="1297" xr:uid="{00000000-0005-0000-0000-000011050000}"/>
    <cellStyle name="Currency0 5" xfId="1298" xr:uid="{00000000-0005-0000-0000-000012050000}"/>
    <cellStyle name="Currency0 5 2" xfId="4789" xr:uid="{00000000-0005-0000-0000-0000B5120000}"/>
    <cellStyle name="Currency0 6" xfId="1299" xr:uid="{00000000-0005-0000-0000-000013050000}"/>
    <cellStyle name="Currency0 6 2" xfId="4790" xr:uid="{00000000-0005-0000-0000-0000B6120000}"/>
    <cellStyle name="Currency0 7" xfId="1300" xr:uid="{00000000-0005-0000-0000-000014050000}"/>
    <cellStyle name="Currency0 7 2" xfId="4791" xr:uid="{00000000-0005-0000-0000-0000B7120000}"/>
    <cellStyle name="Currency0 8" xfId="1301" xr:uid="{00000000-0005-0000-0000-000015050000}"/>
    <cellStyle name="Currency0 8 2" xfId="4792" xr:uid="{00000000-0005-0000-0000-0000B8120000}"/>
    <cellStyle name="Currency0 9" xfId="1302" xr:uid="{00000000-0005-0000-0000-000016050000}"/>
    <cellStyle name="Currency0 9 2" xfId="4793" xr:uid="{00000000-0005-0000-0000-0000B9120000}"/>
    <cellStyle name="Currency0_Cuadros Excel  kilometros 2008" xfId="1303" xr:uid="{00000000-0005-0000-0000-000017050000}"/>
    <cellStyle name="Date" xfId="1304" xr:uid="{00000000-0005-0000-0000-000018050000}"/>
    <cellStyle name="Date 10" xfId="1305" xr:uid="{00000000-0005-0000-0000-000019050000}"/>
    <cellStyle name="Date 10 2" xfId="4794" xr:uid="{00000000-0005-0000-0000-0000BA120000}"/>
    <cellStyle name="Date 11" xfId="1306" xr:uid="{00000000-0005-0000-0000-00001A050000}"/>
    <cellStyle name="Date 11 2" xfId="4795" xr:uid="{00000000-0005-0000-0000-0000BB120000}"/>
    <cellStyle name="Date 12" xfId="1307" xr:uid="{00000000-0005-0000-0000-00001B050000}"/>
    <cellStyle name="Date 13" xfId="1308" xr:uid="{00000000-0005-0000-0000-00001C050000}"/>
    <cellStyle name="Date 2" xfId="1309" xr:uid="{00000000-0005-0000-0000-00001D050000}"/>
    <cellStyle name="Date 2 2" xfId="1310" xr:uid="{00000000-0005-0000-0000-00001E050000}"/>
    <cellStyle name="Date 2 2 2" xfId="4796" xr:uid="{00000000-0005-0000-0000-0000BC120000}"/>
    <cellStyle name="Date 2 3" xfId="1311" xr:uid="{00000000-0005-0000-0000-00001F050000}"/>
    <cellStyle name="Date 2 3 2" xfId="4797" xr:uid="{00000000-0005-0000-0000-0000BD120000}"/>
    <cellStyle name="Date 2 4" xfId="1312" xr:uid="{00000000-0005-0000-0000-000020050000}"/>
    <cellStyle name="Date 2 4 2" xfId="4798" xr:uid="{00000000-0005-0000-0000-0000BE120000}"/>
    <cellStyle name="Date 2 5" xfId="1313" xr:uid="{00000000-0005-0000-0000-000021050000}"/>
    <cellStyle name="Date 2 5 2" xfId="4799" xr:uid="{00000000-0005-0000-0000-0000BF120000}"/>
    <cellStyle name="Date 2 6" xfId="1314" xr:uid="{00000000-0005-0000-0000-000022050000}"/>
    <cellStyle name="Date 2 6 2" xfId="4800" xr:uid="{00000000-0005-0000-0000-0000C0120000}"/>
    <cellStyle name="Date 2 7" xfId="1315" xr:uid="{00000000-0005-0000-0000-000023050000}"/>
    <cellStyle name="Date 2 8" xfId="1316" xr:uid="{00000000-0005-0000-0000-000024050000}"/>
    <cellStyle name="Date 3" xfId="1317" xr:uid="{00000000-0005-0000-0000-000025050000}"/>
    <cellStyle name="Date 3 2" xfId="1318" xr:uid="{00000000-0005-0000-0000-000026050000}"/>
    <cellStyle name="Date 3 2 2" xfId="4801" xr:uid="{00000000-0005-0000-0000-0000C1120000}"/>
    <cellStyle name="Date 3 3" xfId="1319" xr:uid="{00000000-0005-0000-0000-000027050000}"/>
    <cellStyle name="Date 3 3 2" xfId="4802" xr:uid="{00000000-0005-0000-0000-0000C2120000}"/>
    <cellStyle name="Date 3 4" xfId="1320" xr:uid="{00000000-0005-0000-0000-000028050000}"/>
    <cellStyle name="Date 3 4 2" xfId="4803" xr:uid="{00000000-0005-0000-0000-0000C3120000}"/>
    <cellStyle name="Date 3 5" xfId="1321" xr:uid="{00000000-0005-0000-0000-000029050000}"/>
    <cellStyle name="Date 3 5 2" xfId="4804" xr:uid="{00000000-0005-0000-0000-0000C4120000}"/>
    <cellStyle name="Date 3 6" xfId="1322" xr:uid="{00000000-0005-0000-0000-00002A050000}"/>
    <cellStyle name="Date 3 6 2" xfId="4805" xr:uid="{00000000-0005-0000-0000-0000C5120000}"/>
    <cellStyle name="Date 3 7" xfId="1323" xr:uid="{00000000-0005-0000-0000-00002B050000}"/>
    <cellStyle name="Date 3 8" xfId="1324" xr:uid="{00000000-0005-0000-0000-00002C050000}"/>
    <cellStyle name="Date 4" xfId="1325" xr:uid="{00000000-0005-0000-0000-00002D050000}"/>
    <cellStyle name="Date 4 2" xfId="1326" xr:uid="{00000000-0005-0000-0000-00002E050000}"/>
    <cellStyle name="Date 4 2 2" xfId="4806" xr:uid="{00000000-0005-0000-0000-0000C6120000}"/>
    <cellStyle name="Date 4 3" xfId="1327" xr:uid="{00000000-0005-0000-0000-00002F050000}"/>
    <cellStyle name="Date 4 3 2" xfId="4807" xr:uid="{00000000-0005-0000-0000-0000C7120000}"/>
    <cellStyle name="Date 4 4" xfId="1328" xr:uid="{00000000-0005-0000-0000-000030050000}"/>
    <cellStyle name="Date 4 4 2" xfId="4808" xr:uid="{00000000-0005-0000-0000-0000C8120000}"/>
    <cellStyle name="Date 4 5" xfId="1329" xr:uid="{00000000-0005-0000-0000-000031050000}"/>
    <cellStyle name="Date 4 5 2" xfId="4809" xr:uid="{00000000-0005-0000-0000-0000C9120000}"/>
    <cellStyle name="Date 4 6" xfId="1330" xr:uid="{00000000-0005-0000-0000-000032050000}"/>
    <cellStyle name="Date 4 6 2" xfId="4810" xr:uid="{00000000-0005-0000-0000-0000CA120000}"/>
    <cellStyle name="Date 4 7" xfId="1331" xr:uid="{00000000-0005-0000-0000-000033050000}"/>
    <cellStyle name="Date 4 8" xfId="1332" xr:uid="{00000000-0005-0000-0000-000034050000}"/>
    <cellStyle name="Date 5" xfId="1333" xr:uid="{00000000-0005-0000-0000-000035050000}"/>
    <cellStyle name="Date 5 2" xfId="4811" xr:uid="{00000000-0005-0000-0000-0000CB120000}"/>
    <cellStyle name="Date 6" xfId="1334" xr:uid="{00000000-0005-0000-0000-000036050000}"/>
    <cellStyle name="Date 6 2" xfId="4812" xr:uid="{00000000-0005-0000-0000-0000CC120000}"/>
    <cellStyle name="Date 7" xfId="1335" xr:uid="{00000000-0005-0000-0000-000037050000}"/>
    <cellStyle name="Date 7 2" xfId="4813" xr:uid="{00000000-0005-0000-0000-0000CD120000}"/>
    <cellStyle name="Date 8" xfId="1336" xr:uid="{00000000-0005-0000-0000-000038050000}"/>
    <cellStyle name="Date 8 2" xfId="4814" xr:uid="{00000000-0005-0000-0000-0000CE120000}"/>
    <cellStyle name="Date 9" xfId="1337" xr:uid="{00000000-0005-0000-0000-000039050000}"/>
    <cellStyle name="Date 9 2" xfId="4815" xr:uid="{00000000-0005-0000-0000-0000CF120000}"/>
    <cellStyle name="Dia" xfId="3391" xr:uid="{00000000-0005-0000-0000-00003F0D0000}"/>
    <cellStyle name="Encabez1" xfId="3392" xr:uid="{00000000-0005-0000-0000-0000400D0000}"/>
    <cellStyle name="Encabez2" xfId="3393" xr:uid="{00000000-0005-0000-0000-0000410D0000}"/>
    <cellStyle name="Encabezado 4 10" xfId="4816" xr:uid="{00000000-0005-0000-0000-0000D0120000}"/>
    <cellStyle name="Encabezado 4 10 2" xfId="4817" xr:uid="{00000000-0005-0000-0000-0000D1120000}"/>
    <cellStyle name="Encabezado 4 11" xfId="4818" xr:uid="{00000000-0005-0000-0000-0000D2120000}"/>
    <cellStyle name="Encabezado 4 11 2" xfId="4819" xr:uid="{00000000-0005-0000-0000-0000D3120000}"/>
    <cellStyle name="Encabezado 4 12" xfId="4820" xr:uid="{00000000-0005-0000-0000-0000D4120000}"/>
    <cellStyle name="Encabezado 4 12 2" xfId="4821" xr:uid="{00000000-0005-0000-0000-0000D5120000}"/>
    <cellStyle name="Encabezado 4 13" xfId="4822" xr:uid="{00000000-0005-0000-0000-0000D6120000}"/>
    <cellStyle name="Encabezado 4 13 2" xfId="4823" xr:uid="{00000000-0005-0000-0000-0000D7120000}"/>
    <cellStyle name="Encabezado 4 14" xfId="4824" xr:uid="{00000000-0005-0000-0000-0000D8120000}"/>
    <cellStyle name="Encabezado 4 14 2" xfId="4825" xr:uid="{00000000-0005-0000-0000-0000D9120000}"/>
    <cellStyle name="Encabezado 4 15" xfId="4826" xr:uid="{00000000-0005-0000-0000-0000DA120000}"/>
    <cellStyle name="Encabezado 4 2" xfId="3394" xr:uid="{00000000-0005-0000-0000-0000420D0000}"/>
    <cellStyle name="Encabezado 4 2 2" xfId="4827" xr:uid="{00000000-0005-0000-0000-0000DB120000}"/>
    <cellStyle name="Encabezado 4 2 3" xfId="4828" xr:uid="{00000000-0005-0000-0000-0000DC120000}"/>
    <cellStyle name="Encabezado 4 2 4" xfId="4829" xr:uid="{00000000-0005-0000-0000-0000DD120000}"/>
    <cellStyle name="Encabezado 4 3" xfId="3395" xr:uid="{00000000-0005-0000-0000-0000430D0000}"/>
    <cellStyle name="Encabezado 4 3 2" xfId="4830" xr:uid="{00000000-0005-0000-0000-0000DE120000}"/>
    <cellStyle name="Encabezado 4 3 3" xfId="4831" xr:uid="{00000000-0005-0000-0000-0000DF120000}"/>
    <cellStyle name="Encabezado 4 4" xfId="4832" xr:uid="{00000000-0005-0000-0000-0000E0120000}"/>
    <cellStyle name="Encabezado 4 4 2" xfId="4833" xr:uid="{00000000-0005-0000-0000-0000E1120000}"/>
    <cellStyle name="Encabezado 4 4 3" xfId="4834" xr:uid="{00000000-0005-0000-0000-0000E2120000}"/>
    <cellStyle name="Encabezado 4 5" xfId="4835" xr:uid="{00000000-0005-0000-0000-0000E3120000}"/>
    <cellStyle name="Encabezado 4 6" xfId="4836" xr:uid="{00000000-0005-0000-0000-0000E4120000}"/>
    <cellStyle name="Encabezado 4 7" xfId="4837" xr:uid="{00000000-0005-0000-0000-0000E5120000}"/>
    <cellStyle name="Encabezado 4 8" xfId="4838" xr:uid="{00000000-0005-0000-0000-0000E6120000}"/>
    <cellStyle name="Encabezado 4 9" xfId="4839" xr:uid="{00000000-0005-0000-0000-0000E7120000}"/>
    <cellStyle name="Ênfase1" xfId="1338" xr:uid="{00000000-0005-0000-0000-00003A050000}"/>
    <cellStyle name="Ênfase2" xfId="1339" xr:uid="{00000000-0005-0000-0000-00003B050000}"/>
    <cellStyle name="Ênfase3" xfId="1340" xr:uid="{00000000-0005-0000-0000-00003C050000}"/>
    <cellStyle name="Ênfase4" xfId="1341" xr:uid="{00000000-0005-0000-0000-00003D050000}"/>
    <cellStyle name="Ênfase5" xfId="1342" xr:uid="{00000000-0005-0000-0000-00003E050000}"/>
    <cellStyle name="Ênfase6" xfId="1343" xr:uid="{00000000-0005-0000-0000-00003F050000}"/>
    <cellStyle name="Énfasis1 10" xfId="4840" xr:uid="{00000000-0005-0000-0000-0000E8120000}"/>
    <cellStyle name="Énfasis1 11" xfId="4841" xr:uid="{00000000-0005-0000-0000-0000E9120000}"/>
    <cellStyle name="Énfasis1 12" xfId="4842" xr:uid="{00000000-0005-0000-0000-0000EA120000}"/>
    <cellStyle name="Énfasis1 12 2" xfId="4843" xr:uid="{00000000-0005-0000-0000-0000EB120000}"/>
    <cellStyle name="Énfasis1 13" xfId="4844" xr:uid="{00000000-0005-0000-0000-0000EC120000}"/>
    <cellStyle name="Énfasis1 13 2" xfId="4845" xr:uid="{00000000-0005-0000-0000-0000ED120000}"/>
    <cellStyle name="Énfasis1 14" xfId="4846" xr:uid="{00000000-0005-0000-0000-0000EE120000}"/>
    <cellStyle name="Énfasis1 14 2" xfId="4847" xr:uid="{00000000-0005-0000-0000-0000EF120000}"/>
    <cellStyle name="Énfasis1 15" xfId="4848" xr:uid="{00000000-0005-0000-0000-0000F0120000}"/>
    <cellStyle name="Énfasis1 15 2" xfId="4849" xr:uid="{00000000-0005-0000-0000-0000F1120000}"/>
    <cellStyle name="Énfasis1 16" xfId="4850" xr:uid="{00000000-0005-0000-0000-0000F2120000}"/>
    <cellStyle name="Énfasis1 16 2" xfId="4851" xr:uid="{00000000-0005-0000-0000-0000F3120000}"/>
    <cellStyle name="Énfasis1 17" xfId="4852" xr:uid="{00000000-0005-0000-0000-0000F4120000}"/>
    <cellStyle name="Énfasis1 2" xfId="1344" xr:uid="{00000000-0005-0000-0000-000040050000}"/>
    <cellStyle name="Énfasis1 2 2" xfId="1345" xr:uid="{00000000-0005-0000-0000-000041050000}"/>
    <cellStyle name="Énfasis1 2 2 2" xfId="4853" xr:uid="{00000000-0005-0000-0000-0000F5120000}"/>
    <cellStyle name="Énfasis1 2 2 3" xfId="4854" xr:uid="{00000000-0005-0000-0000-0000F6120000}"/>
    <cellStyle name="Énfasis1 2 2 4" xfId="4855" xr:uid="{00000000-0005-0000-0000-0000F7120000}"/>
    <cellStyle name="Énfasis1 2 2 4 2" xfId="4856" xr:uid="{00000000-0005-0000-0000-0000F8120000}"/>
    <cellStyle name="Énfasis1 2 3" xfId="4857" xr:uid="{00000000-0005-0000-0000-0000F9120000}"/>
    <cellStyle name="Énfasis1 2 4" xfId="4858" xr:uid="{00000000-0005-0000-0000-0000FA120000}"/>
    <cellStyle name="Énfasis1 2 4 2" xfId="4859" xr:uid="{00000000-0005-0000-0000-0000FB120000}"/>
    <cellStyle name="Énfasis1 2 5" xfId="4860" xr:uid="{00000000-0005-0000-0000-0000FC120000}"/>
    <cellStyle name="Énfasis1 2_Deuda septiembre_marcos" xfId="1346" xr:uid="{00000000-0005-0000-0000-000042050000}"/>
    <cellStyle name="Énfasis1 3" xfId="1347" xr:uid="{00000000-0005-0000-0000-000043050000}"/>
    <cellStyle name="Énfasis1 4" xfId="4861" xr:uid="{00000000-0005-0000-0000-0000FD120000}"/>
    <cellStyle name="Énfasis1 4 2" xfId="4862" xr:uid="{00000000-0005-0000-0000-0000FE120000}"/>
    <cellStyle name="Énfasis1 4 3" xfId="4863" xr:uid="{00000000-0005-0000-0000-0000FF120000}"/>
    <cellStyle name="Énfasis1 5" xfId="4864" xr:uid="{00000000-0005-0000-0000-000000130000}"/>
    <cellStyle name="Énfasis1 5 2" xfId="4865" xr:uid="{00000000-0005-0000-0000-000001130000}"/>
    <cellStyle name="Énfasis1 5 3" xfId="4866" xr:uid="{00000000-0005-0000-0000-000002130000}"/>
    <cellStyle name="Énfasis1 6" xfId="4867" xr:uid="{00000000-0005-0000-0000-000003130000}"/>
    <cellStyle name="Énfasis1 7" xfId="4868" xr:uid="{00000000-0005-0000-0000-000004130000}"/>
    <cellStyle name="Énfasis1 8" xfId="4869" xr:uid="{00000000-0005-0000-0000-000005130000}"/>
    <cellStyle name="Énfasis1 9" xfId="4870" xr:uid="{00000000-0005-0000-0000-000006130000}"/>
    <cellStyle name="Énfasis2 10" xfId="4871" xr:uid="{00000000-0005-0000-0000-000007130000}"/>
    <cellStyle name="Énfasis2 10 2" xfId="4872" xr:uid="{00000000-0005-0000-0000-000008130000}"/>
    <cellStyle name="Énfasis2 11" xfId="4873" xr:uid="{00000000-0005-0000-0000-000009130000}"/>
    <cellStyle name="Énfasis2 11 2" xfId="4874" xr:uid="{00000000-0005-0000-0000-00000A130000}"/>
    <cellStyle name="Énfasis2 12" xfId="4875" xr:uid="{00000000-0005-0000-0000-00000B130000}"/>
    <cellStyle name="Énfasis2 12 2" xfId="4876" xr:uid="{00000000-0005-0000-0000-00000C130000}"/>
    <cellStyle name="Énfasis2 13" xfId="4877" xr:uid="{00000000-0005-0000-0000-00000D130000}"/>
    <cellStyle name="Énfasis2 13 2" xfId="4878" xr:uid="{00000000-0005-0000-0000-00000E130000}"/>
    <cellStyle name="Énfasis2 14" xfId="4879" xr:uid="{00000000-0005-0000-0000-00000F130000}"/>
    <cellStyle name="Énfasis2 14 2" xfId="4880" xr:uid="{00000000-0005-0000-0000-000010130000}"/>
    <cellStyle name="Énfasis2 15" xfId="4881" xr:uid="{00000000-0005-0000-0000-000011130000}"/>
    <cellStyle name="Énfasis2 2" xfId="3396" xr:uid="{00000000-0005-0000-0000-0000440D0000}"/>
    <cellStyle name="Énfasis2 2 2" xfId="4882" xr:uid="{00000000-0005-0000-0000-000012130000}"/>
    <cellStyle name="Énfasis2 2 3" xfId="4883" xr:uid="{00000000-0005-0000-0000-000013130000}"/>
    <cellStyle name="Énfasis2 2 4" xfId="4884" xr:uid="{00000000-0005-0000-0000-000014130000}"/>
    <cellStyle name="Énfasis2 3" xfId="3397" xr:uid="{00000000-0005-0000-0000-0000450D0000}"/>
    <cellStyle name="Énfasis2 3 2" xfId="4885" xr:uid="{00000000-0005-0000-0000-000015130000}"/>
    <cellStyle name="Énfasis2 3 3" xfId="4886" xr:uid="{00000000-0005-0000-0000-000016130000}"/>
    <cellStyle name="Énfasis2 4" xfId="4887" xr:uid="{00000000-0005-0000-0000-000017130000}"/>
    <cellStyle name="Énfasis2 4 2" xfId="4888" xr:uid="{00000000-0005-0000-0000-000018130000}"/>
    <cellStyle name="Énfasis2 4 3" xfId="4889" xr:uid="{00000000-0005-0000-0000-000019130000}"/>
    <cellStyle name="Énfasis2 5" xfId="4890" xr:uid="{00000000-0005-0000-0000-00001A130000}"/>
    <cellStyle name="Énfasis2 6" xfId="4891" xr:uid="{00000000-0005-0000-0000-00001B130000}"/>
    <cellStyle name="Énfasis2 7" xfId="4892" xr:uid="{00000000-0005-0000-0000-00001C130000}"/>
    <cellStyle name="Énfasis2 8" xfId="4893" xr:uid="{00000000-0005-0000-0000-00001D130000}"/>
    <cellStyle name="Énfasis2 9" xfId="4894" xr:uid="{00000000-0005-0000-0000-00001E130000}"/>
    <cellStyle name="Énfasis3 10" xfId="4895" xr:uid="{00000000-0005-0000-0000-00001F130000}"/>
    <cellStyle name="Énfasis3 11" xfId="4896" xr:uid="{00000000-0005-0000-0000-000020130000}"/>
    <cellStyle name="Énfasis3 11 2" xfId="4897" xr:uid="{00000000-0005-0000-0000-000021130000}"/>
    <cellStyle name="Énfasis3 12" xfId="4898" xr:uid="{00000000-0005-0000-0000-000022130000}"/>
    <cellStyle name="Énfasis3 12 2" xfId="4899" xr:uid="{00000000-0005-0000-0000-000023130000}"/>
    <cellStyle name="Énfasis3 13" xfId="4900" xr:uid="{00000000-0005-0000-0000-000024130000}"/>
    <cellStyle name="Énfasis3 13 2" xfId="4901" xr:uid="{00000000-0005-0000-0000-000025130000}"/>
    <cellStyle name="Énfasis3 14" xfId="4902" xr:uid="{00000000-0005-0000-0000-000026130000}"/>
    <cellStyle name="Énfasis3 14 2" xfId="4903" xr:uid="{00000000-0005-0000-0000-000027130000}"/>
    <cellStyle name="Énfasis3 15" xfId="4904" xr:uid="{00000000-0005-0000-0000-000028130000}"/>
    <cellStyle name="Énfasis3 15 2" xfId="4905" xr:uid="{00000000-0005-0000-0000-000029130000}"/>
    <cellStyle name="Énfasis3 16" xfId="4906" xr:uid="{00000000-0005-0000-0000-00002A130000}"/>
    <cellStyle name="Énfasis3 2" xfId="1348" xr:uid="{00000000-0005-0000-0000-000044050000}"/>
    <cellStyle name="Énfasis3 2 2" xfId="1349" xr:uid="{00000000-0005-0000-0000-000045050000}"/>
    <cellStyle name="Énfasis3 2 2 2" xfId="4907" xr:uid="{00000000-0005-0000-0000-00002B130000}"/>
    <cellStyle name="Énfasis3 2 2 3" xfId="4908" xr:uid="{00000000-0005-0000-0000-00002C130000}"/>
    <cellStyle name="Énfasis3 2 2 4" xfId="4909" xr:uid="{00000000-0005-0000-0000-00002D130000}"/>
    <cellStyle name="Énfasis3 2 2 4 2" xfId="4910" xr:uid="{00000000-0005-0000-0000-00002E130000}"/>
    <cellStyle name="Énfasis3 2 3" xfId="4911" xr:uid="{00000000-0005-0000-0000-00002F130000}"/>
    <cellStyle name="Énfasis3 2 4" xfId="4912" xr:uid="{00000000-0005-0000-0000-000030130000}"/>
    <cellStyle name="Énfasis3 2 4 2" xfId="4913" xr:uid="{00000000-0005-0000-0000-000031130000}"/>
    <cellStyle name="Énfasis3 2 5" xfId="4914" xr:uid="{00000000-0005-0000-0000-000032130000}"/>
    <cellStyle name="Énfasis3 2_Deuda septiembre_marcos" xfId="1350" xr:uid="{00000000-0005-0000-0000-000046050000}"/>
    <cellStyle name="Énfasis3 3" xfId="3398" xr:uid="{00000000-0005-0000-0000-0000460D0000}"/>
    <cellStyle name="Énfasis3 3 2" xfId="4915" xr:uid="{00000000-0005-0000-0000-000033130000}"/>
    <cellStyle name="Énfasis3 3 3" xfId="4916" xr:uid="{00000000-0005-0000-0000-000034130000}"/>
    <cellStyle name="Énfasis3 4" xfId="4917" xr:uid="{00000000-0005-0000-0000-000035130000}"/>
    <cellStyle name="Énfasis3 4 2" xfId="4918" xr:uid="{00000000-0005-0000-0000-000036130000}"/>
    <cellStyle name="Énfasis3 4 3" xfId="4919" xr:uid="{00000000-0005-0000-0000-000037130000}"/>
    <cellStyle name="Énfasis3 5" xfId="4920" xr:uid="{00000000-0005-0000-0000-000038130000}"/>
    <cellStyle name="Énfasis3 6" xfId="4921" xr:uid="{00000000-0005-0000-0000-000039130000}"/>
    <cellStyle name="Énfasis3 7" xfId="4922" xr:uid="{00000000-0005-0000-0000-00003A130000}"/>
    <cellStyle name="Énfasis3 8" xfId="4923" xr:uid="{00000000-0005-0000-0000-00003B130000}"/>
    <cellStyle name="Énfasis3 9" xfId="4924" xr:uid="{00000000-0005-0000-0000-00003C130000}"/>
    <cellStyle name="Énfasis4 10" xfId="4925" xr:uid="{00000000-0005-0000-0000-00003D130000}"/>
    <cellStyle name="Énfasis4 10 2" xfId="4926" xr:uid="{00000000-0005-0000-0000-00003E130000}"/>
    <cellStyle name="Énfasis4 11" xfId="4927" xr:uid="{00000000-0005-0000-0000-00003F130000}"/>
    <cellStyle name="Énfasis4 11 2" xfId="4928" xr:uid="{00000000-0005-0000-0000-000040130000}"/>
    <cellStyle name="Énfasis4 12" xfId="4929" xr:uid="{00000000-0005-0000-0000-000041130000}"/>
    <cellStyle name="Énfasis4 12 2" xfId="4930" xr:uid="{00000000-0005-0000-0000-000042130000}"/>
    <cellStyle name="Énfasis4 13" xfId="4931" xr:uid="{00000000-0005-0000-0000-000043130000}"/>
    <cellStyle name="Énfasis4 13 2" xfId="4932" xr:uid="{00000000-0005-0000-0000-000044130000}"/>
    <cellStyle name="Énfasis4 14" xfId="4933" xr:uid="{00000000-0005-0000-0000-000045130000}"/>
    <cellStyle name="Énfasis4 14 2" xfId="4934" xr:uid="{00000000-0005-0000-0000-000046130000}"/>
    <cellStyle name="Énfasis4 15" xfId="4935" xr:uid="{00000000-0005-0000-0000-000047130000}"/>
    <cellStyle name="Énfasis4 2" xfId="3399" xr:uid="{00000000-0005-0000-0000-0000470D0000}"/>
    <cellStyle name="Énfasis4 2 2" xfId="4936" xr:uid="{00000000-0005-0000-0000-000048130000}"/>
    <cellStyle name="Énfasis4 2 3" xfId="4937" xr:uid="{00000000-0005-0000-0000-000049130000}"/>
    <cellStyle name="Énfasis4 2 4" xfId="4938" xr:uid="{00000000-0005-0000-0000-00004A130000}"/>
    <cellStyle name="Énfasis4 3" xfId="3400" xr:uid="{00000000-0005-0000-0000-0000480D0000}"/>
    <cellStyle name="Énfasis4 3 2" xfId="4939" xr:uid="{00000000-0005-0000-0000-00004B130000}"/>
    <cellStyle name="Énfasis4 3 3" xfId="4940" xr:uid="{00000000-0005-0000-0000-00004C130000}"/>
    <cellStyle name="Énfasis4 4" xfId="4941" xr:uid="{00000000-0005-0000-0000-00004D130000}"/>
    <cellStyle name="Énfasis4 4 2" xfId="4942" xr:uid="{00000000-0005-0000-0000-00004E130000}"/>
    <cellStyle name="Énfasis4 4 3" xfId="4943" xr:uid="{00000000-0005-0000-0000-00004F130000}"/>
    <cellStyle name="Énfasis4 5" xfId="4944" xr:uid="{00000000-0005-0000-0000-000050130000}"/>
    <cellStyle name="Énfasis4 6" xfId="4945" xr:uid="{00000000-0005-0000-0000-000051130000}"/>
    <cellStyle name="Énfasis4 7" xfId="4946" xr:uid="{00000000-0005-0000-0000-000052130000}"/>
    <cellStyle name="Énfasis4 8" xfId="4947" xr:uid="{00000000-0005-0000-0000-000053130000}"/>
    <cellStyle name="Énfasis4 9" xfId="4948" xr:uid="{00000000-0005-0000-0000-000054130000}"/>
    <cellStyle name="Énfasis5 10" xfId="4949" xr:uid="{00000000-0005-0000-0000-000055130000}"/>
    <cellStyle name="Énfasis5 11" xfId="4950" xr:uid="{00000000-0005-0000-0000-000056130000}"/>
    <cellStyle name="Énfasis5 12" xfId="4951" xr:uid="{00000000-0005-0000-0000-000057130000}"/>
    <cellStyle name="Énfasis5 12 2" xfId="4952" xr:uid="{00000000-0005-0000-0000-000058130000}"/>
    <cellStyle name="Énfasis5 13" xfId="4953" xr:uid="{00000000-0005-0000-0000-000059130000}"/>
    <cellStyle name="Énfasis5 13 2" xfId="4954" xr:uid="{00000000-0005-0000-0000-00005A130000}"/>
    <cellStyle name="Énfasis5 14" xfId="4955" xr:uid="{00000000-0005-0000-0000-00005B130000}"/>
    <cellStyle name="Énfasis5 14 2" xfId="4956" xr:uid="{00000000-0005-0000-0000-00005C130000}"/>
    <cellStyle name="Énfasis5 15" xfId="4957" xr:uid="{00000000-0005-0000-0000-00005D130000}"/>
    <cellStyle name="Énfasis5 15 2" xfId="4958" xr:uid="{00000000-0005-0000-0000-00005E130000}"/>
    <cellStyle name="Énfasis5 16" xfId="4959" xr:uid="{00000000-0005-0000-0000-00005F130000}"/>
    <cellStyle name="Énfasis5 16 2" xfId="4960" xr:uid="{00000000-0005-0000-0000-000060130000}"/>
    <cellStyle name="Énfasis5 17" xfId="4961" xr:uid="{00000000-0005-0000-0000-000061130000}"/>
    <cellStyle name="Énfasis5 2" xfId="1351" xr:uid="{00000000-0005-0000-0000-000047050000}"/>
    <cellStyle name="Énfasis5 2 2" xfId="1352" xr:uid="{00000000-0005-0000-0000-000048050000}"/>
    <cellStyle name="Énfasis5 2 2 2" xfId="4962" xr:uid="{00000000-0005-0000-0000-000062130000}"/>
    <cellStyle name="Énfasis5 2 2 3" xfId="4963" xr:uid="{00000000-0005-0000-0000-000063130000}"/>
    <cellStyle name="Énfasis5 2 2 4" xfId="4964" xr:uid="{00000000-0005-0000-0000-000064130000}"/>
    <cellStyle name="Énfasis5 2 2 4 2" xfId="4965" xr:uid="{00000000-0005-0000-0000-000065130000}"/>
    <cellStyle name="Énfasis5 2 3" xfId="4966" xr:uid="{00000000-0005-0000-0000-000066130000}"/>
    <cellStyle name="Énfasis5 2 4" xfId="4967" xr:uid="{00000000-0005-0000-0000-000067130000}"/>
    <cellStyle name="Énfasis5 2 4 2" xfId="4968" xr:uid="{00000000-0005-0000-0000-000068130000}"/>
    <cellStyle name="Énfasis5 2 5" xfId="4969" xr:uid="{00000000-0005-0000-0000-000069130000}"/>
    <cellStyle name="Énfasis5 2_Deuda septiembre_marcos" xfId="1353" xr:uid="{00000000-0005-0000-0000-000049050000}"/>
    <cellStyle name="Énfasis5 3" xfId="1354" xr:uid="{00000000-0005-0000-0000-00004A050000}"/>
    <cellStyle name="Énfasis5 4" xfId="4970" xr:uid="{00000000-0005-0000-0000-00006A130000}"/>
    <cellStyle name="Énfasis5 4 2" xfId="4971" xr:uid="{00000000-0005-0000-0000-00006B130000}"/>
    <cellStyle name="Énfasis5 4 3" xfId="4972" xr:uid="{00000000-0005-0000-0000-00006C130000}"/>
    <cellStyle name="Énfasis5 5" xfId="4973" xr:uid="{00000000-0005-0000-0000-00006D130000}"/>
    <cellStyle name="Énfasis5 5 2" xfId="4974" xr:uid="{00000000-0005-0000-0000-00006E130000}"/>
    <cellStyle name="Énfasis5 5 3" xfId="4975" xr:uid="{00000000-0005-0000-0000-00006F130000}"/>
    <cellStyle name="Énfasis5 6" xfId="4976" xr:uid="{00000000-0005-0000-0000-000070130000}"/>
    <cellStyle name="Énfasis5 7" xfId="4977" xr:uid="{00000000-0005-0000-0000-000071130000}"/>
    <cellStyle name="Énfasis5 8" xfId="4978" xr:uid="{00000000-0005-0000-0000-000072130000}"/>
    <cellStyle name="Énfasis5 9" xfId="4979" xr:uid="{00000000-0005-0000-0000-000073130000}"/>
    <cellStyle name="Énfasis6 10" xfId="4980" xr:uid="{00000000-0005-0000-0000-000074130000}"/>
    <cellStyle name="Énfasis6 10 2" xfId="4981" xr:uid="{00000000-0005-0000-0000-000075130000}"/>
    <cellStyle name="Énfasis6 11" xfId="4982" xr:uid="{00000000-0005-0000-0000-000076130000}"/>
    <cellStyle name="Énfasis6 11 2" xfId="4983" xr:uid="{00000000-0005-0000-0000-000077130000}"/>
    <cellStyle name="Énfasis6 12" xfId="4984" xr:uid="{00000000-0005-0000-0000-000078130000}"/>
    <cellStyle name="Énfasis6 12 2" xfId="4985" xr:uid="{00000000-0005-0000-0000-000079130000}"/>
    <cellStyle name="Énfasis6 13" xfId="4986" xr:uid="{00000000-0005-0000-0000-00007A130000}"/>
    <cellStyle name="Énfasis6 13 2" xfId="4987" xr:uid="{00000000-0005-0000-0000-00007B130000}"/>
    <cellStyle name="Énfasis6 14" xfId="4988" xr:uid="{00000000-0005-0000-0000-00007C130000}"/>
    <cellStyle name="Énfasis6 14 2" xfId="4989" xr:uid="{00000000-0005-0000-0000-00007D130000}"/>
    <cellStyle name="Énfasis6 15" xfId="4990" xr:uid="{00000000-0005-0000-0000-00007E130000}"/>
    <cellStyle name="Énfasis6 2" xfId="3401" xr:uid="{00000000-0005-0000-0000-0000490D0000}"/>
    <cellStyle name="Énfasis6 2 2" xfId="4991" xr:uid="{00000000-0005-0000-0000-00007F130000}"/>
    <cellStyle name="Énfasis6 2 3" xfId="4992" xr:uid="{00000000-0005-0000-0000-000080130000}"/>
    <cellStyle name="Énfasis6 2 4" xfId="4993" xr:uid="{00000000-0005-0000-0000-000081130000}"/>
    <cellStyle name="Énfasis6 3" xfId="3402" xr:uid="{00000000-0005-0000-0000-00004A0D0000}"/>
    <cellStyle name="Énfasis6 3 2" xfId="4994" xr:uid="{00000000-0005-0000-0000-000082130000}"/>
    <cellStyle name="Énfasis6 3 3" xfId="4995" xr:uid="{00000000-0005-0000-0000-000083130000}"/>
    <cellStyle name="Énfasis6 4" xfId="4996" xr:uid="{00000000-0005-0000-0000-000084130000}"/>
    <cellStyle name="Énfasis6 4 2" xfId="4997" xr:uid="{00000000-0005-0000-0000-000085130000}"/>
    <cellStyle name="Énfasis6 4 3" xfId="4998" xr:uid="{00000000-0005-0000-0000-000086130000}"/>
    <cellStyle name="Énfasis6 5" xfId="4999" xr:uid="{00000000-0005-0000-0000-000087130000}"/>
    <cellStyle name="Énfasis6 6" xfId="5000" xr:uid="{00000000-0005-0000-0000-000088130000}"/>
    <cellStyle name="Énfasis6 7" xfId="5001" xr:uid="{00000000-0005-0000-0000-000089130000}"/>
    <cellStyle name="Énfasis6 8" xfId="5002" xr:uid="{00000000-0005-0000-0000-00008A130000}"/>
    <cellStyle name="Énfasis6 9" xfId="5003" xr:uid="{00000000-0005-0000-0000-00008B130000}"/>
    <cellStyle name="Entrada 10" xfId="5004" xr:uid="{00000000-0005-0000-0000-00008C130000}"/>
    <cellStyle name="Entrada 10 2" xfId="5005" xr:uid="{00000000-0005-0000-0000-00008D130000}"/>
    <cellStyle name="Entrada 11" xfId="5006" xr:uid="{00000000-0005-0000-0000-00008E130000}"/>
    <cellStyle name="Entrada 11 2" xfId="5007" xr:uid="{00000000-0005-0000-0000-00008F130000}"/>
    <cellStyle name="Entrada 12" xfId="5008" xr:uid="{00000000-0005-0000-0000-000090130000}"/>
    <cellStyle name="Entrada 12 2" xfId="5009" xr:uid="{00000000-0005-0000-0000-000091130000}"/>
    <cellStyle name="Entrada 13" xfId="5010" xr:uid="{00000000-0005-0000-0000-000092130000}"/>
    <cellStyle name="Entrada 13 2" xfId="5011" xr:uid="{00000000-0005-0000-0000-000093130000}"/>
    <cellStyle name="Entrada 14" xfId="5012" xr:uid="{00000000-0005-0000-0000-000094130000}"/>
    <cellStyle name="Entrada 14 2" xfId="5013" xr:uid="{00000000-0005-0000-0000-000095130000}"/>
    <cellStyle name="Entrada 15" xfId="5014" xr:uid="{00000000-0005-0000-0000-000096130000}"/>
    <cellStyle name="Entrada 2" xfId="3403" xr:uid="{00000000-0005-0000-0000-00004B0D0000}"/>
    <cellStyle name="Entrada 2 2" xfId="5015" xr:uid="{00000000-0005-0000-0000-000097130000}"/>
    <cellStyle name="Entrada 2 3" xfId="5016" xr:uid="{00000000-0005-0000-0000-000098130000}"/>
    <cellStyle name="Entrada 2 4" xfId="5017" xr:uid="{00000000-0005-0000-0000-000099130000}"/>
    <cellStyle name="Entrada 3" xfId="3404" xr:uid="{00000000-0005-0000-0000-00004C0D0000}"/>
    <cellStyle name="Entrada 3 2" xfId="5018" xr:uid="{00000000-0005-0000-0000-00009A130000}"/>
    <cellStyle name="Entrada 3 3" xfId="5019" xr:uid="{00000000-0005-0000-0000-00009B130000}"/>
    <cellStyle name="Entrada 4" xfId="5020" xr:uid="{00000000-0005-0000-0000-00009C130000}"/>
    <cellStyle name="Entrada 4 2" xfId="5021" xr:uid="{00000000-0005-0000-0000-00009D130000}"/>
    <cellStyle name="Entrada 4 3" xfId="5022" xr:uid="{00000000-0005-0000-0000-00009E130000}"/>
    <cellStyle name="Entrada 5" xfId="5023" xr:uid="{00000000-0005-0000-0000-00009F130000}"/>
    <cellStyle name="Entrada 6" xfId="5024" xr:uid="{00000000-0005-0000-0000-0000A0130000}"/>
    <cellStyle name="Entrada 7" xfId="5025" xr:uid="{00000000-0005-0000-0000-0000A1130000}"/>
    <cellStyle name="Entrada 8" xfId="5026" xr:uid="{00000000-0005-0000-0000-0000A2130000}"/>
    <cellStyle name="Entrada 9" xfId="5027" xr:uid="{00000000-0005-0000-0000-0000A3130000}"/>
    <cellStyle name="EPMLargeKeyFigure" xfId="30" xr:uid="{00000000-0005-0000-0000-00001E000000}"/>
    <cellStyle name="EPMUnrecognizedMember" xfId="29" xr:uid="{00000000-0005-0000-0000-00001D000000}"/>
    <cellStyle name="Estilo 1" xfId="1355" xr:uid="{00000000-0005-0000-0000-00004B050000}"/>
    <cellStyle name="Estilo 1 2" xfId="1356" xr:uid="{00000000-0005-0000-0000-00004C050000}"/>
    <cellStyle name="Estilo 1 2 2" xfId="1357" xr:uid="{00000000-0005-0000-0000-00004D050000}"/>
    <cellStyle name="Estilo 1 2 2 2" xfId="5028" xr:uid="{00000000-0005-0000-0000-0000A4130000}"/>
    <cellStyle name="Estilo 1 2 3" xfId="1358" xr:uid="{00000000-0005-0000-0000-00004E050000}"/>
    <cellStyle name="Estilo 1 2 3 2" xfId="5029" xr:uid="{00000000-0005-0000-0000-0000A5130000}"/>
    <cellStyle name="Estilo 1 2 4" xfId="1359" xr:uid="{00000000-0005-0000-0000-00004F050000}"/>
    <cellStyle name="Estilo 1 2 4 2" xfId="5030" xr:uid="{00000000-0005-0000-0000-0000A6130000}"/>
    <cellStyle name="Estilo 1 2 5" xfId="1360" xr:uid="{00000000-0005-0000-0000-000050050000}"/>
    <cellStyle name="Estilo 1 2 5 2" xfId="5031" xr:uid="{00000000-0005-0000-0000-0000A7130000}"/>
    <cellStyle name="Estilo 1 2 6" xfId="1361" xr:uid="{00000000-0005-0000-0000-000051050000}"/>
    <cellStyle name="Estilo 1 2 6 2" xfId="5032" xr:uid="{00000000-0005-0000-0000-0000A8130000}"/>
    <cellStyle name="Estilo 1 2 7" xfId="1362" xr:uid="{00000000-0005-0000-0000-000052050000}"/>
    <cellStyle name="Estilo 1 2 7 2" xfId="5033" xr:uid="{00000000-0005-0000-0000-0000A9130000}"/>
    <cellStyle name="Estilo 1 2 8" xfId="1363" xr:uid="{00000000-0005-0000-0000-000053050000}"/>
    <cellStyle name="Estilo 1 2_ActiFijos" xfId="1364" xr:uid="{00000000-0005-0000-0000-000054050000}"/>
    <cellStyle name="Estilo 1 3" xfId="1365" xr:uid="{00000000-0005-0000-0000-000055050000}"/>
    <cellStyle name="Estilo 1 3 2" xfId="1366" xr:uid="{00000000-0005-0000-0000-000056050000}"/>
    <cellStyle name="Estilo 1 3 2 2" xfId="5034" xr:uid="{00000000-0005-0000-0000-0000AA130000}"/>
    <cellStyle name="Estilo 1 3 3" xfId="1367" xr:uid="{00000000-0005-0000-0000-000057050000}"/>
    <cellStyle name="Estilo 1 3 3 2" xfId="5035" xr:uid="{00000000-0005-0000-0000-0000AB130000}"/>
    <cellStyle name="Estilo 1 3 4" xfId="1368" xr:uid="{00000000-0005-0000-0000-000058050000}"/>
    <cellStyle name="Estilo 1 3 4 2" xfId="5036" xr:uid="{00000000-0005-0000-0000-0000AC130000}"/>
    <cellStyle name="Estilo 1 3 5" xfId="1369" xr:uid="{00000000-0005-0000-0000-000059050000}"/>
    <cellStyle name="Estilo 1 3 5 2" xfId="5037" xr:uid="{00000000-0005-0000-0000-0000AD130000}"/>
    <cellStyle name="Estilo 1 3 6" xfId="1370" xr:uid="{00000000-0005-0000-0000-00005A050000}"/>
    <cellStyle name="Estilo 1 3 6 2" xfId="5038" xr:uid="{00000000-0005-0000-0000-0000AE130000}"/>
    <cellStyle name="Estilo 1 3 7" xfId="1371" xr:uid="{00000000-0005-0000-0000-00005B050000}"/>
    <cellStyle name="Estilo 1 3 8" xfId="1372" xr:uid="{00000000-0005-0000-0000-00005C050000}"/>
    <cellStyle name="Estilo 1 3_ActiFijos" xfId="1373" xr:uid="{00000000-0005-0000-0000-00005D050000}"/>
    <cellStyle name="Estilo 1 4" xfId="1374" xr:uid="{00000000-0005-0000-0000-00005E050000}"/>
    <cellStyle name="Estilo 1 4 2" xfId="1375" xr:uid="{00000000-0005-0000-0000-00005F050000}"/>
    <cellStyle name="Estilo 1 4 2 2" xfId="5039" xr:uid="{00000000-0005-0000-0000-0000AF130000}"/>
    <cellStyle name="Estilo 1 4 3" xfId="1376" xr:uid="{00000000-0005-0000-0000-000060050000}"/>
    <cellStyle name="Estilo 1 4 3 2" xfId="5040" xr:uid="{00000000-0005-0000-0000-0000B0130000}"/>
    <cellStyle name="Estilo 1 4 4" xfId="1377" xr:uid="{00000000-0005-0000-0000-000061050000}"/>
    <cellStyle name="Estilo 1 4 4 2" xfId="5041" xr:uid="{00000000-0005-0000-0000-0000B1130000}"/>
    <cellStyle name="Estilo 1 4 5" xfId="1378" xr:uid="{00000000-0005-0000-0000-000062050000}"/>
    <cellStyle name="Estilo 1 4 5 2" xfId="5042" xr:uid="{00000000-0005-0000-0000-0000B2130000}"/>
    <cellStyle name="Estilo 1 4 6" xfId="1379" xr:uid="{00000000-0005-0000-0000-000063050000}"/>
    <cellStyle name="Estilo 1 4 6 2" xfId="5043" xr:uid="{00000000-0005-0000-0000-0000B3130000}"/>
    <cellStyle name="Estilo 1 4 7" xfId="1380" xr:uid="{00000000-0005-0000-0000-000064050000}"/>
    <cellStyle name="Estilo 1 4 8" xfId="1381" xr:uid="{00000000-0005-0000-0000-000065050000}"/>
    <cellStyle name="Estilo 1 4_ActiFijos" xfId="1382" xr:uid="{00000000-0005-0000-0000-000066050000}"/>
    <cellStyle name="Estilo 1 5" xfId="1383" xr:uid="{00000000-0005-0000-0000-000067050000}"/>
    <cellStyle name="Estilo 1 5 2" xfId="1384" xr:uid="{00000000-0005-0000-0000-000068050000}"/>
    <cellStyle name="Estilo 1 5 2 2" xfId="3785" xr:uid="{00000000-0005-0000-0000-0000C90E0000}"/>
    <cellStyle name="Estilo 1 5 3" xfId="1385" xr:uid="{00000000-0005-0000-0000-000069050000}"/>
    <cellStyle name="Estilo 1 5 3 2" xfId="3786" xr:uid="{00000000-0005-0000-0000-0000CA0E0000}"/>
    <cellStyle name="Estilo 1 5 4" xfId="1386" xr:uid="{00000000-0005-0000-0000-00006A050000}"/>
    <cellStyle name="Estilo 1 5 4 2" xfId="3787" xr:uid="{00000000-0005-0000-0000-0000CB0E0000}"/>
    <cellStyle name="Estilo 1 5 5" xfId="1387" xr:uid="{00000000-0005-0000-0000-00006B050000}"/>
    <cellStyle name="Estilo 1 5 5 2" xfId="3788" xr:uid="{00000000-0005-0000-0000-0000CC0E0000}"/>
    <cellStyle name="Estilo 1 5 6" xfId="3784" xr:uid="{00000000-0005-0000-0000-0000C80E0000}"/>
    <cellStyle name="Estilo 1 6" xfId="5044" xr:uid="{00000000-0005-0000-0000-0000B4130000}"/>
    <cellStyle name="Estilo 1_Bases_Generales" xfId="1388" xr:uid="{00000000-0005-0000-0000-00006C050000}"/>
    <cellStyle name="Estilo 10" xfId="3405" xr:uid="{00000000-0005-0000-0000-00004D0D0000}"/>
    <cellStyle name="Estilo 11" xfId="3406" xr:uid="{00000000-0005-0000-0000-00004E0D0000}"/>
    <cellStyle name="Estilo 12" xfId="3407" xr:uid="{00000000-0005-0000-0000-00004F0D0000}"/>
    <cellStyle name="Estilo 13" xfId="3408" xr:uid="{00000000-0005-0000-0000-0000500D0000}"/>
    <cellStyle name="Estilo 2" xfId="1389" xr:uid="{00000000-0005-0000-0000-00006D050000}"/>
    <cellStyle name="Estilo 3" xfId="1390" xr:uid="{00000000-0005-0000-0000-00006E050000}"/>
    <cellStyle name="Estilo 3 2" xfId="5045" xr:uid="{00000000-0005-0000-0000-0000B5130000}"/>
    <cellStyle name="Estilo 4" xfId="1391" xr:uid="{00000000-0005-0000-0000-00006F050000}"/>
    <cellStyle name="Estilo 4 2" xfId="5046" xr:uid="{00000000-0005-0000-0000-0000B6130000}"/>
    <cellStyle name="Estilo 5" xfId="1392" xr:uid="{00000000-0005-0000-0000-000070050000}"/>
    <cellStyle name="Estilo 5 2" xfId="5047" xr:uid="{00000000-0005-0000-0000-0000B7130000}"/>
    <cellStyle name="Estilo 6" xfId="1393" xr:uid="{00000000-0005-0000-0000-000071050000}"/>
    <cellStyle name="Estilo 7" xfId="1394" xr:uid="{00000000-0005-0000-0000-000072050000}"/>
    <cellStyle name="Estilo 8" xfId="1395" xr:uid="{00000000-0005-0000-0000-000073050000}"/>
    <cellStyle name="Estilo 9" xfId="1396" xr:uid="{00000000-0005-0000-0000-000074050000}"/>
    <cellStyle name="Euro" xfId="1397" xr:uid="{00000000-0005-0000-0000-000075050000}"/>
    <cellStyle name="Euro 2" xfId="1398" xr:uid="{00000000-0005-0000-0000-000076050000}"/>
    <cellStyle name="Euro 2 2" xfId="1399" xr:uid="{00000000-0005-0000-0000-000077050000}"/>
    <cellStyle name="Euro 2 3" xfId="1400" xr:uid="{00000000-0005-0000-0000-000078050000}"/>
    <cellStyle name="Euro 2 4" xfId="1401" xr:uid="{00000000-0005-0000-0000-000079050000}"/>
    <cellStyle name="Euro 2 5" xfId="1402" xr:uid="{00000000-0005-0000-0000-00007A050000}"/>
    <cellStyle name="Euro 2 6" xfId="1403" xr:uid="{00000000-0005-0000-0000-00007B050000}"/>
    <cellStyle name="Euro 2 7" xfId="1404" xr:uid="{00000000-0005-0000-0000-00007C050000}"/>
    <cellStyle name="Euro 2 8" xfId="1405" xr:uid="{00000000-0005-0000-0000-00007D050000}"/>
    <cellStyle name="Euro 2 9" xfId="5048" xr:uid="{00000000-0005-0000-0000-0000B8130000}"/>
    <cellStyle name="Euro 3" xfId="1406" xr:uid="{00000000-0005-0000-0000-00007E050000}"/>
    <cellStyle name="Euro 3 2" xfId="1407" xr:uid="{00000000-0005-0000-0000-00007F050000}"/>
    <cellStyle name="Euro 3 3" xfId="1408" xr:uid="{00000000-0005-0000-0000-000080050000}"/>
    <cellStyle name="Euro 3 4" xfId="1409" xr:uid="{00000000-0005-0000-0000-000081050000}"/>
    <cellStyle name="Euro 3 5" xfId="1410" xr:uid="{00000000-0005-0000-0000-000082050000}"/>
    <cellStyle name="Euro 3 6" xfId="1411" xr:uid="{00000000-0005-0000-0000-000083050000}"/>
    <cellStyle name="Euro 3 7" xfId="1412" xr:uid="{00000000-0005-0000-0000-000084050000}"/>
    <cellStyle name="Euro 3 8" xfId="1413" xr:uid="{00000000-0005-0000-0000-000085050000}"/>
    <cellStyle name="Euro 4" xfId="1414" xr:uid="{00000000-0005-0000-0000-000086050000}"/>
    <cellStyle name="Euro 4 2" xfId="1415" xr:uid="{00000000-0005-0000-0000-000087050000}"/>
    <cellStyle name="Euro 4 3" xfId="1416" xr:uid="{00000000-0005-0000-0000-000088050000}"/>
    <cellStyle name="Euro 4 4" xfId="1417" xr:uid="{00000000-0005-0000-0000-000089050000}"/>
    <cellStyle name="Euro 4 5" xfId="1418" xr:uid="{00000000-0005-0000-0000-00008A050000}"/>
    <cellStyle name="Euro 4 6" xfId="1419" xr:uid="{00000000-0005-0000-0000-00008B050000}"/>
    <cellStyle name="Euro 4 7" xfId="1420" xr:uid="{00000000-0005-0000-0000-00008C050000}"/>
    <cellStyle name="Euro 4 8" xfId="1421" xr:uid="{00000000-0005-0000-0000-00008D050000}"/>
    <cellStyle name="Euro 5" xfId="5049" xr:uid="{00000000-0005-0000-0000-0000B9130000}"/>
    <cellStyle name="Euro 5 2" xfId="5050" xr:uid="{00000000-0005-0000-0000-0000BA130000}"/>
    <cellStyle name="Euro 6" xfId="5051" xr:uid="{00000000-0005-0000-0000-0000BB130000}"/>
    <cellStyle name="Euro_Deuda septiembre_marcos" xfId="1422" xr:uid="{00000000-0005-0000-0000-00008E050000}"/>
    <cellStyle name="EY House" xfId="1423" xr:uid="{00000000-0005-0000-0000-00008F050000}"/>
    <cellStyle name="EY House 10" xfId="1424" xr:uid="{00000000-0005-0000-0000-000090050000}"/>
    <cellStyle name="EY House 11" xfId="1425" xr:uid="{00000000-0005-0000-0000-000091050000}"/>
    <cellStyle name="EY House 12" xfId="1426" xr:uid="{00000000-0005-0000-0000-000092050000}"/>
    <cellStyle name="EY House 13" xfId="1427" xr:uid="{00000000-0005-0000-0000-000093050000}"/>
    <cellStyle name="EY House 2" xfId="1428" xr:uid="{00000000-0005-0000-0000-000094050000}"/>
    <cellStyle name="EY House 3" xfId="1429" xr:uid="{00000000-0005-0000-0000-000095050000}"/>
    <cellStyle name="EY House 4" xfId="1430" xr:uid="{00000000-0005-0000-0000-000096050000}"/>
    <cellStyle name="EY House 5" xfId="1431" xr:uid="{00000000-0005-0000-0000-000097050000}"/>
    <cellStyle name="EY House 6" xfId="1432" xr:uid="{00000000-0005-0000-0000-000098050000}"/>
    <cellStyle name="EY House 7" xfId="1433" xr:uid="{00000000-0005-0000-0000-000099050000}"/>
    <cellStyle name="EY House 8" xfId="1434" xr:uid="{00000000-0005-0000-0000-00009A050000}"/>
    <cellStyle name="EY House 9" xfId="1435" xr:uid="{00000000-0005-0000-0000-00009B050000}"/>
    <cellStyle name="EY House_ActiFijos" xfId="1436" xr:uid="{00000000-0005-0000-0000-00009C050000}"/>
    <cellStyle name="EY%input" xfId="1437" xr:uid="{00000000-0005-0000-0000-00009D050000}"/>
    <cellStyle name="EY0dp" xfId="1438" xr:uid="{00000000-0005-0000-0000-00009E050000}"/>
    <cellStyle name="EYnumber_Project GuGu - Databook 050331 v2" xfId="1439" xr:uid="{00000000-0005-0000-0000-00009F050000}"/>
    <cellStyle name="EYtext_Project Sprinkle - Databook (PR) 4-1-05" xfId="1440" xr:uid="{00000000-0005-0000-0000-0000A0050000}"/>
    <cellStyle name="F2" xfId="1441" xr:uid="{00000000-0005-0000-0000-0000A1050000}"/>
    <cellStyle name="F2 2" xfId="1442" xr:uid="{00000000-0005-0000-0000-0000A2050000}"/>
    <cellStyle name="F2 2 2" xfId="1443" xr:uid="{00000000-0005-0000-0000-0000A3050000}"/>
    <cellStyle name="F2 2 3" xfId="1444" xr:uid="{00000000-0005-0000-0000-0000A4050000}"/>
    <cellStyle name="F2 2 4" xfId="1445" xr:uid="{00000000-0005-0000-0000-0000A5050000}"/>
    <cellStyle name="F2 2 5" xfId="1446" xr:uid="{00000000-0005-0000-0000-0000A6050000}"/>
    <cellStyle name="F2 2 6" xfId="1447" xr:uid="{00000000-0005-0000-0000-0000A7050000}"/>
    <cellStyle name="F2 2 7" xfId="1448" xr:uid="{00000000-0005-0000-0000-0000A8050000}"/>
    <cellStyle name="F2 2 8" xfId="1449" xr:uid="{00000000-0005-0000-0000-0000A9050000}"/>
    <cellStyle name="F2 2_ActiFijos" xfId="1450" xr:uid="{00000000-0005-0000-0000-0000AA050000}"/>
    <cellStyle name="F2 3" xfId="1451" xr:uid="{00000000-0005-0000-0000-0000AB050000}"/>
    <cellStyle name="F2 3 2" xfId="1452" xr:uid="{00000000-0005-0000-0000-0000AC050000}"/>
    <cellStyle name="F2 3 3" xfId="1453" xr:uid="{00000000-0005-0000-0000-0000AD050000}"/>
    <cellStyle name="F2 3 4" xfId="1454" xr:uid="{00000000-0005-0000-0000-0000AE050000}"/>
    <cellStyle name="F2 3 5" xfId="1455" xr:uid="{00000000-0005-0000-0000-0000AF050000}"/>
    <cellStyle name="F2 3 6" xfId="1456" xr:uid="{00000000-0005-0000-0000-0000B0050000}"/>
    <cellStyle name="F2 3 7" xfId="1457" xr:uid="{00000000-0005-0000-0000-0000B1050000}"/>
    <cellStyle name="F2 3 8" xfId="1458" xr:uid="{00000000-0005-0000-0000-0000B2050000}"/>
    <cellStyle name="F2 3_ActiFijos" xfId="1459" xr:uid="{00000000-0005-0000-0000-0000B3050000}"/>
    <cellStyle name="F2 4" xfId="1460" xr:uid="{00000000-0005-0000-0000-0000B4050000}"/>
    <cellStyle name="F2 4 2" xfId="1461" xr:uid="{00000000-0005-0000-0000-0000B5050000}"/>
    <cellStyle name="F2 4 3" xfId="1462" xr:uid="{00000000-0005-0000-0000-0000B6050000}"/>
    <cellStyle name="F2 4 4" xfId="1463" xr:uid="{00000000-0005-0000-0000-0000B7050000}"/>
    <cellStyle name="F2 4 5" xfId="1464" xr:uid="{00000000-0005-0000-0000-0000B8050000}"/>
    <cellStyle name="F2 4 6" xfId="1465" xr:uid="{00000000-0005-0000-0000-0000B9050000}"/>
    <cellStyle name="F2 4 7" xfId="1466" xr:uid="{00000000-0005-0000-0000-0000BA050000}"/>
    <cellStyle name="F2 4 8" xfId="1467" xr:uid="{00000000-0005-0000-0000-0000BB050000}"/>
    <cellStyle name="F2 4_ActiFijos" xfId="1468" xr:uid="{00000000-0005-0000-0000-0000BC050000}"/>
    <cellStyle name="F2_Bases_Generales" xfId="1469" xr:uid="{00000000-0005-0000-0000-0000BD050000}"/>
    <cellStyle name="F3" xfId="1470" xr:uid="{00000000-0005-0000-0000-0000BE050000}"/>
    <cellStyle name="F3 2" xfId="1471" xr:uid="{00000000-0005-0000-0000-0000BF050000}"/>
    <cellStyle name="F3 2 2" xfId="1472" xr:uid="{00000000-0005-0000-0000-0000C0050000}"/>
    <cellStyle name="F3 2 3" xfId="1473" xr:uid="{00000000-0005-0000-0000-0000C1050000}"/>
    <cellStyle name="F3 2 4" xfId="1474" xr:uid="{00000000-0005-0000-0000-0000C2050000}"/>
    <cellStyle name="F3 2 5" xfId="1475" xr:uid="{00000000-0005-0000-0000-0000C3050000}"/>
    <cellStyle name="F3 2 6" xfId="1476" xr:uid="{00000000-0005-0000-0000-0000C4050000}"/>
    <cellStyle name="F3 2 7" xfId="1477" xr:uid="{00000000-0005-0000-0000-0000C5050000}"/>
    <cellStyle name="F3 2 8" xfId="1478" xr:uid="{00000000-0005-0000-0000-0000C6050000}"/>
    <cellStyle name="F3 2_ActiFijos" xfId="1479" xr:uid="{00000000-0005-0000-0000-0000C7050000}"/>
    <cellStyle name="F3 3" xfId="1480" xr:uid="{00000000-0005-0000-0000-0000C8050000}"/>
    <cellStyle name="F3 3 2" xfId="1481" xr:uid="{00000000-0005-0000-0000-0000C9050000}"/>
    <cellStyle name="F3 3 3" xfId="1482" xr:uid="{00000000-0005-0000-0000-0000CA050000}"/>
    <cellStyle name="F3 3 4" xfId="1483" xr:uid="{00000000-0005-0000-0000-0000CB050000}"/>
    <cellStyle name="F3 3 5" xfId="1484" xr:uid="{00000000-0005-0000-0000-0000CC050000}"/>
    <cellStyle name="F3 3 6" xfId="1485" xr:uid="{00000000-0005-0000-0000-0000CD050000}"/>
    <cellStyle name="F3 3 7" xfId="1486" xr:uid="{00000000-0005-0000-0000-0000CE050000}"/>
    <cellStyle name="F3 3 8" xfId="1487" xr:uid="{00000000-0005-0000-0000-0000CF050000}"/>
    <cellStyle name="F3 3_ActiFijos" xfId="1488" xr:uid="{00000000-0005-0000-0000-0000D0050000}"/>
    <cellStyle name="F3 4" xfId="1489" xr:uid="{00000000-0005-0000-0000-0000D1050000}"/>
    <cellStyle name="F3 4 2" xfId="1490" xr:uid="{00000000-0005-0000-0000-0000D2050000}"/>
    <cellStyle name="F3 4 3" xfId="1491" xr:uid="{00000000-0005-0000-0000-0000D3050000}"/>
    <cellStyle name="F3 4 4" xfId="1492" xr:uid="{00000000-0005-0000-0000-0000D4050000}"/>
    <cellStyle name="F3 4 5" xfId="1493" xr:uid="{00000000-0005-0000-0000-0000D5050000}"/>
    <cellStyle name="F3 4 6" xfId="1494" xr:uid="{00000000-0005-0000-0000-0000D6050000}"/>
    <cellStyle name="F3 4 7" xfId="1495" xr:uid="{00000000-0005-0000-0000-0000D7050000}"/>
    <cellStyle name="F3 4 8" xfId="1496" xr:uid="{00000000-0005-0000-0000-0000D8050000}"/>
    <cellStyle name="F3 4_ActiFijos" xfId="1497" xr:uid="{00000000-0005-0000-0000-0000D9050000}"/>
    <cellStyle name="F3_Bases_Generales" xfId="1498" xr:uid="{00000000-0005-0000-0000-0000DA050000}"/>
    <cellStyle name="F4" xfId="1499" xr:uid="{00000000-0005-0000-0000-0000DB050000}"/>
    <cellStyle name="F4 2" xfId="1500" xr:uid="{00000000-0005-0000-0000-0000DC050000}"/>
    <cellStyle name="F4 2 2" xfId="1501" xr:uid="{00000000-0005-0000-0000-0000DD050000}"/>
    <cellStyle name="F4 2 3" xfId="1502" xr:uid="{00000000-0005-0000-0000-0000DE050000}"/>
    <cellStyle name="F4 2 4" xfId="1503" xr:uid="{00000000-0005-0000-0000-0000DF050000}"/>
    <cellStyle name="F4 2 5" xfId="1504" xr:uid="{00000000-0005-0000-0000-0000E0050000}"/>
    <cellStyle name="F4 2 6" xfId="1505" xr:uid="{00000000-0005-0000-0000-0000E1050000}"/>
    <cellStyle name="F4 2 7" xfId="1506" xr:uid="{00000000-0005-0000-0000-0000E2050000}"/>
    <cellStyle name="F4 2 8" xfId="1507" xr:uid="{00000000-0005-0000-0000-0000E3050000}"/>
    <cellStyle name="F4 2_ActiFijos" xfId="1508" xr:uid="{00000000-0005-0000-0000-0000E4050000}"/>
    <cellStyle name="F4 3" xfId="1509" xr:uid="{00000000-0005-0000-0000-0000E5050000}"/>
    <cellStyle name="F4 3 2" xfId="1510" xr:uid="{00000000-0005-0000-0000-0000E6050000}"/>
    <cellStyle name="F4 3 3" xfId="1511" xr:uid="{00000000-0005-0000-0000-0000E7050000}"/>
    <cellStyle name="F4 3 4" xfId="1512" xr:uid="{00000000-0005-0000-0000-0000E8050000}"/>
    <cellStyle name="F4 3 5" xfId="1513" xr:uid="{00000000-0005-0000-0000-0000E9050000}"/>
    <cellStyle name="F4 3 6" xfId="1514" xr:uid="{00000000-0005-0000-0000-0000EA050000}"/>
    <cellStyle name="F4 3 7" xfId="1515" xr:uid="{00000000-0005-0000-0000-0000EB050000}"/>
    <cellStyle name="F4 3 8" xfId="1516" xr:uid="{00000000-0005-0000-0000-0000EC050000}"/>
    <cellStyle name="F4 3_ActiFijos" xfId="1517" xr:uid="{00000000-0005-0000-0000-0000ED050000}"/>
    <cellStyle name="F4 4" xfId="1518" xr:uid="{00000000-0005-0000-0000-0000EE050000}"/>
    <cellStyle name="F4 4 2" xfId="1519" xr:uid="{00000000-0005-0000-0000-0000EF050000}"/>
    <cellStyle name="F4 4 3" xfId="1520" xr:uid="{00000000-0005-0000-0000-0000F0050000}"/>
    <cellStyle name="F4 4 4" xfId="1521" xr:uid="{00000000-0005-0000-0000-0000F1050000}"/>
    <cellStyle name="F4 4 5" xfId="1522" xr:uid="{00000000-0005-0000-0000-0000F2050000}"/>
    <cellStyle name="F4 4 6" xfId="1523" xr:uid="{00000000-0005-0000-0000-0000F3050000}"/>
    <cellStyle name="F4 4 7" xfId="1524" xr:uid="{00000000-0005-0000-0000-0000F4050000}"/>
    <cellStyle name="F4 4 8" xfId="1525" xr:uid="{00000000-0005-0000-0000-0000F5050000}"/>
    <cellStyle name="F4 4_ActiFijos" xfId="1526" xr:uid="{00000000-0005-0000-0000-0000F6050000}"/>
    <cellStyle name="F4_Bases_Generales" xfId="1527" xr:uid="{00000000-0005-0000-0000-0000F7050000}"/>
    <cellStyle name="F5" xfId="1528" xr:uid="{00000000-0005-0000-0000-0000F8050000}"/>
    <cellStyle name="F5 2" xfId="1529" xr:uid="{00000000-0005-0000-0000-0000F9050000}"/>
    <cellStyle name="F5 2 2" xfId="1530" xr:uid="{00000000-0005-0000-0000-0000FA050000}"/>
    <cellStyle name="F5 2 3" xfId="1531" xr:uid="{00000000-0005-0000-0000-0000FB050000}"/>
    <cellStyle name="F5 2 4" xfId="1532" xr:uid="{00000000-0005-0000-0000-0000FC050000}"/>
    <cellStyle name="F5 2 5" xfId="1533" xr:uid="{00000000-0005-0000-0000-0000FD050000}"/>
    <cellStyle name="F5 2 6" xfId="1534" xr:uid="{00000000-0005-0000-0000-0000FE050000}"/>
    <cellStyle name="F5 2 7" xfId="1535" xr:uid="{00000000-0005-0000-0000-0000FF050000}"/>
    <cellStyle name="F5 2 8" xfId="1536" xr:uid="{00000000-0005-0000-0000-000000060000}"/>
    <cellStyle name="F5 2_ActiFijos" xfId="1537" xr:uid="{00000000-0005-0000-0000-000001060000}"/>
    <cellStyle name="F5 3" xfId="1538" xr:uid="{00000000-0005-0000-0000-000002060000}"/>
    <cellStyle name="F5 3 2" xfId="1539" xr:uid="{00000000-0005-0000-0000-000003060000}"/>
    <cellStyle name="F5 3 3" xfId="1540" xr:uid="{00000000-0005-0000-0000-000004060000}"/>
    <cellStyle name="F5 3 4" xfId="1541" xr:uid="{00000000-0005-0000-0000-000005060000}"/>
    <cellStyle name="F5 3 5" xfId="1542" xr:uid="{00000000-0005-0000-0000-000006060000}"/>
    <cellStyle name="F5 3 6" xfId="1543" xr:uid="{00000000-0005-0000-0000-000007060000}"/>
    <cellStyle name="F5 3 7" xfId="1544" xr:uid="{00000000-0005-0000-0000-000008060000}"/>
    <cellStyle name="F5 3 8" xfId="1545" xr:uid="{00000000-0005-0000-0000-000009060000}"/>
    <cellStyle name="F5 3_ActiFijos" xfId="1546" xr:uid="{00000000-0005-0000-0000-00000A060000}"/>
    <cellStyle name="F5 4" xfId="1547" xr:uid="{00000000-0005-0000-0000-00000B060000}"/>
    <cellStyle name="F5 4 2" xfId="1548" xr:uid="{00000000-0005-0000-0000-00000C060000}"/>
    <cellStyle name="F5 4 3" xfId="1549" xr:uid="{00000000-0005-0000-0000-00000D060000}"/>
    <cellStyle name="F5 4 4" xfId="1550" xr:uid="{00000000-0005-0000-0000-00000E060000}"/>
    <cellStyle name="F5 4 5" xfId="1551" xr:uid="{00000000-0005-0000-0000-00000F060000}"/>
    <cellStyle name="F5 4 6" xfId="1552" xr:uid="{00000000-0005-0000-0000-000010060000}"/>
    <cellStyle name="F5 4 7" xfId="1553" xr:uid="{00000000-0005-0000-0000-000011060000}"/>
    <cellStyle name="F5 4 8" xfId="1554" xr:uid="{00000000-0005-0000-0000-000012060000}"/>
    <cellStyle name="F5 4_ActiFijos" xfId="1555" xr:uid="{00000000-0005-0000-0000-000013060000}"/>
    <cellStyle name="F5_Bases_Generales" xfId="1556" xr:uid="{00000000-0005-0000-0000-000014060000}"/>
    <cellStyle name="F6" xfId="1557" xr:uid="{00000000-0005-0000-0000-000015060000}"/>
    <cellStyle name="F6 2" xfId="1558" xr:uid="{00000000-0005-0000-0000-000016060000}"/>
    <cellStyle name="F6 2 2" xfId="1559" xr:uid="{00000000-0005-0000-0000-000017060000}"/>
    <cellStyle name="F6 2 3" xfId="1560" xr:uid="{00000000-0005-0000-0000-000018060000}"/>
    <cellStyle name="F6 2 4" xfId="1561" xr:uid="{00000000-0005-0000-0000-000019060000}"/>
    <cellStyle name="F6 2 5" xfId="1562" xr:uid="{00000000-0005-0000-0000-00001A060000}"/>
    <cellStyle name="F6 2 6" xfId="1563" xr:uid="{00000000-0005-0000-0000-00001B060000}"/>
    <cellStyle name="F6 2 7" xfId="1564" xr:uid="{00000000-0005-0000-0000-00001C060000}"/>
    <cellStyle name="F6 2 8" xfId="1565" xr:uid="{00000000-0005-0000-0000-00001D060000}"/>
    <cellStyle name="F6 2_ActiFijos" xfId="1566" xr:uid="{00000000-0005-0000-0000-00001E060000}"/>
    <cellStyle name="F6 3" xfId="1567" xr:uid="{00000000-0005-0000-0000-00001F060000}"/>
    <cellStyle name="F6 3 2" xfId="1568" xr:uid="{00000000-0005-0000-0000-000020060000}"/>
    <cellStyle name="F6 3 3" xfId="1569" xr:uid="{00000000-0005-0000-0000-000021060000}"/>
    <cellStyle name="F6 3 4" xfId="1570" xr:uid="{00000000-0005-0000-0000-000022060000}"/>
    <cellStyle name="F6 3 5" xfId="1571" xr:uid="{00000000-0005-0000-0000-000023060000}"/>
    <cellStyle name="F6 3 6" xfId="1572" xr:uid="{00000000-0005-0000-0000-000024060000}"/>
    <cellStyle name="F6 3 7" xfId="1573" xr:uid="{00000000-0005-0000-0000-000025060000}"/>
    <cellStyle name="F6 3 8" xfId="1574" xr:uid="{00000000-0005-0000-0000-000026060000}"/>
    <cellStyle name="F6 3_ActiFijos" xfId="1575" xr:uid="{00000000-0005-0000-0000-000027060000}"/>
    <cellStyle name="F6 4" xfId="1576" xr:uid="{00000000-0005-0000-0000-000028060000}"/>
    <cellStyle name="F6 4 2" xfId="1577" xr:uid="{00000000-0005-0000-0000-000029060000}"/>
    <cellStyle name="F6 4 3" xfId="1578" xr:uid="{00000000-0005-0000-0000-00002A060000}"/>
    <cellStyle name="F6 4 4" xfId="1579" xr:uid="{00000000-0005-0000-0000-00002B060000}"/>
    <cellStyle name="F6 4 5" xfId="1580" xr:uid="{00000000-0005-0000-0000-00002C060000}"/>
    <cellStyle name="F6 4 6" xfId="1581" xr:uid="{00000000-0005-0000-0000-00002D060000}"/>
    <cellStyle name="F6 4 7" xfId="1582" xr:uid="{00000000-0005-0000-0000-00002E060000}"/>
    <cellStyle name="F6 4 8" xfId="1583" xr:uid="{00000000-0005-0000-0000-00002F060000}"/>
    <cellStyle name="F6 4_ActiFijos" xfId="1584" xr:uid="{00000000-0005-0000-0000-000030060000}"/>
    <cellStyle name="F6_Bases_Generales" xfId="1585" xr:uid="{00000000-0005-0000-0000-000031060000}"/>
    <cellStyle name="F7" xfId="1586" xr:uid="{00000000-0005-0000-0000-000032060000}"/>
    <cellStyle name="F7 2" xfId="1587" xr:uid="{00000000-0005-0000-0000-000033060000}"/>
    <cellStyle name="F7 2 2" xfId="1588" xr:uid="{00000000-0005-0000-0000-000034060000}"/>
    <cellStyle name="F7 2 3" xfId="1589" xr:uid="{00000000-0005-0000-0000-000035060000}"/>
    <cellStyle name="F7 2 4" xfId="1590" xr:uid="{00000000-0005-0000-0000-000036060000}"/>
    <cellStyle name="F7 2 5" xfId="1591" xr:uid="{00000000-0005-0000-0000-000037060000}"/>
    <cellStyle name="F7 2 6" xfId="1592" xr:uid="{00000000-0005-0000-0000-000038060000}"/>
    <cellStyle name="F7 2 7" xfId="1593" xr:uid="{00000000-0005-0000-0000-000039060000}"/>
    <cellStyle name="F7 2 8" xfId="1594" xr:uid="{00000000-0005-0000-0000-00003A060000}"/>
    <cellStyle name="F7 2_ActiFijos" xfId="1595" xr:uid="{00000000-0005-0000-0000-00003B060000}"/>
    <cellStyle name="F7 3" xfId="1596" xr:uid="{00000000-0005-0000-0000-00003C060000}"/>
    <cellStyle name="F7 3 2" xfId="1597" xr:uid="{00000000-0005-0000-0000-00003D060000}"/>
    <cellStyle name="F7 3 3" xfId="1598" xr:uid="{00000000-0005-0000-0000-00003E060000}"/>
    <cellStyle name="F7 3 4" xfId="1599" xr:uid="{00000000-0005-0000-0000-00003F060000}"/>
    <cellStyle name="F7 3 5" xfId="1600" xr:uid="{00000000-0005-0000-0000-000040060000}"/>
    <cellStyle name="F7 3 6" xfId="1601" xr:uid="{00000000-0005-0000-0000-000041060000}"/>
    <cellStyle name="F7 3 7" xfId="1602" xr:uid="{00000000-0005-0000-0000-000042060000}"/>
    <cellStyle name="F7 3 8" xfId="1603" xr:uid="{00000000-0005-0000-0000-000043060000}"/>
    <cellStyle name="F7 3_ActiFijos" xfId="1604" xr:uid="{00000000-0005-0000-0000-000044060000}"/>
    <cellStyle name="F7 4" xfId="1605" xr:uid="{00000000-0005-0000-0000-000045060000}"/>
    <cellStyle name="F7 4 2" xfId="1606" xr:uid="{00000000-0005-0000-0000-000046060000}"/>
    <cellStyle name="F7 4 3" xfId="1607" xr:uid="{00000000-0005-0000-0000-000047060000}"/>
    <cellStyle name="F7 4 4" xfId="1608" xr:uid="{00000000-0005-0000-0000-000048060000}"/>
    <cellStyle name="F7 4 5" xfId="1609" xr:uid="{00000000-0005-0000-0000-000049060000}"/>
    <cellStyle name="F7 4 6" xfId="1610" xr:uid="{00000000-0005-0000-0000-00004A060000}"/>
    <cellStyle name="F7 4 7" xfId="1611" xr:uid="{00000000-0005-0000-0000-00004B060000}"/>
    <cellStyle name="F7 4 8" xfId="1612" xr:uid="{00000000-0005-0000-0000-00004C060000}"/>
    <cellStyle name="F7 4_ActiFijos" xfId="1613" xr:uid="{00000000-0005-0000-0000-00004D060000}"/>
    <cellStyle name="F7_Bases_Generales" xfId="1614" xr:uid="{00000000-0005-0000-0000-00004E060000}"/>
    <cellStyle name="F8" xfId="1615" xr:uid="{00000000-0005-0000-0000-00004F060000}"/>
    <cellStyle name="F8 2" xfId="1616" xr:uid="{00000000-0005-0000-0000-000050060000}"/>
    <cellStyle name="F8 2 2" xfId="1617" xr:uid="{00000000-0005-0000-0000-000051060000}"/>
    <cellStyle name="F8 2 3" xfId="1618" xr:uid="{00000000-0005-0000-0000-000052060000}"/>
    <cellStyle name="F8 2 4" xfId="1619" xr:uid="{00000000-0005-0000-0000-000053060000}"/>
    <cellStyle name="F8 2 5" xfId="1620" xr:uid="{00000000-0005-0000-0000-000054060000}"/>
    <cellStyle name="F8 2 6" xfId="1621" xr:uid="{00000000-0005-0000-0000-000055060000}"/>
    <cellStyle name="F8 2 7" xfId="1622" xr:uid="{00000000-0005-0000-0000-000056060000}"/>
    <cellStyle name="F8 2 8" xfId="1623" xr:uid="{00000000-0005-0000-0000-000057060000}"/>
    <cellStyle name="F8 2_ActiFijos" xfId="1624" xr:uid="{00000000-0005-0000-0000-000058060000}"/>
    <cellStyle name="F8 3" xfId="1625" xr:uid="{00000000-0005-0000-0000-000059060000}"/>
    <cellStyle name="F8 3 2" xfId="1626" xr:uid="{00000000-0005-0000-0000-00005A060000}"/>
    <cellStyle name="F8 3 3" xfId="1627" xr:uid="{00000000-0005-0000-0000-00005B060000}"/>
    <cellStyle name="F8 3 4" xfId="1628" xr:uid="{00000000-0005-0000-0000-00005C060000}"/>
    <cellStyle name="F8 3 5" xfId="1629" xr:uid="{00000000-0005-0000-0000-00005D060000}"/>
    <cellStyle name="F8 3 6" xfId="1630" xr:uid="{00000000-0005-0000-0000-00005E060000}"/>
    <cellStyle name="F8 3 7" xfId="1631" xr:uid="{00000000-0005-0000-0000-00005F060000}"/>
    <cellStyle name="F8 3 8" xfId="1632" xr:uid="{00000000-0005-0000-0000-000060060000}"/>
    <cellStyle name="F8 3_ActiFijos" xfId="1633" xr:uid="{00000000-0005-0000-0000-000061060000}"/>
    <cellStyle name="F8 4" xfId="1634" xr:uid="{00000000-0005-0000-0000-000062060000}"/>
    <cellStyle name="F8 4 2" xfId="1635" xr:uid="{00000000-0005-0000-0000-000063060000}"/>
    <cellStyle name="F8 4 3" xfId="1636" xr:uid="{00000000-0005-0000-0000-000064060000}"/>
    <cellStyle name="F8 4 4" xfId="1637" xr:uid="{00000000-0005-0000-0000-000065060000}"/>
    <cellStyle name="F8 4 5" xfId="1638" xr:uid="{00000000-0005-0000-0000-000066060000}"/>
    <cellStyle name="F8 4 6" xfId="1639" xr:uid="{00000000-0005-0000-0000-000067060000}"/>
    <cellStyle name="F8 4 7" xfId="1640" xr:uid="{00000000-0005-0000-0000-000068060000}"/>
    <cellStyle name="F8 4 8" xfId="1641" xr:uid="{00000000-0005-0000-0000-000069060000}"/>
    <cellStyle name="F8 4_ActiFijos" xfId="1642" xr:uid="{00000000-0005-0000-0000-00006A060000}"/>
    <cellStyle name="F8_Bases_Generales" xfId="1643" xr:uid="{00000000-0005-0000-0000-00006B060000}"/>
    <cellStyle name="Fecha" xfId="3409" xr:uid="{00000000-0005-0000-0000-0000510D0000}"/>
    <cellStyle name="Fijo" xfId="3410" xr:uid="{00000000-0005-0000-0000-0000520D0000}"/>
    <cellStyle name="Financiero" xfId="3411" xr:uid="{00000000-0005-0000-0000-0000530D0000}"/>
    <cellStyle name="Fixed" xfId="1644" xr:uid="{00000000-0005-0000-0000-00006C060000}"/>
    <cellStyle name="Fixed 10" xfId="1645" xr:uid="{00000000-0005-0000-0000-00006D060000}"/>
    <cellStyle name="Fixed 10 2" xfId="5052" xr:uid="{00000000-0005-0000-0000-0000BC130000}"/>
    <cellStyle name="Fixed 11" xfId="1646" xr:uid="{00000000-0005-0000-0000-00006E060000}"/>
    <cellStyle name="Fixed 11 2" xfId="5053" xr:uid="{00000000-0005-0000-0000-0000BD130000}"/>
    <cellStyle name="Fixed 12" xfId="1647" xr:uid="{00000000-0005-0000-0000-00006F060000}"/>
    <cellStyle name="Fixed 13" xfId="1648" xr:uid="{00000000-0005-0000-0000-000070060000}"/>
    <cellStyle name="Fixed 2" xfId="1649" xr:uid="{00000000-0005-0000-0000-000071060000}"/>
    <cellStyle name="Fixed 2 2" xfId="1650" xr:uid="{00000000-0005-0000-0000-000072060000}"/>
    <cellStyle name="Fixed 2 2 2" xfId="5054" xr:uid="{00000000-0005-0000-0000-0000BE130000}"/>
    <cellStyle name="Fixed 2 3" xfId="1651" xr:uid="{00000000-0005-0000-0000-000073060000}"/>
    <cellStyle name="Fixed 2 3 2" xfId="5055" xr:uid="{00000000-0005-0000-0000-0000BF130000}"/>
    <cellStyle name="Fixed 2 4" xfId="1652" xr:uid="{00000000-0005-0000-0000-000074060000}"/>
    <cellStyle name="Fixed 2 4 2" xfId="5056" xr:uid="{00000000-0005-0000-0000-0000C0130000}"/>
    <cellStyle name="Fixed 2 5" xfId="1653" xr:uid="{00000000-0005-0000-0000-000075060000}"/>
    <cellStyle name="Fixed 2 5 2" xfId="5057" xr:uid="{00000000-0005-0000-0000-0000C1130000}"/>
    <cellStyle name="Fixed 2 6" xfId="1654" xr:uid="{00000000-0005-0000-0000-000076060000}"/>
    <cellStyle name="Fixed 2 6 2" xfId="5058" xr:uid="{00000000-0005-0000-0000-0000C2130000}"/>
    <cellStyle name="Fixed 2 7" xfId="1655" xr:uid="{00000000-0005-0000-0000-000077060000}"/>
    <cellStyle name="Fixed 2 8" xfId="1656" xr:uid="{00000000-0005-0000-0000-000078060000}"/>
    <cellStyle name="Fixed 3" xfId="1657" xr:uid="{00000000-0005-0000-0000-000079060000}"/>
    <cellStyle name="Fixed 3 2" xfId="1658" xr:uid="{00000000-0005-0000-0000-00007A060000}"/>
    <cellStyle name="Fixed 3 2 2" xfId="5059" xr:uid="{00000000-0005-0000-0000-0000C3130000}"/>
    <cellStyle name="Fixed 3 3" xfId="1659" xr:uid="{00000000-0005-0000-0000-00007B060000}"/>
    <cellStyle name="Fixed 3 3 2" xfId="5060" xr:uid="{00000000-0005-0000-0000-0000C4130000}"/>
    <cellStyle name="Fixed 3 4" xfId="1660" xr:uid="{00000000-0005-0000-0000-00007C060000}"/>
    <cellStyle name="Fixed 3 4 2" xfId="5061" xr:uid="{00000000-0005-0000-0000-0000C5130000}"/>
    <cellStyle name="Fixed 3 5" xfId="1661" xr:uid="{00000000-0005-0000-0000-00007D060000}"/>
    <cellStyle name="Fixed 3 5 2" xfId="5062" xr:uid="{00000000-0005-0000-0000-0000C6130000}"/>
    <cellStyle name="Fixed 3 6" xfId="1662" xr:uid="{00000000-0005-0000-0000-00007E060000}"/>
    <cellStyle name="Fixed 3 6 2" xfId="5063" xr:uid="{00000000-0005-0000-0000-0000C7130000}"/>
    <cellStyle name="Fixed 3 7" xfId="1663" xr:uid="{00000000-0005-0000-0000-00007F060000}"/>
    <cellStyle name="Fixed 3 8" xfId="1664" xr:uid="{00000000-0005-0000-0000-000080060000}"/>
    <cellStyle name="Fixed 4" xfId="1665" xr:uid="{00000000-0005-0000-0000-000081060000}"/>
    <cellStyle name="Fixed 4 2" xfId="1666" xr:uid="{00000000-0005-0000-0000-000082060000}"/>
    <cellStyle name="Fixed 4 2 2" xfId="5064" xr:uid="{00000000-0005-0000-0000-0000C8130000}"/>
    <cellStyle name="Fixed 4 3" xfId="1667" xr:uid="{00000000-0005-0000-0000-000083060000}"/>
    <cellStyle name="Fixed 4 3 2" xfId="5065" xr:uid="{00000000-0005-0000-0000-0000C9130000}"/>
    <cellStyle name="Fixed 4 4" xfId="1668" xr:uid="{00000000-0005-0000-0000-000084060000}"/>
    <cellStyle name="Fixed 4 4 2" xfId="5066" xr:uid="{00000000-0005-0000-0000-0000CA130000}"/>
    <cellStyle name="Fixed 4 5" xfId="1669" xr:uid="{00000000-0005-0000-0000-000085060000}"/>
    <cellStyle name="Fixed 4 5 2" xfId="5067" xr:uid="{00000000-0005-0000-0000-0000CB130000}"/>
    <cellStyle name="Fixed 4 6" xfId="1670" xr:uid="{00000000-0005-0000-0000-000086060000}"/>
    <cellStyle name="Fixed 4 6 2" xfId="5068" xr:uid="{00000000-0005-0000-0000-0000CC130000}"/>
    <cellStyle name="Fixed 4 7" xfId="1671" xr:uid="{00000000-0005-0000-0000-000087060000}"/>
    <cellStyle name="Fixed 4 8" xfId="1672" xr:uid="{00000000-0005-0000-0000-000088060000}"/>
    <cellStyle name="Fixed 5" xfId="1673" xr:uid="{00000000-0005-0000-0000-000089060000}"/>
    <cellStyle name="Fixed 5 2" xfId="5069" xr:uid="{00000000-0005-0000-0000-0000CD130000}"/>
    <cellStyle name="Fixed 6" xfId="1674" xr:uid="{00000000-0005-0000-0000-00008A060000}"/>
    <cellStyle name="Fixed 6 2" xfId="5070" xr:uid="{00000000-0005-0000-0000-0000CE130000}"/>
    <cellStyle name="Fixed 7" xfId="1675" xr:uid="{00000000-0005-0000-0000-00008B060000}"/>
    <cellStyle name="Fixed 7 2" xfId="5071" xr:uid="{00000000-0005-0000-0000-0000CF130000}"/>
    <cellStyle name="Fixed 8" xfId="1676" xr:uid="{00000000-0005-0000-0000-00008C060000}"/>
    <cellStyle name="Fixed 8 2" xfId="5072" xr:uid="{00000000-0005-0000-0000-0000D0130000}"/>
    <cellStyle name="Fixed 9" xfId="1677" xr:uid="{00000000-0005-0000-0000-00008D060000}"/>
    <cellStyle name="Fixed 9 2" xfId="5073" xr:uid="{00000000-0005-0000-0000-0000D1130000}"/>
    <cellStyle name="font12" xfId="1678" xr:uid="{00000000-0005-0000-0000-00008E060000}"/>
    <cellStyle name="font12 10" xfId="3412" xr:uid="{00000000-0005-0000-0000-0000540D0000}"/>
    <cellStyle name="font12 2" xfId="1679" xr:uid="{00000000-0005-0000-0000-00008F060000}"/>
    <cellStyle name="font12 2 2" xfId="1680" xr:uid="{00000000-0005-0000-0000-000090060000}"/>
    <cellStyle name="font12 2 3" xfId="1681" xr:uid="{00000000-0005-0000-0000-000091060000}"/>
    <cellStyle name="font12 2 4" xfId="1682" xr:uid="{00000000-0005-0000-0000-000092060000}"/>
    <cellStyle name="font12 2 5" xfId="1683" xr:uid="{00000000-0005-0000-0000-000093060000}"/>
    <cellStyle name="font12 2 6" xfId="1684" xr:uid="{00000000-0005-0000-0000-000094060000}"/>
    <cellStyle name="font12 2 7" xfId="1685" xr:uid="{00000000-0005-0000-0000-000095060000}"/>
    <cellStyle name="font12 2 8" xfId="1686" xr:uid="{00000000-0005-0000-0000-000096060000}"/>
    <cellStyle name="font12 2_ActiFijos" xfId="1687" xr:uid="{00000000-0005-0000-0000-000097060000}"/>
    <cellStyle name="font12 3" xfId="1688" xr:uid="{00000000-0005-0000-0000-000098060000}"/>
    <cellStyle name="font12 3 2" xfId="1689" xr:uid="{00000000-0005-0000-0000-000099060000}"/>
    <cellStyle name="font12 3 3" xfId="1690" xr:uid="{00000000-0005-0000-0000-00009A060000}"/>
    <cellStyle name="font12 3 4" xfId="1691" xr:uid="{00000000-0005-0000-0000-00009B060000}"/>
    <cellStyle name="font12 3 5" xfId="1692" xr:uid="{00000000-0005-0000-0000-00009C060000}"/>
    <cellStyle name="font12 3 6" xfId="1693" xr:uid="{00000000-0005-0000-0000-00009D060000}"/>
    <cellStyle name="font12 3 7" xfId="1694" xr:uid="{00000000-0005-0000-0000-00009E060000}"/>
    <cellStyle name="font12 3 8" xfId="1695" xr:uid="{00000000-0005-0000-0000-00009F060000}"/>
    <cellStyle name="font12 3_ActiFijos" xfId="1696" xr:uid="{00000000-0005-0000-0000-0000A0060000}"/>
    <cellStyle name="font12 4" xfId="1697" xr:uid="{00000000-0005-0000-0000-0000A1060000}"/>
    <cellStyle name="font12 4 2" xfId="1698" xr:uid="{00000000-0005-0000-0000-0000A2060000}"/>
    <cellStyle name="font12 4 3" xfId="1699" xr:uid="{00000000-0005-0000-0000-0000A3060000}"/>
    <cellStyle name="font12 4 4" xfId="1700" xr:uid="{00000000-0005-0000-0000-0000A4060000}"/>
    <cellStyle name="font12 4 5" xfId="1701" xr:uid="{00000000-0005-0000-0000-0000A5060000}"/>
    <cellStyle name="font12 4 6" xfId="1702" xr:uid="{00000000-0005-0000-0000-0000A6060000}"/>
    <cellStyle name="font12 4 7" xfId="1703" xr:uid="{00000000-0005-0000-0000-0000A7060000}"/>
    <cellStyle name="font12 4 8" xfId="1704" xr:uid="{00000000-0005-0000-0000-0000A8060000}"/>
    <cellStyle name="font12 4_ActiFijos" xfId="1705" xr:uid="{00000000-0005-0000-0000-0000A9060000}"/>
    <cellStyle name="font12 5" xfId="3413" xr:uid="{00000000-0005-0000-0000-0000550D0000}"/>
    <cellStyle name="font12 6" xfId="3414" xr:uid="{00000000-0005-0000-0000-0000560D0000}"/>
    <cellStyle name="font12 7" xfId="3415" xr:uid="{00000000-0005-0000-0000-0000570D0000}"/>
    <cellStyle name="font12 8" xfId="3416" xr:uid="{00000000-0005-0000-0000-0000580D0000}"/>
    <cellStyle name="font12 9" xfId="3417" xr:uid="{00000000-0005-0000-0000-0000590D0000}"/>
    <cellStyle name="font12_Bases_Generales" xfId="1706" xr:uid="{00000000-0005-0000-0000-0000AA060000}"/>
    <cellStyle name="font14" xfId="1707" xr:uid="{00000000-0005-0000-0000-0000AB060000}"/>
    <cellStyle name="font14 10" xfId="3418" xr:uid="{00000000-0005-0000-0000-00005A0D0000}"/>
    <cellStyle name="font14 2" xfId="1708" xr:uid="{00000000-0005-0000-0000-0000AC060000}"/>
    <cellStyle name="font14 2 2" xfId="1709" xr:uid="{00000000-0005-0000-0000-0000AD060000}"/>
    <cellStyle name="font14 2 3" xfId="1710" xr:uid="{00000000-0005-0000-0000-0000AE060000}"/>
    <cellStyle name="font14 2 4" xfId="1711" xr:uid="{00000000-0005-0000-0000-0000AF060000}"/>
    <cellStyle name="font14 2 5" xfId="1712" xr:uid="{00000000-0005-0000-0000-0000B0060000}"/>
    <cellStyle name="font14 2 6" xfId="1713" xr:uid="{00000000-0005-0000-0000-0000B1060000}"/>
    <cellStyle name="font14 2 7" xfId="1714" xr:uid="{00000000-0005-0000-0000-0000B2060000}"/>
    <cellStyle name="font14 2 8" xfId="1715" xr:uid="{00000000-0005-0000-0000-0000B3060000}"/>
    <cellStyle name="font14 2_ActiFijos" xfId="1716" xr:uid="{00000000-0005-0000-0000-0000B4060000}"/>
    <cellStyle name="font14 3" xfId="1717" xr:uid="{00000000-0005-0000-0000-0000B5060000}"/>
    <cellStyle name="font14 3 2" xfId="1718" xr:uid="{00000000-0005-0000-0000-0000B6060000}"/>
    <cellStyle name="font14 3 3" xfId="1719" xr:uid="{00000000-0005-0000-0000-0000B7060000}"/>
    <cellStyle name="font14 3 4" xfId="1720" xr:uid="{00000000-0005-0000-0000-0000B8060000}"/>
    <cellStyle name="font14 3 5" xfId="1721" xr:uid="{00000000-0005-0000-0000-0000B9060000}"/>
    <cellStyle name="font14 3 6" xfId="1722" xr:uid="{00000000-0005-0000-0000-0000BA060000}"/>
    <cellStyle name="font14 3 7" xfId="1723" xr:uid="{00000000-0005-0000-0000-0000BB060000}"/>
    <cellStyle name="font14 3 8" xfId="1724" xr:uid="{00000000-0005-0000-0000-0000BC060000}"/>
    <cellStyle name="font14 3_ActiFijos" xfId="1725" xr:uid="{00000000-0005-0000-0000-0000BD060000}"/>
    <cellStyle name="font14 4" xfId="1726" xr:uid="{00000000-0005-0000-0000-0000BE060000}"/>
    <cellStyle name="font14 4 2" xfId="1727" xr:uid="{00000000-0005-0000-0000-0000BF060000}"/>
    <cellStyle name="font14 4 3" xfId="1728" xr:uid="{00000000-0005-0000-0000-0000C0060000}"/>
    <cellStyle name="font14 4 4" xfId="1729" xr:uid="{00000000-0005-0000-0000-0000C1060000}"/>
    <cellStyle name="font14 4 5" xfId="1730" xr:uid="{00000000-0005-0000-0000-0000C2060000}"/>
    <cellStyle name="font14 4 6" xfId="1731" xr:uid="{00000000-0005-0000-0000-0000C3060000}"/>
    <cellStyle name="font14 4 7" xfId="1732" xr:uid="{00000000-0005-0000-0000-0000C4060000}"/>
    <cellStyle name="font14 4 8" xfId="1733" xr:uid="{00000000-0005-0000-0000-0000C5060000}"/>
    <cellStyle name="font14 4_ActiFijos" xfId="1734" xr:uid="{00000000-0005-0000-0000-0000C6060000}"/>
    <cellStyle name="font14 5" xfId="3419" xr:uid="{00000000-0005-0000-0000-00005B0D0000}"/>
    <cellStyle name="font14 6" xfId="3420" xr:uid="{00000000-0005-0000-0000-00005C0D0000}"/>
    <cellStyle name="font14 7" xfId="3421" xr:uid="{00000000-0005-0000-0000-00005D0D0000}"/>
    <cellStyle name="font14 8" xfId="3422" xr:uid="{00000000-0005-0000-0000-00005E0D0000}"/>
    <cellStyle name="font14 9" xfId="3423" xr:uid="{00000000-0005-0000-0000-00005F0D0000}"/>
    <cellStyle name="font14_Bases_Generales" xfId="1735" xr:uid="{00000000-0005-0000-0000-0000C7060000}"/>
    <cellStyle name="Grey" xfId="1736" xr:uid="{00000000-0005-0000-0000-0000C8060000}"/>
    <cellStyle name="Grey 10" xfId="1737" xr:uid="{00000000-0005-0000-0000-0000C9060000}"/>
    <cellStyle name="Grey 11" xfId="1738" xr:uid="{00000000-0005-0000-0000-0000CA060000}"/>
    <cellStyle name="Grey 12" xfId="1739" xr:uid="{00000000-0005-0000-0000-0000CB060000}"/>
    <cellStyle name="Grey 13" xfId="1740" xr:uid="{00000000-0005-0000-0000-0000CC060000}"/>
    <cellStyle name="Grey 2" xfId="1741" xr:uid="{00000000-0005-0000-0000-0000CD060000}"/>
    <cellStyle name="Grey 3" xfId="1742" xr:uid="{00000000-0005-0000-0000-0000CE060000}"/>
    <cellStyle name="Grey 4" xfId="1743" xr:uid="{00000000-0005-0000-0000-0000CF060000}"/>
    <cellStyle name="Grey 5" xfId="1744" xr:uid="{00000000-0005-0000-0000-0000D0060000}"/>
    <cellStyle name="Grey 6" xfId="1745" xr:uid="{00000000-0005-0000-0000-0000D1060000}"/>
    <cellStyle name="Grey 7" xfId="1746" xr:uid="{00000000-0005-0000-0000-0000D2060000}"/>
    <cellStyle name="Grey 8" xfId="1747" xr:uid="{00000000-0005-0000-0000-0000D3060000}"/>
    <cellStyle name="Grey 9" xfId="1748" xr:uid="{00000000-0005-0000-0000-0000D4060000}"/>
    <cellStyle name="Grey_ActiFijos" xfId="1749" xr:uid="{00000000-0005-0000-0000-0000D5060000}"/>
    <cellStyle name="Heading 1" xfId="1750" xr:uid="{00000000-0005-0000-0000-0000D6060000}"/>
    <cellStyle name="Heading 1 2" xfId="1751" xr:uid="{00000000-0005-0000-0000-0000D7060000}"/>
    <cellStyle name="Heading 1 2 2" xfId="1752" xr:uid="{00000000-0005-0000-0000-0000D8060000}"/>
    <cellStyle name="Heading 1 2 3" xfId="1753" xr:uid="{00000000-0005-0000-0000-0000D9060000}"/>
    <cellStyle name="Heading 1 2 4" xfId="1754" xr:uid="{00000000-0005-0000-0000-0000DA060000}"/>
    <cellStyle name="Heading 1 2 5" xfId="1755" xr:uid="{00000000-0005-0000-0000-0000DB060000}"/>
    <cellStyle name="Heading 1 2 6" xfId="1756" xr:uid="{00000000-0005-0000-0000-0000DC060000}"/>
    <cellStyle name="Heading 1 2 7" xfId="1757" xr:uid="{00000000-0005-0000-0000-0000DD060000}"/>
    <cellStyle name="Heading 1 2 8" xfId="1758" xr:uid="{00000000-0005-0000-0000-0000DE060000}"/>
    <cellStyle name="Heading 1 2_ActiFijos" xfId="1759" xr:uid="{00000000-0005-0000-0000-0000DF060000}"/>
    <cellStyle name="Heading 1 3" xfId="1760" xr:uid="{00000000-0005-0000-0000-0000E0060000}"/>
    <cellStyle name="Heading 1 3 2" xfId="1761" xr:uid="{00000000-0005-0000-0000-0000E1060000}"/>
    <cellStyle name="Heading 1 3 3" xfId="1762" xr:uid="{00000000-0005-0000-0000-0000E2060000}"/>
    <cellStyle name="Heading 1 3 4" xfId="1763" xr:uid="{00000000-0005-0000-0000-0000E3060000}"/>
    <cellStyle name="Heading 1 3 5" xfId="1764" xr:uid="{00000000-0005-0000-0000-0000E4060000}"/>
    <cellStyle name="Heading 1 3 6" xfId="1765" xr:uid="{00000000-0005-0000-0000-0000E5060000}"/>
    <cellStyle name="Heading 1 3 7" xfId="1766" xr:uid="{00000000-0005-0000-0000-0000E6060000}"/>
    <cellStyle name="Heading 1 3 8" xfId="1767" xr:uid="{00000000-0005-0000-0000-0000E7060000}"/>
    <cellStyle name="Heading 1 3_ActiFijos" xfId="1768" xr:uid="{00000000-0005-0000-0000-0000E8060000}"/>
    <cellStyle name="Heading 1 4" xfId="1769" xr:uid="{00000000-0005-0000-0000-0000E9060000}"/>
    <cellStyle name="Heading 1 4 2" xfId="1770" xr:uid="{00000000-0005-0000-0000-0000EA060000}"/>
    <cellStyle name="Heading 1 4 3" xfId="1771" xr:uid="{00000000-0005-0000-0000-0000EB060000}"/>
    <cellStyle name="Heading 1 4 4" xfId="1772" xr:uid="{00000000-0005-0000-0000-0000EC060000}"/>
    <cellStyle name="Heading 1 4 5" xfId="1773" xr:uid="{00000000-0005-0000-0000-0000ED060000}"/>
    <cellStyle name="Heading 1 4 6" xfId="1774" xr:uid="{00000000-0005-0000-0000-0000EE060000}"/>
    <cellStyle name="Heading 1 4 7" xfId="1775" xr:uid="{00000000-0005-0000-0000-0000EF060000}"/>
    <cellStyle name="Heading 1 4 8" xfId="1776" xr:uid="{00000000-0005-0000-0000-0000F0060000}"/>
    <cellStyle name="Heading 1 4_ActiFijos" xfId="1777" xr:uid="{00000000-0005-0000-0000-0000F1060000}"/>
    <cellStyle name="Heading 1_Bases_Generales" xfId="1778" xr:uid="{00000000-0005-0000-0000-0000F2060000}"/>
    <cellStyle name="Heading 2" xfId="1779" xr:uid="{00000000-0005-0000-0000-0000F3060000}"/>
    <cellStyle name="Heading 2 2" xfId="1780" xr:uid="{00000000-0005-0000-0000-0000F4060000}"/>
    <cellStyle name="Heading 2 2 2" xfId="1781" xr:uid="{00000000-0005-0000-0000-0000F5060000}"/>
    <cellStyle name="Heading 2 2 3" xfId="1782" xr:uid="{00000000-0005-0000-0000-0000F6060000}"/>
    <cellStyle name="Heading 2 2 4" xfId="1783" xr:uid="{00000000-0005-0000-0000-0000F7060000}"/>
    <cellStyle name="Heading 2 2 5" xfId="1784" xr:uid="{00000000-0005-0000-0000-0000F8060000}"/>
    <cellStyle name="Heading 2 2 6" xfId="1785" xr:uid="{00000000-0005-0000-0000-0000F9060000}"/>
    <cellStyle name="Heading 2 2 7" xfId="1786" xr:uid="{00000000-0005-0000-0000-0000FA060000}"/>
    <cellStyle name="Heading 2 2 8" xfId="1787" xr:uid="{00000000-0005-0000-0000-0000FB060000}"/>
    <cellStyle name="Heading 2 2_ActiFijos" xfId="1788" xr:uid="{00000000-0005-0000-0000-0000FC060000}"/>
    <cellStyle name="Heading 2 3" xfId="1789" xr:uid="{00000000-0005-0000-0000-0000FD060000}"/>
    <cellStyle name="Heading 2 3 2" xfId="1790" xr:uid="{00000000-0005-0000-0000-0000FE060000}"/>
    <cellStyle name="Heading 2 3 3" xfId="1791" xr:uid="{00000000-0005-0000-0000-0000FF060000}"/>
    <cellStyle name="Heading 2 3 4" xfId="1792" xr:uid="{00000000-0005-0000-0000-000000070000}"/>
    <cellStyle name="Heading 2 3 5" xfId="1793" xr:uid="{00000000-0005-0000-0000-000001070000}"/>
    <cellStyle name="Heading 2 3 6" xfId="1794" xr:uid="{00000000-0005-0000-0000-000002070000}"/>
    <cellStyle name="Heading 2 3 7" xfId="1795" xr:uid="{00000000-0005-0000-0000-000003070000}"/>
    <cellStyle name="Heading 2 3 8" xfId="1796" xr:uid="{00000000-0005-0000-0000-000004070000}"/>
    <cellStyle name="Heading 2 3_ActiFijos" xfId="1797" xr:uid="{00000000-0005-0000-0000-000005070000}"/>
    <cellStyle name="Heading 2 4" xfId="1798" xr:uid="{00000000-0005-0000-0000-000006070000}"/>
    <cellStyle name="Heading 2 4 2" xfId="1799" xr:uid="{00000000-0005-0000-0000-000007070000}"/>
    <cellStyle name="Heading 2 4 3" xfId="1800" xr:uid="{00000000-0005-0000-0000-000008070000}"/>
    <cellStyle name="Heading 2 4 4" xfId="1801" xr:uid="{00000000-0005-0000-0000-000009070000}"/>
    <cellStyle name="Heading 2 4 5" xfId="1802" xr:uid="{00000000-0005-0000-0000-00000A070000}"/>
    <cellStyle name="Heading 2 4 6" xfId="1803" xr:uid="{00000000-0005-0000-0000-00000B070000}"/>
    <cellStyle name="Heading 2 4 7" xfId="1804" xr:uid="{00000000-0005-0000-0000-00000C070000}"/>
    <cellStyle name="Heading 2 4 8" xfId="1805" xr:uid="{00000000-0005-0000-0000-00000D070000}"/>
    <cellStyle name="Heading 2 4_ActiFijos" xfId="1806" xr:uid="{00000000-0005-0000-0000-00000E070000}"/>
    <cellStyle name="Heading 2_Bases_Generales" xfId="1807" xr:uid="{00000000-0005-0000-0000-00000F070000}"/>
    <cellStyle name="Heading1" xfId="1808" xr:uid="{00000000-0005-0000-0000-000010070000}"/>
    <cellStyle name="Heading1 2" xfId="1809" xr:uid="{00000000-0005-0000-0000-000011070000}"/>
    <cellStyle name="Heading1 2 2" xfId="1810" xr:uid="{00000000-0005-0000-0000-000012070000}"/>
    <cellStyle name="Heading1 2 3" xfId="1811" xr:uid="{00000000-0005-0000-0000-000013070000}"/>
    <cellStyle name="Heading1 2 4" xfId="1812" xr:uid="{00000000-0005-0000-0000-000014070000}"/>
    <cellStyle name="Heading1 2 5" xfId="1813" xr:uid="{00000000-0005-0000-0000-000015070000}"/>
    <cellStyle name="Heading1 2 6" xfId="1814" xr:uid="{00000000-0005-0000-0000-000016070000}"/>
    <cellStyle name="Heading1 2 7" xfId="1815" xr:uid="{00000000-0005-0000-0000-000017070000}"/>
    <cellStyle name="Heading1 2 8" xfId="1816" xr:uid="{00000000-0005-0000-0000-000018070000}"/>
    <cellStyle name="Heading1 2_ActiFijos" xfId="1817" xr:uid="{00000000-0005-0000-0000-000019070000}"/>
    <cellStyle name="Heading1 3" xfId="1818" xr:uid="{00000000-0005-0000-0000-00001A070000}"/>
    <cellStyle name="Heading1 3 2" xfId="1819" xr:uid="{00000000-0005-0000-0000-00001B070000}"/>
    <cellStyle name="Heading1 3 3" xfId="1820" xr:uid="{00000000-0005-0000-0000-00001C070000}"/>
    <cellStyle name="Heading1 3 4" xfId="1821" xr:uid="{00000000-0005-0000-0000-00001D070000}"/>
    <cellStyle name="Heading1 3 5" xfId="1822" xr:uid="{00000000-0005-0000-0000-00001E070000}"/>
    <cellStyle name="Heading1 3 6" xfId="1823" xr:uid="{00000000-0005-0000-0000-00001F070000}"/>
    <cellStyle name="Heading1 3 7" xfId="1824" xr:uid="{00000000-0005-0000-0000-000020070000}"/>
    <cellStyle name="Heading1 3 8" xfId="1825" xr:uid="{00000000-0005-0000-0000-000021070000}"/>
    <cellStyle name="Heading1 3_ActiFijos" xfId="1826" xr:uid="{00000000-0005-0000-0000-000022070000}"/>
    <cellStyle name="Heading1 4" xfId="1827" xr:uid="{00000000-0005-0000-0000-000023070000}"/>
    <cellStyle name="Heading1 4 2" xfId="1828" xr:uid="{00000000-0005-0000-0000-000024070000}"/>
    <cellStyle name="Heading1 4 3" xfId="1829" xr:uid="{00000000-0005-0000-0000-000025070000}"/>
    <cellStyle name="Heading1 4 4" xfId="1830" xr:uid="{00000000-0005-0000-0000-000026070000}"/>
    <cellStyle name="Heading1 4 5" xfId="1831" xr:uid="{00000000-0005-0000-0000-000027070000}"/>
    <cellStyle name="Heading1 4 6" xfId="1832" xr:uid="{00000000-0005-0000-0000-000028070000}"/>
    <cellStyle name="Heading1 4 7" xfId="1833" xr:uid="{00000000-0005-0000-0000-000029070000}"/>
    <cellStyle name="Heading1 4 8" xfId="1834" xr:uid="{00000000-0005-0000-0000-00002A070000}"/>
    <cellStyle name="Heading1 4_ActiFijos" xfId="1835" xr:uid="{00000000-0005-0000-0000-00002B070000}"/>
    <cellStyle name="Heading1_Bases_Generales" xfId="1836" xr:uid="{00000000-0005-0000-0000-00002C070000}"/>
    <cellStyle name="Heading2" xfId="1837" xr:uid="{00000000-0005-0000-0000-00002D070000}"/>
    <cellStyle name="Heading2 2" xfId="1838" xr:uid="{00000000-0005-0000-0000-00002E070000}"/>
    <cellStyle name="Heading2 2 2" xfId="1839" xr:uid="{00000000-0005-0000-0000-00002F070000}"/>
    <cellStyle name="Heading2 2 3" xfId="1840" xr:uid="{00000000-0005-0000-0000-000030070000}"/>
    <cellStyle name="Heading2 2 4" xfId="1841" xr:uid="{00000000-0005-0000-0000-000031070000}"/>
    <cellStyle name="Heading2 2 5" xfId="1842" xr:uid="{00000000-0005-0000-0000-000032070000}"/>
    <cellStyle name="Heading2 2 6" xfId="1843" xr:uid="{00000000-0005-0000-0000-000033070000}"/>
    <cellStyle name="Heading2 2 7" xfId="1844" xr:uid="{00000000-0005-0000-0000-000034070000}"/>
    <cellStyle name="Heading2 2 8" xfId="1845" xr:uid="{00000000-0005-0000-0000-000035070000}"/>
    <cellStyle name="Heading2 2_ActiFijos" xfId="1846" xr:uid="{00000000-0005-0000-0000-000036070000}"/>
    <cellStyle name="Heading2 3" xfId="1847" xr:uid="{00000000-0005-0000-0000-000037070000}"/>
    <cellStyle name="Heading2 3 2" xfId="1848" xr:uid="{00000000-0005-0000-0000-000038070000}"/>
    <cellStyle name="Heading2 3 3" xfId="1849" xr:uid="{00000000-0005-0000-0000-000039070000}"/>
    <cellStyle name="Heading2 3 4" xfId="1850" xr:uid="{00000000-0005-0000-0000-00003A070000}"/>
    <cellStyle name="Heading2 3 5" xfId="1851" xr:uid="{00000000-0005-0000-0000-00003B070000}"/>
    <cellStyle name="Heading2 3 6" xfId="1852" xr:uid="{00000000-0005-0000-0000-00003C070000}"/>
    <cellStyle name="Heading2 3 7" xfId="1853" xr:uid="{00000000-0005-0000-0000-00003D070000}"/>
    <cellStyle name="Heading2 3 8" xfId="1854" xr:uid="{00000000-0005-0000-0000-00003E070000}"/>
    <cellStyle name="Heading2 3_ActiFijos" xfId="1855" xr:uid="{00000000-0005-0000-0000-00003F070000}"/>
    <cellStyle name="Heading2 4" xfId="1856" xr:uid="{00000000-0005-0000-0000-000040070000}"/>
    <cellStyle name="Heading2 4 2" xfId="1857" xr:uid="{00000000-0005-0000-0000-000041070000}"/>
    <cellStyle name="Heading2 4 3" xfId="1858" xr:uid="{00000000-0005-0000-0000-000042070000}"/>
    <cellStyle name="Heading2 4 4" xfId="1859" xr:uid="{00000000-0005-0000-0000-000043070000}"/>
    <cellStyle name="Heading2 4 5" xfId="1860" xr:uid="{00000000-0005-0000-0000-000044070000}"/>
    <cellStyle name="Heading2 4 6" xfId="1861" xr:uid="{00000000-0005-0000-0000-000045070000}"/>
    <cellStyle name="Heading2 4 7" xfId="1862" xr:uid="{00000000-0005-0000-0000-000046070000}"/>
    <cellStyle name="Heading2 4 8" xfId="1863" xr:uid="{00000000-0005-0000-0000-000047070000}"/>
    <cellStyle name="Heading2 4_ActiFijos" xfId="1864" xr:uid="{00000000-0005-0000-0000-000048070000}"/>
    <cellStyle name="Heading2_Bases_Generales" xfId="1865" xr:uid="{00000000-0005-0000-0000-000049070000}"/>
    <cellStyle name="Hide" xfId="1866" xr:uid="{00000000-0005-0000-0000-00004A070000}"/>
    <cellStyle name="Hipervínculo" xfId="8" xr:uid="{00000000-0005-0000-0000-000008000000}"/>
    <cellStyle name="Hipervínculo 2" xfId="3733" xr:uid="{00000000-0005-0000-0000-0000950E0000}"/>
    <cellStyle name="Hyperlink seguido_ISA TOTAL" xfId="1867" xr:uid="{00000000-0005-0000-0000-00004B070000}"/>
    <cellStyle name="Hyperlink_ISA TOTAL" xfId="1868" xr:uid="{00000000-0005-0000-0000-00004C070000}"/>
    <cellStyle name="Incorrecto 10" xfId="5074" xr:uid="{00000000-0005-0000-0000-0000D2130000}"/>
    <cellStyle name="Incorrecto 10 2" xfId="5075" xr:uid="{00000000-0005-0000-0000-0000D3130000}"/>
    <cellStyle name="Incorrecto 11" xfId="5076" xr:uid="{00000000-0005-0000-0000-0000D4130000}"/>
    <cellStyle name="Incorrecto 11 2" xfId="5077" xr:uid="{00000000-0005-0000-0000-0000D5130000}"/>
    <cellStyle name="Incorrecto 12" xfId="5078" xr:uid="{00000000-0005-0000-0000-0000D6130000}"/>
    <cellStyle name="Incorrecto 12 2" xfId="5079" xr:uid="{00000000-0005-0000-0000-0000D7130000}"/>
    <cellStyle name="Incorrecto 13" xfId="5080" xr:uid="{00000000-0005-0000-0000-0000D8130000}"/>
    <cellStyle name="Incorrecto 13 2" xfId="5081" xr:uid="{00000000-0005-0000-0000-0000D9130000}"/>
    <cellStyle name="Incorrecto 14" xfId="5082" xr:uid="{00000000-0005-0000-0000-0000DA130000}"/>
    <cellStyle name="Incorrecto 14 2" xfId="5083" xr:uid="{00000000-0005-0000-0000-0000DB130000}"/>
    <cellStyle name="Incorrecto 15" xfId="5084" xr:uid="{00000000-0005-0000-0000-0000DC130000}"/>
    <cellStyle name="Incorrecto 15 2" xfId="5085" xr:uid="{00000000-0005-0000-0000-0000DD130000}"/>
    <cellStyle name="Incorrecto 16" xfId="5086" xr:uid="{00000000-0005-0000-0000-0000DE130000}"/>
    <cellStyle name="Incorrecto 2" xfId="1869" xr:uid="{00000000-0005-0000-0000-00004D070000}"/>
    <cellStyle name="Incorrecto 2 2" xfId="1870" xr:uid="{00000000-0005-0000-0000-00004E070000}"/>
    <cellStyle name="Incorrecto 2 2 2" xfId="5087" xr:uid="{00000000-0005-0000-0000-0000DF130000}"/>
    <cellStyle name="Incorrecto 2 2 3" xfId="5088" xr:uid="{00000000-0005-0000-0000-0000E0130000}"/>
    <cellStyle name="Incorrecto 2 2 4" xfId="5089" xr:uid="{00000000-0005-0000-0000-0000E1130000}"/>
    <cellStyle name="Incorrecto 2 2 4 2" xfId="5090" xr:uid="{00000000-0005-0000-0000-0000E2130000}"/>
    <cellStyle name="Incorrecto 2 3" xfId="5091" xr:uid="{00000000-0005-0000-0000-0000E3130000}"/>
    <cellStyle name="Incorrecto 2 4" xfId="5092" xr:uid="{00000000-0005-0000-0000-0000E4130000}"/>
    <cellStyle name="Incorrecto 2 4 2" xfId="5093" xr:uid="{00000000-0005-0000-0000-0000E5130000}"/>
    <cellStyle name="Incorrecto 2 5" xfId="5094" xr:uid="{00000000-0005-0000-0000-0000E6130000}"/>
    <cellStyle name="Incorrecto 2_Deuda septiembre_marcos" xfId="1871" xr:uid="{00000000-0005-0000-0000-00004F070000}"/>
    <cellStyle name="Incorrecto 3" xfId="3424" xr:uid="{00000000-0005-0000-0000-0000600D0000}"/>
    <cellStyle name="Incorrecto 3 2" xfId="5095" xr:uid="{00000000-0005-0000-0000-0000E7130000}"/>
    <cellStyle name="Incorrecto 3 3" xfId="5096" xr:uid="{00000000-0005-0000-0000-0000E8130000}"/>
    <cellStyle name="Incorrecto 4" xfId="5097" xr:uid="{00000000-0005-0000-0000-0000E9130000}"/>
    <cellStyle name="Incorrecto 4 2" xfId="5098" xr:uid="{00000000-0005-0000-0000-0000EA130000}"/>
    <cellStyle name="Incorrecto 4 3" xfId="5099" xr:uid="{00000000-0005-0000-0000-0000EB130000}"/>
    <cellStyle name="Incorrecto 5" xfId="5100" xr:uid="{00000000-0005-0000-0000-0000EC130000}"/>
    <cellStyle name="Incorrecto 5 2" xfId="5101" xr:uid="{00000000-0005-0000-0000-0000ED130000}"/>
    <cellStyle name="Incorrecto 6" xfId="5102" xr:uid="{00000000-0005-0000-0000-0000EE130000}"/>
    <cellStyle name="Incorrecto 6 2" xfId="5103" xr:uid="{00000000-0005-0000-0000-0000EF130000}"/>
    <cellStyle name="Incorrecto 7" xfId="5104" xr:uid="{00000000-0005-0000-0000-0000F0130000}"/>
    <cellStyle name="Incorrecto 7 2" xfId="5105" xr:uid="{00000000-0005-0000-0000-0000F1130000}"/>
    <cellStyle name="Incorrecto 8" xfId="5106" xr:uid="{00000000-0005-0000-0000-0000F2130000}"/>
    <cellStyle name="Incorrecto 8 2" xfId="5107" xr:uid="{00000000-0005-0000-0000-0000F3130000}"/>
    <cellStyle name="Incorrecto 9" xfId="5108" xr:uid="{00000000-0005-0000-0000-0000F4130000}"/>
    <cellStyle name="Incorrecto 9 2" xfId="5109" xr:uid="{00000000-0005-0000-0000-0000F5130000}"/>
    <cellStyle name="Incorreto" xfId="1872" xr:uid="{00000000-0005-0000-0000-000050070000}"/>
    <cellStyle name="Indefinido" xfId="1873" xr:uid="{00000000-0005-0000-0000-000051070000}"/>
    <cellStyle name="Input [yellow]" xfId="1874" xr:uid="{00000000-0005-0000-0000-000052070000}"/>
    <cellStyle name="Input [yellow] 10" xfId="1875" xr:uid="{00000000-0005-0000-0000-000053070000}"/>
    <cellStyle name="Input [yellow] 10 2" xfId="1876" xr:uid="{00000000-0005-0000-0000-000054070000}"/>
    <cellStyle name="Input [yellow] 11" xfId="1877" xr:uid="{00000000-0005-0000-0000-000055070000}"/>
    <cellStyle name="Input [yellow] 12" xfId="1878" xr:uid="{00000000-0005-0000-0000-000056070000}"/>
    <cellStyle name="Input [yellow] 13" xfId="1879" xr:uid="{00000000-0005-0000-0000-000057070000}"/>
    <cellStyle name="Input [yellow] 2" xfId="1880" xr:uid="{00000000-0005-0000-0000-000058070000}"/>
    <cellStyle name="Input [yellow] 2 2" xfId="1881" xr:uid="{00000000-0005-0000-0000-000059070000}"/>
    <cellStyle name="Input [yellow] 2 2 2" xfId="1882" xr:uid="{00000000-0005-0000-0000-00005A070000}"/>
    <cellStyle name="Input [yellow] 2 2 3" xfId="1883" xr:uid="{00000000-0005-0000-0000-00005B070000}"/>
    <cellStyle name="Input [yellow] 2 3" xfId="1884" xr:uid="{00000000-0005-0000-0000-00005C070000}"/>
    <cellStyle name="Input [yellow] 2 4" xfId="1885" xr:uid="{00000000-0005-0000-0000-00005D070000}"/>
    <cellStyle name="Input [yellow] 2_PPT Final" xfId="1886" xr:uid="{00000000-0005-0000-0000-00005E070000}"/>
    <cellStyle name="Input [yellow] 3" xfId="1887" xr:uid="{00000000-0005-0000-0000-00005F070000}"/>
    <cellStyle name="Input [yellow] 3 2" xfId="1888" xr:uid="{00000000-0005-0000-0000-000060070000}"/>
    <cellStyle name="Input [yellow] 3 2 2" xfId="1889" xr:uid="{00000000-0005-0000-0000-000061070000}"/>
    <cellStyle name="Input [yellow] 3 2 3" xfId="1890" xr:uid="{00000000-0005-0000-0000-000062070000}"/>
    <cellStyle name="Input [yellow] 3 3" xfId="1891" xr:uid="{00000000-0005-0000-0000-000063070000}"/>
    <cellStyle name="Input [yellow] 3 4" xfId="1892" xr:uid="{00000000-0005-0000-0000-000064070000}"/>
    <cellStyle name="Input [yellow] 3_PPT Final" xfId="1893" xr:uid="{00000000-0005-0000-0000-000065070000}"/>
    <cellStyle name="Input [yellow] 4" xfId="1894" xr:uid="{00000000-0005-0000-0000-000066070000}"/>
    <cellStyle name="Input [yellow] 4 2" xfId="1895" xr:uid="{00000000-0005-0000-0000-000067070000}"/>
    <cellStyle name="Input [yellow] 4 2 2" xfId="1896" xr:uid="{00000000-0005-0000-0000-000068070000}"/>
    <cellStyle name="Input [yellow] 4 2 3" xfId="1897" xr:uid="{00000000-0005-0000-0000-000069070000}"/>
    <cellStyle name="Input [yellow] 4 3" xfId="1898" xr:uid="{00000000-0005-0000-0000-00006A070000}"/>
    <cellStyle name="Input [yellow] 4 4" xfId="1899" xr:uid="{00000000-0005-0000-0000-00006B070000}"/>
    <cellStyle name="Input [yellow] 4_PPT Final" xfId="1900" xr:uid="{00000000-0005-0000-0000-00006C070000}"/>
    <cellStyle name="Input [yellow] 5" xfId="1901" xr:uid="{00000000-0005-0000-0000-00006D070000}"/>
    <cellStyle name="Input [yellow] 5 2" xfId="1902" xr:uid="{00000000-0005-0000-0000-00006E070000}"/>
    <cellStyle name="Input [yellow] 5 2 2" xfId="1903" xr:uid="{00000000-0005-0000-0000-00006F070000}"/>
    <cellStyle name="Input [yellow] 5 2 3" xfId="1904" xr:uid="{00000000-0005-0000-0000-000070070000}"/>
    <cellStyle name="Input [yellow] 5 3" xfId="1905" xr:uid="{00000000-0005-0000-0000-000071070000}"/>
    <cellStyle name="Input [yellow] 5 4" xfId="1906" xr:uid="{00000000-0005-0000-0000-000072070000}"/>
    <cellStyle name="Input [yellow] 5_PPT Final" xfId="1907" xr:uid="{00000000-0005-0000-0000-000073070000}"/>
    <cellStyle name="Input [yellow] 6" xfId="1908" xr:uid="{00000000-0005-0000-0000-000074070000}"/>
    <cellStyle name="Input [yellow] 6 2" xfId="1909" xr:uid="{00000000-0005-0000-0000-000075070000}"/>
    <cellStyle name="Input [yellow] 6 2 2" xfId="1910" xr:uid="{00000000-0005-0000-0000-000076070000}"/>
    <cellStyle name="Input [yellow] 6 2 3" xfId="1911" xr:uid="{00000000-0005-0000-0000-000077070000}"/>
    <cellStyle name="Input [yellow] 6 3" xfId="1912" xr:uid="{00000000-0005-0000-0000-000078070000}"/>
    <cellStyle name="Input [yellow] 6 4" xfId="1913" xr:uid="{00000000-0005-0000-0000-000079070000}"/>
    <cellStyle name="Input [yellow] 6_PPT Final" xfId="1914" xr:uid="{00000000-0005-0000-0000-00007A070000}"/>
    <cellStyle name="Input [yellow] 7" xfId="1915" xr:uid="{00000000-0005-0000-0000-00007B070000}"/>
    <cellStyle name="Input [yellow] 7 2" xfId="1916" xr:uid="{00000000-0005-0000-0000-00007C070000}"/>
    <cellStyle name="Input [yellow] 7 2 2" xfId="1917" xr:uid="{00000000-0005-0000-0000-00007D070000}"/>
    <cellStyle name="Input [yellow] 7 2 3" xfId="1918" xr:uid="{00000000-0005-0000-0000-00007E070000}"/>
    <cellStyle name="Input [yellow] 7 3" xfId="1919" xr:uid="{00000000-0005-0000-0000-00007F070000}"/>
    <cellStyle name="Input [yellow] 7 4" xfId="1920" xr:uid="{00000000-0005-0000-0000-000080070000}"/>
    <cellStyle name="Input [yellow] 7_PPT Final" xfId="1921" xr:uid="{00000000-0005-0000-0000-000081070000}"/>
    <cellStyle name="Input [yellow] 8" xfId="1922" xr:uid="{00000000-0005-0000-0000-000082070000}"/>
    <cellStyle name="Input [yellow] 8 2" xfId="1923" xr:uid="{00000000-0005-0000-0000-000083070000}"/>
    <cellStyle name="Input [yellow] 8 3" xfId="1924" xr:uid="{00000000-0005-0000-0000-000084070000}"/>
    <cellStyle name="Input [yellow] 9" xfId="1925" xr:uid="{00000000-0005-0000-0000-000085070000}"/>
    <cellStyle name="Input [yellow] 9 2" xfId="1926" xr:uid="{00000000-0005-0000-0000-000086070000}"/>
    <cellStyle name="Input [yellow] 9 3" xfId="1927" xr:uid="{00000000-0005-0000-0000-000087070000}"/>
    <cellStyle name="Input [yellow]_ActiFijos" xfId="1928" xr:uid="{00000000-0005-0000-0000-000088070000}"/>
    <cellStyle name="INPUTS" xfId="3425" xr:uid="{00000000-0005-0000-0000-0000610D0000}"/>
    <cellStyle name="lista 3" xfId="1929" xr:uid="{00000000-0005-0000-0000-000089070000}"/>
    <cellStyle name="Millares" xfId="16" xr:uid="{00000000-0005-0000-0000-000010000000}"/>
    <cellStyle name="Millares [0,1]" xfId="1930" xr:uid="{00000000-0005-0000-0000-00008A070000}"/>
    <cellStyle name="Millares [0,1] 2" xfId="1931" xr:uid="{00000000-0005-0000-0000-00008B070000}"/>
    <cellStyle name="Millares [0,1] 2 2" xfId="1932" xr:uid="{00000000-0005-0000-0000-00008C070000}"/>
    <cellStyle name="Millares [0,1] 2 3" xfId="1933" xr:uid="{00000000-0005-0000-0000-00008D070000}"/>
    <cellStyle name="Millares [0,1] 2_Deuda septiembre_marcos" xfId="3426" xr:uid="{00000000-0005-0000-0000-0000620D0000}"/>
    <cellStyle name="Millares [0,1] 3" xfId="1934" xr:uid="{00000000-0005-0000-0000-00008E070000}"/>
    <cellStyle name="Millares [0,1] 3 2" xfId="1935" xr:uid="{00000000-0005-0000-0000-00008F070000}"/>
    <cellStyle name="Millares [0,1] 3_Deuda septiembre_marcos" xfId="3427" xr:uid="{00000000-0005-0000-0000-0000630D0000}"/>
    <cellStyle name="Millares [0,1] 4" xfId="1936" xr:uid="{00000000-0005-0000-0000-000090070000}"/>
    <cellStyle name="Millares [0,1] 5" xfId="1937" xr:uid="{00000000-0005-0000-0000-000091070000}"/>
    <cellStyle name="Millares [0,1] 6" xfId="1938" xr:uid="{00000000-0005-0000-0000-000092070000}"/>
    <cellStyle name="Millares [0,1]_Bases_Generales" xfId="1939" xr:uid="{00000000-0005-0000-0000-000093070000}"/>
    <cellStyle name="Millares [0.0]" xfId="1940" xr:uid="{00000000-0005-0000-0000-000094070000}"/>
    <cellStyle name="Millares [0.0] 2" xfId="1941" xr:uid="{00000000-0005-0000-0000-000095070000}"/>
    <cellStyle name="Millares [0.0] 2 2" xfId="1942" xr:uid="{00000000-0005-0000-0000-000096070000}"/>
    <cellStyle name="Millares [0.0] 2 3" xfId="1943" xr:uid="{00000000-0005-0000-0000-000097070000}"/>
    <cellStyle name="Millares [0.0] 2_Deuda septiembre_marcos" xfId="3428" xr:uid="{00000000-0005-0000-0000-0000640D0000}"/>
    <cellStyle name="Millares [0.0] 3" xfId="1944" xr:uid="{00000000-0005-0000-0000-000098070000}"/>
    <cellStyle name="Millares [0.0] 3 2" xfId="1945" xr:uid="{00000000-0005-0000-0000-000099070000}"/>
    <cellStyle name="Millares [0.0] 3_Deuda septiembre_marcos" xfId="3429" xr:uid="{00000000-0005-0000-0000-0000650D0000}"/>
    <cellStyle name="Millares [0.0] 4" xfId="1946" xr:uid="{00000000-0005-0000-0000-00009A070000}"/>
    <cellStyle name="Millares [0.0] 5" xfId="1947" xr:uid="{00000000-0005-0000-0000-00009B070000}"/>
    <cellStyle name="Millares [0.0] 6" xfId="1948" xr:uid="{00000000-0005-0000-0000-00009C070000}"/>
    <cellStyle name="Millares [0.0]_Bases_Generales" xfId="1949" xr:uid="{00000000-0005-0000-0000-00009D070000}"/>
    <cellStyle name="Millares [0.1]" xfId="1950" xr:uid="{00000000-0005-0000-0000-00009E070000}"/>
    <cellStyle name="Millares [0.1] 2" xfId="1951" xr:uid="{00000000-0005-0000-0000-00009F070000}"/>
    <cellStyle name="Millares [0.1] 2 2" xfId="1952" xr:uid="{00000000-0005-0000-0000-0000A0070000}"/>
    <cellStyle name="Millares [0.1] 2 3" xfId="1953" xr:uid="{00000000-0005-0000-0000-0000A1070000}"/>
    <cellStyle name="Millares [0.1] 2_Deuda septiembre_marcos" xfId="3430" xr:uid="{00000000-0005-0000-0000-0000660D0000}"/>
    <cellStyle name="Millares [0.1] 3" xfId="1954" xr:uid="{00000000-0005-0000-0000-0000A2070000}"/>
    <cellStyle name="Millares [0.1] 3 2" xfId="1955" xr:uid="{00000000-0005-0000-0000-0000A3070000}"/>
    <cellStyle name="Millares [0.1] 3_Deuda septiembre_marcos" xfId="3431" xr:uid="{00000000-0005-0000-0000-0000670D0000}"/>
    <cellStyle name="Millares [0.1] 4" xfId="1956" xr:uid="{00000000-0005-0000-0000-0000A4070000}"/>
    <cellStyle name="Millares [0.1] 5" xfId="1957" xr:uid="{00000000-0005-0000-0000-0000A5070000}"/>
    <cellStyle name="Millares [0.1] 6" xfId="1958" xr:uid="{00000000-0005-0000-0000-0000A6070000}"/>
    <cellStyle name="Millares [0.1]_Bases_Generales" xfId="1959" xr:uid="{00000000-0005-0000-0000-0000A7070000}"/>
    <cellStyle name="Millares [0] 2" xfId="12" xr:uid="{00000000-0005-0000-0000-00000C000000}"/>
    <cellStyle name="Millares [0] 2 10" xfId="7226" xr:uid="{00000000-0005-0000-0000-00003A1C0000}"/>
    <cellStyle name="Millares [0] 2 2" xfId="90" xr:uid="{00000000-0005-0000-0000-00005A000000}"/>
    <cellStyle name="Millares [0] 2 2 2" xfId="6726" xr:uid="{00000000-0005-0000-0000-0000461A0000}"/>
    <cellStyle name="Millares [0] 2 2 2 2" xfId="6892" xr:uid="{00000000-0005-0000-0000-0000EC1A0000}"/>
    <cellStyle name="Millares [0] 2 2 2 2 2" xfId="7215" xr:uid="{00000000-0005-0000-0000-00002F1C0000}"/>
    <cellStyle name="Millares [0] 2 2 2 2 2 2" xfId="7856" xr:uid="{00000000-0005-0000-0000-0000B01E0000}"/>
    <cellStyle name="Millares [0] 2 2 2 2 3" xfId="7533" xr:uid="{00000000-0005-0000-0000-00006D1D0000}"/>
    <cellStyle name="Millares [0] 2 2 2 3" xfId="7049" xr:uid="{00000000-0005-0000-0000-0000891B0000}"/>
    <cellStyle name="Millares [0] 2 2 2 3 2" xfId="7690" xr:uid="{00000000-0005-0000-0000-00000A1E0000}"/>
    <cellStyle name="Millares [0] 2 2 2 4" xfId="7367" xr:uid="{00000000-0005-0000-0000-0000C71C0000}"/>
    <cellStyle name="Millares [0] 2 2 3" xfId="5110" xr:uid="{00000000-0005-0000-0000-0000F6130000}"/>
    <cellStyle name="Millares [0] 2 2 4" xfId="6734" xr:uid="{00000000-0005-0000-0000-00004E1A0000}"/>
    <cellStyle name="Millares [0] 2 2 4 2" xfId="7057" xr:uid="{00000000-0005-0000-0000-0000911B0000}"/>
    <cellStyle name="Millares [0] 2 2 4 2 2" xfId="7698" xr:uid="{00000000-0005-0000-0000-0000121E0000}"/>
    <cellStyle name="Millares [0] 2 2 4 3" xfId="7375" xr:uid="{00000000-0005-0000-0000-0000CF1C0000}"/>
    <cellStyle name="Millares [0] 2 2 5" xfId="6908" xr:uid="{00000000-0005-0000-0000-0000FC1A0000}"/>
    <cellStyle name="Millares [0] 2 2 5 2" xfId="7549" xr:uid="{00000000-0005-0000-0000-00007D1D0000}"/>
    <cellStyle name="Millares [0] 2 2 6" xfId="7228" xr:uid="{00000000-0005-0000-0000-00003C1C0000}"/>
    <cellStyle name="Millares [0] 2 3" xfId="6716" xr:uid="{00000000-0005-0000-0000-00003C1A0000}"/>
    <cellStyle name="Millares [0] 2 3 2" xfId="6883" xr:uid="{00000000-0005-0000-0000-0000E31A0000}"/>
    <cellStyle name="Millares [0] 2 3 2 2" xfId="7206" xr:uid="{00000000-0005-0000-0000-0000261C0000}"/>
    <cellStyle name="Millares [0] 2 3 2 2 2" xfId="7847" xr:uid="{00000000-0005-0000-0000-0000A71E0000}"/>
    <cellStyle name="Millares [0] 2 3 2 3" xfId="7524" xr:uid="{00000000-0005-0000-0000-0000641D0000}"/>
    <cellStyle name="Millares [0] 2 3 3" xfId="7040" xr:uid="{00000000-0005-0000-0000-0000801B0000}"/>
    <cellStyle name="Millares [0] 2 3 3 2" xfId="7681" xr:uid="{00000000-0005-0000-0000-0000011E0000}"/>
    <cellStyle name="Millares [0] 2 3 4" xfId="7358" xr:uid="{00000000-0005-0000-0000-0000BE1C0000}"/>
    <cellStyle name="Millares [0] 2 4" xfId="6723" xr:uid="{00000000-0005-0000-0000-0000431A0000}"/>
    <cellStyle name="Millares [0] 2 4 2" xfId="6889" xr:uid="{00000000-0005-0000-0000-0000E91A0000}"/>
    <cellStyle name="Millares [0] 2 4 2 2" xfId="7212" xr:uid="{00000000-0005-0000-0000-00002C1C0000}"/>
    <cellStyle name="Millares [0] 2 4 2 2 2" xfId="7853" xr:uid="{00000000-0005-0000-0000-0000AD1E0000}"/>
    <cellStyle name="Millares [0] 2 4 2 3" xfId="7530" xr:uid="{00000000-0005-0000-0000-00006A1D0000}"/>
    <cellStyle name="Millares [0] 2 4 3" xfId="7046" xr:uid="{00000000-0005-0000-0000-0000861B0000}"/>
    <cellStyle name="Millares [0] 2 4 3 2" xfId="7687" xr:uid="{00000000-0005-0000-0000-0000071E0000}"/>
    <cellStyle name="Millares [0] 2 4 4" xfId="7364" xr:uid="{00000000-0005-0000-0000-0000C41C0000}"/>
    <cellStyle name="Millares [0] 2 5" xfId="1960" xr:uid="{00000000-0005-0000-0000-0000A8070000}"/>
    <cellStyle name="Millares [0] 2 6" xfId="6732" xr:uid="{00000000-0005-0000-0000-00004C1A0000}"/>
    <cellStyle name="Millares [0] 2 6 2" xfId="7055" xr:uid="{00000000-0005-0000-0000-00008F1B0000}"/>
    <cellStyle name="Millares [0] 2 6 2 2" xfId="7696" xr:uid="{00000000-0005-0000-0000-0000101E0000}"/>
    <cellStyle name="Millares [0] 2 6 3" xfId="7373" xr:uid="{00000000-0005-0000-0000-0000CD1C0000}"/>
    <cellStyle name="Millares [0] 2 7" xfId="6896" xr:uid="{00000000-0005-0000-0000-0000F01A0000}"/>
    <cellStyle name="Millares [0] 2 7 2" xfId="7537" xr:uid="{00000000-0005-0000-0000-0000711D0000}"/>
    <cellStyle name="Millares [0] 2 8" xfId="6906" xr:uid="{00000000-0005-0000-0000-0000FA1A0000}"/>
    <cellStyle name="Millares [0] 2 8 2" xfId="7547" xr:uid="{00000000-0005-0000-0000-00007B1D0000}"/>
    <cellStyle name="Millares [0] 2 9" xfId="87" xr:uid="{00000000-0005-0000-0000-000057000000}"/>
    <cellStyle name="Millares [0] 3" xfId="85" xr:uid="{00000000-0005-0000-0000-000055000000}"/>
    <cellStyle name="Millares [0] 3 2" xfId="6721" xr:uid="{00000000-0005-0000-0000-0000411A0000}"/>
    <cellStyle name="Millares [0] 3 2 2" xfId="6887" xr:uid="{00000000-0005-0000-0000-0000E71A0000}"/>
    <cellStyle name="Millares [0] 3 2 2 2" xfId="7210" xr:uid="{00000000-0005-0000-0000-00002A1C0000}"/>
    <cellStyle name="Millares [0] 3 2 2 2 2" xfId="7851" xr:uid="{00000000-0005-0000-0000-0000AB1E0000}"/>
    <cellStyle name="Millares [0] 3 2 2 3" xfId="7528" xr:uid="{00000000-0005-0000-0000-0000681D0000}"/>
    <cellStyle name="Millares [0] 3 2 3" xfId="7044" xr:uid="{00000000-0005-0000-0000-0000841B0000}"/>
    <cellStyle name="Millares [0] 3 2 3 2" xfId="7685" xr:uid="{00000000-0005-0000-0000-0000051E0000}"/>
    <cellStyle name="Millares [0] 3 2 4" xfId="7362" xr:uid="{00000000-0005-0000-0000-0000C21C0000}"/>
    <cellStyle name="Millares [0] 3 3" xfId="6714" xr:uid="{00000000-0005-0000-0000-00003A1A0000}"/>
    <cellStyle name="Millares [0] 3 3 2" xfId="6881" xr:uid="{00000000-0005-0000-0000-0000E11A0000}"/>
    <cellStyle name="Millares [0] 3 3 2 2" xfId="7204" xr:uid="{00000000-0005-0000-0000-0000241C0000}"/>
    <cellStyle name="Millares [0] 3 3 2 2 2" xfId="7845" xr:uid="{00000000-0005-0000-0000-0000A51E0000}"/>
    <cellStyle name="Millares [0] 3 3 2 3" xfId="7522" xr:uid="{00000000-0005-0000-0000-0000621D0000}"/>
    <cellStyle name="Millares [0] 3 3 3" xfId="7038" xr:uid="{00000000-0005-0000-0000-00007E1B0000}"/>
    <cellStyle name="Millares [0] 3 3 3 2" xfId="7679" xr:uid="{00000000-0005-0000-0000-0000FF1D0000}"/>
    <cellStyle name="Millares [0] 3 3 4" xfId="7356" xr:uid="{00000000-0005-0000-0000-0000BC1C0000}"/>
    <cellStyle name="Millares [0] 3 4" xfId="6730" xr:uid="{00000000-0005-0000-0000-00004A1A0000}"/>
    <cellStyle name="Millares [0] 3 4 2" xfId="7053" xr:uid="{00000000-0005-0000-0000-00008D1B0000}"/>
    <cellStyle name="Millares [0] 3 4 2 2" xfId="7694" xr:uid="{00000000-0005-0000-0000-00000E1E0000}"/>
    <cellStyle name="Millares [0] 3 4 3" xfId="7371" xr:uid="{00000000-0005-0000-0000-0000CB1C0000}"/>
    <cellStyle name="Millares [0] 3 5" xfId="6904" xr:uid="{00000000-0005-0000-0000-0000F81A0000}"/>
    <cellStyle name="Millares [0] 3 5 2" xfId="7545" xr:uid="{00000000-0005-0000-0000-0000791D0000}"/>
    <cellStyle name="Millares [0] 3 6" xfId="7224" xr:uid="{00000000-0005-0000-0000-0000381C0000}"/>
    <cellStyle name="Millares [0] 4" xfId="89" xr:uid="{00000000-0005-0000-0000-000059000000}"/>
    <cellStyle name="Millares [0] 4 2" xfId="6725" xr:uid="{00000000-0005-0000-0000-0000451A0000}"/>
    <cellStyle name="Millares [0] 4 2 2" xfId="6891" xr:uid="{00000000-0005-0000-0000-0000EB1A0000}"/>
    <cellStyle name="Millares [0] 4 2 2 2" xfId="7214" xr:uid="{00000000-0005-0000-0000-00002E1C0000}"/>
    <cellStyle name="Millares [0] 4 2 2 2 2" xfId="7855" xr:uid="{00000000-0005-0000-0000-0000AF1E0000}"/>
    <cellStyle name="Millares [0] 4 2 2 3" xfId="7532" xr:uid="{00000000-0005-0000-0000-00006C1D0000}"/>
    <cellStyle name="Millares [0] 4 2 3" xfId="7048" xr:uid="{00000000-0005-0000-0000-0000881B0000}"/>
    <cellStyle name="Millares [0] 4 2 3 2" xfId="7689" xr:uid="{00000000-0005-0000-0000-0000091E0000}"/>
    <cellStyle name="Millares [0] 4 2 4" xfId="7366" xr:uid="{00000000-0005-0000-0000-0000C61C0000}"/>
    <cellStyle name="Millares [0] 4 3" xfId="6733" xr:uid="{00000000-0005-0000-0000-00004D1A0000}"/>
    <cellStyle name="Millares [0] 4 3 2" xfId="7056" xr:uid="{00000000-0005-0000-0000-0000901B0000}"/>
    <cellStyle name="Millares [0] 4 3 2 2" xfId="7697" xr:uid="{00000000-0005-0000-0000-0000111E0000}"/>
    <cellStyle name="Millares [0] 4 3 3" xfId="7374" xr:uid="{00000000-0005-0000-0000-0000CE1C0000}"/>
    <cellStyle name="Millares [0] 4 4" xfId="6907" xr:uid="{00000000-0005-0000-0000-0000FB1A0000}"/>
    <cellStyle name="Millares [0] 4 4 2" xfId="7548" xr:uid="{00000000-0005-0000-0000-00007C1D0000}"/>
    <cellStyle name="Millares [0] 4 5" xfId="7227" xr:uid="{00000000-0005-0000-0000-00003B1C0000}"/>
    <cellStyle name="Millares [0] 5" xfId="6705" xr:uid="{00000000-0005-0000-0000-0000311A0000}"/>
    <cellStyle name="Millares [0] 5 2" xfId="6874" xr:uid="{00000000-0005-0000-0000-0000DA1A0000}"/>
    <cellStyle name="Millares [0] 5 2 2" xfId="7197" xr:uid="{00000000-0005-0000-0000-00001D1C0000}"/>
    <cellStyle name="Millares [0] 5 2 2 2" xfId="7838" xr:uid="{00000000-0005-0000-0000-00009E1E0000}"/>
    <cellStyle name="Millares [0] 5 2 3" xfId="7515" xr:uid="{00000000-0005-0000-0000-00005B1D0000}"/>
    <cellStyle name="Millares [0] 5 3" xfId="7031" xr:uid="{00000000-0005-0000-0000-0000771B0000}"/>
    <cellStyle name="Millares [0] 5 3 2" xfId="7672" xr:uid="{00000000-0005-0000-0000-0000F81D0000}"/>
    <cellStyle name="Millares [0] 5 4" xfId="7349" xr:uid="{00000000-0005-0000-0000-0000B51C0000}"/>
    <cellStyle name="Millares [0] 6" xfId="6897" xr:uid="{00000000-0005-0000-0000-0000F11A0000}"/>
    <cellStyle name="Millares [0] 6 2" xfId="7538" xr:uid="{00000000-0005-0000-0000-0000721D0000}"/>
    <cellStyle name="Millares [0] 7" xfId="25" xr:uid="{00000000-0005-0000-0000-000019000000}"/>
    <cellStyle name="Millares [1]" xfId="1961" xr:uid="{00000000-0005-0000-0000-0000A9070000}"/>
    <cellStyle name="Millares [1] 2" xfId="1962" xr:uid="{00000000-0005-0000-0000-0000AA070000}"/>
    <cellStyle name="Millares [1] 2 2" xfId="1963" xr:uid="{00000000-0005-0000-0000-0000AB070000}"/>
    <cellStyle name="Millares [1] 2 3" xfId="1964" xr:uid="{00000000-0005-0000-0000-0000AC070000}"/>
    <cellStyle name="Millares [1] 3" xfId="1965" xr:uid="{00000000-0005-0000-0000-0000AD070000}"/>
    <cellStyle name="Millares [1] 3 2" xfId="1966" xr:uid="{00000000-0005-0000-0000-0000AE070000}"/>
    <cellStyle name="Millares [1] 4" xfId="1967" xr:uid="{00000000-0005-0000-0000-0000AF070000}"/>
    <cellStyle name="Millares [1] 4 2" xfId="1968" xr:uid="{00000000-0005-0000-0000-0000B0070000}"/>
    <cellStyle name="Millares [1] 5" xfId="1969" xr:uid="{00000000-0005-0000-0000-0000B1070000}"/>
    <cellStyle name="Millares [1] 6" xfId="1970" xr:uid="{00000000-0005-0000-0000-0000B2070000}"/>
    <cellStyle name="Millares [1]_Cuadros Excel  kilometros 2008" xfId="1971" xr:uid="{00000000-0005-0000-0000-0000B3070000}"/>
    <cellStyle name="Millares [2]" xfId="1972" xr:uid="{00000000-0005-0000-0000-0000B4070000}"/>
    <cellStyle name="Millares [2] 2" xfId="1973" xr:uid="{00000000-0005-0000-0000-0000B5070000}"/>
    <cellStyle name="Millares [2] 2 2" xfId="1974" xr:uid="{00000000-0005-0000-0000-0000B6070000}"/>
    <cellStyle name="Millares [2] 2 3" xfId="1975" xr:uid="{00000000-0005-0000-0000-0000B7070000}"/>
    <cellStyle name="Millares [2] 2_Deuda septiembre_marcos" xfId="3432" xr:uid="{00000000-0005-0000-0000-0000680D0000}"/>
    <cellStyle name="Millares [2] 3" xfId="1976" xr:uid="{00000000-0005-0000-0000-0000B8070000}"/>
    <cellStyle name="Millares [2] 3 2" xfId="1977" xr:uid="{00000000-0005-0000-0000-0000B9070000}"/>
    <cellStyle name="Millares [2] 3_Deuda septiembre_marcos" xfId="3433" xr:uid="{00000000-0005-0000-0000-0000690D0000}"/>
    <cellStyle name="Millares [2] 4" xfId="1978" xr:uid="{00000000-0005-0000-0000-0000BA070000}"/>
    <cellStyle name="Millares [2] 5" xfId="1979" xr:uid="{00000000-0005-0000-0000-0000BB070000}"/>
    <cellStyle name="Millares [2] 6" xfId="1980" xr:uid="{00000000-0005-0000-0000-0000BC070000}"/>
    <cellStyle name="Millares [2]_Bases_Generales" xfId="1981" xr:uid="{00000000-0005-0000-0000-0000BD070000}"/>
    <cellStyle name="Millares [3]" xfId="1982" xr:uid="{00000000-0005-0000-0000-0000BE070000}"/>
    <cellStyle name="Millares [3] 2" xfId="1983" xr:uid="{00000000-0005-0000-0000-0000BF070000}"/>
    <cellStyle name="Millares [3] 2 2" xfId="1984" xr:uid="{00000000-0005-0000-0000-0000C0070000}"/>
    <cellStyle name="Millares [3] 2 3" xfId="1985" xr:uid="{00000000-0005-0000-0000-0000C1070000}"/>
    <cellStyle name="Millares [3] 2_Deuda septiembre_marcos" xfId="3434" xr:uid="{00000000-0005-0000-0000-00006A0D0000}"/>
    <cellStyle name="Millares [3] 3" xfId="1986" xr:uid="{00000000-0005-0000-0000-0000C2070000}"/>
    <cellStyle name="Millares [3] 3 2" xfId="1987" xr:uid="{00000000-0005-0000-0000-0000C3070000}"/>
    <cellStyle name="Millares [3] 3_Deuda septiembre_marcos" xfId="3435" xr:uid="{00000000-0005-0000-0000-00006B0D0000}"/>
    <cellStyle name="Millares [3] 4" xfId="1988" xr:uid="{00000000-0005-0000-0000-0000C4070000}"/>
    <cellStyle name="Millares [3] 5" xfId="1989" xr:uid="{00000000-0005-0000-0000-0000C5070000}"/>
    <cellStyle name="Millares [3] 6" xfId="1990" xr:uid="{00000000-0005-0000-0000-0000C6070000}"/>
    <cellStyle name="Millares [3]_Bases_Generales" xfId="1991" xr:uid="{00000000-0005-0000-0000-0000C7070000}"/>
    <cellStyle name="Millares 10" xfId="26" xr:uid="{00000000-0005-0000-0000-00001A000000}"/>
    <cellStyle name="Millares 10 2" xfId="3742" xr:uid="{00000000-0005-0000-0000-00009E0E0000}"/>
    <cellStyle name="Millares 11" xfId="1992" xr:uid="{00000000-0005-0000-0000-0000C8070000}"/>
    <cellStyle name="Millares 11 2" xfId="3789" xr:uid="{00000000-0005-0000-0000-0000CD0E0000}"/>
    <cellStyle name="Millares 11 2 2" xfId="6783" xr:uid="{00000000-0005-0000-0000-00007F1A0000}"/>
    <cellStyle name="Millares 11 2 2 2" xfId="7106" xr:uid="{00000000-0005-0000-0000-0000C21B0000}"/>
    <cellStyle name="Millares 11 2 2 2 2" xfId="7747" xr:uid="{00000000-0005-0000-0000-0000431E0000}"/>
    <cellStyle name="Millares 11 2 2 3" xfId="7424" xr:uid="{00000000-0005-0000-0000-0000001D0000}"/>
    <cellStyle name="Millares 11 2 3" xfId="6942" xr:uid="{00000000-0005-0000-0000-00001E1B0000}"/>
    <cellStyle name="Millares 11 2 3 2" xfId="7583" xr:uid="{00000000-0005-0000-0000-00009F1D0000}"/>
    <cellStyle name="Millares 11 2 4" xfId="7262" xr:uid="{00000000-0005-0000-0000-00005E1C0000}"/>
    <cellStyle name="Millares 11 3" xfId="6742" xr:uid="{00000000-0005-0000-0000-0000561A0000}"/>
    <cellStyle name="Millares 11 3 2" xfId="7065" xr:uid="{00000000-0005-0000-0000-0000991B0000}"/>
    <cellStyle name="Millares 11 3 2 2" xfId="7706" xr:uid="{00000000-0005-0000-0000-00001A1E0000}"/>
    <cellStyle name="Millares 11 3 3" xfId="7383" xr:uid="{00000000-0005-0000-0000-0000D71C0000}"/>
    <cellStyle name="Millares 11 4" xfId="6911" xr:uid="{00000000-0005-0000-0000-0000FF1A0000}"/>
    <cellStyle name="Millares 11 4 2" xfId="7552" xr:uid="{00000000-0005-0000-0000-0000801D0000}"/>
    <cellStyle name="Millares 11 5" xfId="7231" xr:uid="{00000000-0005-0000-0000-00003F1C0000}"/>
    <cellStyle name="Millares 12" xfId="5111" xr:uid="{00000000-0005-0000-0000-0000F7130000}"/>
    <cellStyle name="Millares 12 2" xfId="5112" xr:uid="{00000000-0005-0000-0000-0000F8130000}"/>
    <cellStyle name="Millares 12 2 2" xfId="6816" xr:uid="{00000000-0005-0000-0000-0000A01A0000}"/>
    <cellStyle name="Millares 12 2 2 2" xfId="7139" xr:uid="{00000000-0005-0000-0000-0000E31B0000}"/>
    <cellStyle name="Millares 12 2 2 2 2" xfId="7780" xr:uid="{00000000-0005-0000-0000-0000641E0000}"/>
    <cellStyle name="Millares 12 2 2 3" xfId="7457" xr:uid="{00000000-0005-0000-0000-0000211D0000}"/>
    <cellStyle name="Millares 12 2 3" xfId="6975" xr:uid="{00000000-0005-0000-0000-00003F1B0000}"/>
    <cellStyle name="Millares 12 2 3 2" xfId="7616" xr:uid="{00000000-0005-0000-0000-0000C01D0000}"/>
    <cellStyle name="Millares 12 2 4" xfId="7293" xr:uid="{00000000-0005-0000-0000-00007D1C0000}"/>
    <cellStyle name="Millares 13" xfId="5113" xr:uid="{00000000-0005-0000-0000-0000F9130000}"/>
    <cellStyle name="Millares 13 2" xfId="5114" xr:uid="{00000000-0005-0000-0000-0000FA130000}"/>
    <cellStyle name="Millares 13 2 2" xfId="6818" xr:uid="{00000000-0005-0000-0000-0000A21A0000}"/>
    <cellStyle name="Millares 13 2 2 2" xfId="7141" xr:uid="{00000000-0005-0000-0000-0000E51B0000}"/>
    <cellStyle name="Millares 13 2 2 2 2" xfId="7782" xr:uid="{00000000-0005-0000-0000-0000661E0000}"/>
    <cellStyle name="Millares 13 2 2 3" xfId="7459" xr:uid="{00000000-0005-0000-0000-0000231D0000}"/>
    <cellStyle name="Millares 13 2 3" xfId="6977" xr:uid="{00000000-0005-0000-0000-0000411B0000}"/>
    <cellStyle name="Millares 13 2 3 2" xfId="7618" xr:uid="{00000000-0005-0000-0000-0000C21D0000}"/>
    <cellStyle name="Millares 13 2 4" xfId="7295" xr:uid="{00000000-0005-0000-0000-00007F1C0000}"/>
    <cellStyle name="Millares 13 3" xfId="6702" xr:uid="{00000000-0005-0000-0000-00002E1A0000}"/>
    <cellStyle name="Millares 13 3 2" xfId="6870" xr:uid="{00000000-0005-0000-0000-0000D61A0000}"/>
    <cellStyle name="Millares 13 3 2 2" xfId="7193" xr:uid="{00000000-0005-0000-0000-0000191C0000}"/>
    <cellStyle name="Millares 13 3 2 2 2" xfId="7834" xr:uid="{00000000-0005-0000-0000-00009A1E0000}"/>
    <cellStyle name="Millares 13 3 2 3" xfId="7511" xr:uid="{00000000-0005-0000-0000-0000571D0000}"/>
    <cellStyle name="Millares 13 3 3" xfId="7027" xr:uid="{00000000-0005-0000-0000-0000731B0000}"/>
    <cellStyle name="Millares 13 3 3 2" xfId="7668" xr:uid="{00000000-0005-0000-0000-0000F41D0000}"/>
    <cellStyle name="Millares 13 3 4" xfId="7345" xr:uid="{00000000-0005-0000-0000-0000B11C0000}"/>
    <cellStyle name="Millares 13 4" xfId="6817" xr:uid="{00000000-0005-0000-0000-0000A11A0000}"/>
    <cellStyle name="Millares 13 4 2" xfId="7140" xr:uid="{00000000-0005-0000-0000-0000E41B0000}"/>
    <cellStyle name="Millares 13 4 2 2" xfId="7781" xr:uid="{00000000-0005-0000-0000-0000651E0000}"/>
    <cellStyle name="Millares 13 4 3" xfId="7458" xr:uid="{00000000-0005-0000-0000-0000221D0000}"/>
    <cellStyle name="Millares 13 5" xfId="6976" xr:uid="{00000000-0005-0000-0000-0000401B0000}"/>
    <cellStyle name="Millares 13 5 2" xfId="7617" xr:uid="{00000000-0005-0000-0000-0000C11D0000}"/>
    <cellStyle name="Millares 13 6" xfId="7294" xr:uid="{00000000-0005-0000-0000-00007E1C0000}"/>
    <cellStyle name="Millares 14" xfId="5115" xr:uid="{00000000-0005-0000-0000-0000FB130000}"/>
    <cellStyle name="Millares 14 2" xfId="5116" xr:uid="{00000000-0005-0000-0000-0000FC130000}"/>
    <cellStyle name="Millares 14 2 2" xfId="6820" xr:uid="{00000000-0005-0000-0000-0000A41A0000}"/>
    <cellStyle name="Millares 14 2 2 2" xfId="7143" xr:uid="{00000000-0005-0000-0000-0000E71B0000}"/>
    <cellStyle name="Millares 14 2 2 2 2" xfId="7784" xr:uid="{00000000-0005-0000-0000-0000681E0000}"/>
    <cellStyle name="Millares 14 2 2 3" xfId="7461" xr:uid="{00000000-0005-0000-0000-0000251D0000}"/>
    <cellStyle name="Millares 14 2 3" xfId="6979" xr:uid="{00000000-0005-0000-0000-0000431B0000}"/>
    <cellStyle name="Millares 14 2 3 2" xfId="7620" xr:uid="{00000000-0005-0000-0000-0000C41D0000}"/>
    <cellStyle name="Millares 14 2 4" xfId="7297" xr:uid="{00000000-0005-0000-0000-0000811C0000}"/>
    <cellStyle name="Millares 14 3" xfId="6819" xr:uid="{00000000-0005-0000-0000-0000A31A0000}"/>
    <cellStyle name="Millares 14 3 2" xfId="7142" xr:uid="{00000000-0005-0000-0000-0000E61B0000}"/>
    <cellStyle name="Millares 14 3 2 2" xfId="7783" xr:uid="{00000000-0005-0000-0000-0000671E0000}"/>
    <cellStyle name="Millares 14 3 3" xfId="7460" xr:uid="{00000000-0005-0000-0000-0000241D0000}"/>
    <cellStyle name="Millares 14 4" xfId="6978" xr:uid="{00000000-0005-0000-0000-0000421B0000}"/>
    <cellStyle name="Millares 14 4 2" xfId="7619" xr:uid="{00000000-0005-0000-0000-0000C31D0000}"/>
    <cellStyle name="Millares 14 5" xfId="7296" xr:uid="{00000000-0005-0000-0000-0000801C0000}"/>
    <cellStyle name="Millares 15" xfId="5117" xr:uid="{00000000-0005-0000-0000-0000FD130000}"/>
    <cellStyle name="Millares 15 2" xfId="5118" xr:uid="{00000000-0005-0000-0000-0000FE130000}"/>
    <cellStyle name="Millares 15 2 2" xfId="6822" xr:uid="{00000000-0005-0000-0000-0000A61A0000}"/>
    <cellStyle name="Millares 15 2 2 2" xfId="7145" xr:uid="{00000000-0005-0000-0000-0000E91B0000}"/>
    <cellStyle name="Millares 15 2 2 2 2" xfId="7786" xr:uid="{00000000-0005-0000-0000-00006A1E0000}"/>
    <cellStyle name="Millares 15 2 2 3" xfId="7463" xr:uid="{00000000-0005-0000-0000-0000271D0000}"/>
    <cellStyle name="Millares 15 2 3" xfId="6981" xr:uid="{00000000-0005-0000-0000-0000451B0000}"/>
    <cellStyle name="Millares 15 2 3 2" xfId="7622" xr:uid="{00000000-0005-0000-0000-0000C61D0000}"/>
    <cellStyle name="Millares 15 2 4" xfId="7299" xr:uid="{00000000-0005-0000-0000-0000831C0000}"/>
    <cellStyle name="Millares 15 3" xfId="6821" xr:uid="{00000000-0005-0000-0000-0000A51A0000}"/>
    <cellStyle name="Millares 15 3 2" xfId="7144" xr:uid="{00000000-0005-0000-0000-0000E81B0000}"/>
    <cellStyle name="Millares 15 3 2 2" xfId="7785" xr:uid="{00000000-0005-0000-0000-0000691E0000}"/>
    <cellStyle name="Millares 15 3 3" xfId="7462" xr:uid="{00000000-0005-0000-0000-0000261D0000}"/>
    <cellStyle name="Millares 15 4" xfId="6980" xr:uid="{00000000-0005-0000-0000-0000441B0000}"/>
    <cellStyle name="Millares 15 4 2" xfId="7621" xr:uid="{00000000-0005-0000-0000-0000C51D0000}"/>
    <cellStyle name="Millares 15 5" xfId="7298" xr:uid="{00000000-0005-0000-0000-0000821C0000}"/>
    <cellStyle name="Millares 16" xfId="5119" xr:uid="{00000000-0005-0000-0000-0000FF130000}"/>
    <cellStyle name="Millares 16 2" xfId="5120" xr:uid="{00000000-0005-0000-0000-000000140000}"/>
    <cellStyle name="Millares 16 2 2" xfId="6824" xr:uid="{00000000-0005-0000-0000-0000A81A0000}"/>
    <cellStyle name="Millares 16 2 2 2" xfId="7147" xr:uid="{00000000-0005-0000-0000-0000EB1B0000}"/>
    <cellStyle name="Millares 16 2 2 2 2" xfId="7788" xr:uid="{00000000-0005-0000-0000-00006C1E0000}"/>
    <cellStyle name="Millares 16 2 2 3" xfId="7465" xr:uid="{00000000-0005-0000-0000-0000291D0000}"/>
    <cellStyle name="Millares 16 2 3" xfId="6983" xr:uid="{00000000-0005-0000-0000-0000471B0000}"/>
    <cellStyle name="Millares 16 2 3 2" xfId="7624" xr:uid="{00000000-0005-0000-0000-0000C81D0000}"/>
    <cellStyle name="Millares 16 2 4" xfId="7301" xr:uid="{00000000-0005-0000-0000-0000851C0000}"/>
    <cellStyle name="Millares 16 3" xfId="6823" xr:uid="{00000000-0005-0000-0000-0000A71A0000}"/>
    <cellStyle name="Millares 16 3 2" xfId="7146" xr:uid="{00000000-0005-0000-0000-0000EA1B0000}"/>
    <cellStyle name="Millares 16 3 2 2" xfId="7787" xr:uid="{00000000-0005-0000-0000-00006B1E0000}"/>
    <cellStyle name="Millares 16 3 3" xfId="7464" xr:uid="{00000000-0005-0000-0000-0000281D0000}"/>
    <cellStyle name="Millares 16 4" xfId="6982" xr:uid="{00000000-0005-0000-0000-0000461B0000}"/>
    <cellStyle name="Millares 16 4 2" xfId="7623" xr:uid="{00000000-0005-0000-0000-0000C71D0000}"/>
    <cellStyle name="Millares 16 5" xfId="7300" xr:uid="{00000000-0005-0000-0000-0000841C0000}"/>
    <cellStyle name="Millares 17" xfId="5121" xr:uid="{00000000-0005-0000-0000-000001140000}"/>
    <cellStyle name="Millares 17 2" xfId="5122" xr:uid="{00000000-0005-0000-0000-000002140000}"/>
    <cellStyle name="Millares 17 2 2" xfId="6826" xr:uid="{00000000-0005-0000-0000-0000AA1A0000}"/>
    <cellStyle name="Millares 17 2 2 2" xfId="7149" xr:uid="{00000000-0005-0000-0000-0000ED1B0000}"/>
    <cellStyle name="Millares 17 2 2 2 2" xfId="7790" xr:uid="{00000000-0005-0000-0000-00006E1E0000}"/>
    <cellStyle name="Millares 17 2 2 3" xfId="7467" xr:uid="{00000000-0005-0000-0000-00002B1D0000}"/>
    <cellStyle name="Millares 17 2 3" xfId="6985" xr:uid="{00000000-0005-0000-0000-0000491B0000}"/>
    <cellStyle name="Millares 17 2 3 2" xfId="7626" xr:uid="{00000000-0005-0000-0000-0000CA1D0000}"/>
    <cellStyle name="Millares 17 2 4" xfId="7303" xr:uid="{00000000-0005-0000-0000-0000871C0000}"/>
    <cellStyle name="Millares 17 3" xfId="6825" xr:uid="{00000000-0005-0000-0000-0000A91A0000}"/>
    <cellStyle name="Millares 17 3 2" xfId="7148" xr:uid="{00000000-0005-0000-0000-0000EC1B0000}"/>
    <cellStyle name="Millares 17 3 2 2" xfId="7789" xr:uid="{00000000-0005-0000-0000-00006D1E0000}"/>
    <cellStyle name="Millares 17 3 3" xfId="7466" xr:uid="{00000000-0005-0000-0000-00002A1D0000}"/>
    <cellStyle name="Millares 17 4" xfId="6984" xr:uid="{00000000-0005-0000-0000-0000481B0000}"/>
    <cellStyle name="Millares 17 4 2" xfId="7625" xr:uid="{00000000-0005-0000-0000-0000C91D0000}"/>
    <cellStyle name="Millares 17 5" xfId="7302" xr:uid="{00000000-0005-0000-0000-0000861C0000}"/>
    <cellStyle name="Millares 18" xfId="5123" xr:uid="{00000000-0005-0000-0000-000003140000}"/>
    <cellStyle name="Millares 18 2" xfId="5124" xr:uid="{00000000-0005-0000-0000-000004140000}"/>
    <cellStyle name="Millares 18 2 2" xfId="6828" xr:uid="{00000000-0005-0000-0000-0000AC1A0000}"/>
    <cellStyle name="Millares 18 2 2 2" xfId="7151" xr:uid="{00000000-0005-0000-0000-0000EF1B0000}"/>
    <cellStyle name="Millares 18 2 2 2 2" xfId="7792" xr:uid="{00000000-0005-0000-0000-0000701E0000}"/>
    <cellStyle name="Millares 18 2 2 3" xfId="7469" xr:uid="{00000000-0005-0000-0000-00002D1D0000}"/>
    <cellStyle name="Millares 18 2 3" xfId="6987" xr:uid="{00000000-0005-0000-0000-00004B1B0000}"/>
    <cellStyle name="Millares 18 2 3 2" xfId="7628" xr:uid="{00000000-0005-0000-0000-0000CC1D0000}"/>
    <cellStyle name="Millares 18 2 4" xfId="7305" xr:uid="{00000000-0005-0000-0000-0000891C0000}"/>
    <cellStyle name="Millares 18 3" xfId="6827" xr:uid="{00000000-0005-0000-0000-0000AB1A0000}"/>
    <cellStyle name="Millares 18 3 2" xfId="7150" xr:uid="{00000000-0005-0000-0000-0000EE1B0000}"/>
    <cellStyle name="Millares 18 3 2 2" xfId="7791" xr:uid="{00000000-0005-0000-0000-00006F1E0000}"/>
    <cellStyle name="Millares 18 3 3" xfId="7468" xr:uid="{00000000-0005-0000-0000-00002C1D0000}"/>
    <cellStyle name="Millares 18 4" xfId="6986" xr:uid="{00000000-0005-0000-0000-00004A1B0000}"/>
    <cellStyle name="Millares 18 4 2" xfId="7627" xr:uid="{00000000-0005-0000-0000-0000CB1D0000}"/>
    <cellStyle name="Millares 18 5" xfId="7304" xr:uid="{00000000-0005-0000-0000-0000881C0000}"/>
    <cellStyle name="Millares 19" xfId="5125" xr:uid="{00000000-0005-0000-0000-000005140000}"/>
    <cellStyle name="Millares 19 2" xfId="5126" xr:uid="{00000000-0005-0000-0000-000006140000}"/>
    <cellStyle name="Millares 19 2 2" xfId="6830" xr:uid="{00000000-0005-0000-0000-0000AE1A0000}"/>
    <cellStyle name="Millares 19 2 2 2" xfId="7153" xr:uid="{00000000-0005-0000-0000-0000F11B0000}"/>
    <cellStyle name="Millares 19 2 2 2 2" xfId="7794" xr:uid="{00000000-0005-0000-0000-0000721E0000}"/>
    <cellStyle name="Millares 19 2 2 3" xfId="7471" xr:uid="{00000000-0005-0000-0000-00002F1D0000}"/>
    <cellStyle name="Millares 19 2 3" xfId="6989" xr:uid="{00000000-0005-0000-0000-00004D1B0000}"/>
    <cellStyle name="Millares 19 2 3 2" xfId="7630" xr:uid="{00000000-0005-0000-0000-0000CE1D0000}"/>
    <cellStyle name="Millares 19 2 4" xfId="7307" xr:uid="{00000000-0005-0000-0000-00008B1C0000}"/>
    <cellStyle name="Millares 19 3" xfId="6829" xr:uid="{00000000-0005-0000-0000-0000AD1A0000}"/>
    <cellStyle name="Millares 19 3 2" xfId="7152" xr:uid="{00000000-0005-0000-0000-0000F01B0000}"/>
    <cellStyle name="Millares 19 3 2 2" xfId="7793" xr:uid="{00000000-0005-0000-0000-0000711E0000}"/>
    <cellStyle name="Millares 19 3 3" xfId="7470" xr:uid="{00000000-0005-0000-0000-00002E1D0000}"/>
    <cellStyle name="Millares 19 4" xfId="6988" xr:uid="{00000000-0005-0000-0000-00004C1B0000}"/>
    <cellStyle name="Millares 19 4 2" xfId="7629" xr:uid="{00000000-0005-0000-0000-0000CD1D0000}"/>
    <cellStyle name="Millares 19 5" xfId="7306" xr:uid="{00000000-0005-0000-0000-00008A1C0000}"/>
    <cellStyle name="Millares 2" xfId="6" xr:uid="{00000000-0005-0000-0000-000006000000}"/>
    <cellStyle name="Millares 2 10" xfId="5127" xr:uid="{00000000-0005-0000-0000-000007140000}"/>
    <cellStyle name="Millares 2 11" xfId="6706" xr:uid="{00000000-0005-0000-0000-0000321A0000}"/>
    <cellStyle name="Millares 2 11 2" xfId="6875" xr:uid="{00000000-0005-0000-0000-0000DB1A0000}"/>
    <cellStyle name="Millares 2 11 2 2" xfId="7198" xr:uid="{00000000-0005-0000-0000-00001E1C0000}"/>
    <cellStyle name="Millares 2 11 2 2 2" xfId="7839" xr:uid="{00000000-0005-0000-0000-00009F1E0000}"/>
    <cellStyle name="Millares 2 11 2 3" xfId="7516" xr:uid="{00000000-0005-0000-0000-00005C1D0000}"/>
    <cellStyle name="Millares 2 11 3" xfId="7032" xr:uid="{00000000-0005-0000-0000-0000781B0000}"/>
    <cellStyle name="Millares 2 11 3 2" xfId="7673" xr:uid="{00000000-0005-0000-0000-0000F91D0000}"/>
    <cellStyle name="Millares 2 11 4" xfId="7350" xr:uid="{00000000-0005-0000-0000-0000B61C0000}"/>
    <cellStyle name="Millares 2 12" xfId="6722" xr:uid="{00000000-0005-0000-0000-0000421A0000}"/>
    <cellStyle name="Millares 2 12 2" xfId="6888" xr:uid="{00000000-0005-0000-0000-0000E81A0000}"/>
    <cellStyle name="Millares 2 12 2 2" xfId="7211" xr:uid="{00000000-0005-0000-0000-00002B1C0000}"/>
    <cellStyle name="Millares 2 12 2 2 2" xfId="7852" xr:uid="{00000000-0005-0000-0000-0000AC1E0000}"/>
    <cellStyle name="Millares 2 12 2 3" xfId="7529" xr:uid="{00000000-0005-0000-0000-0000691D0000}"/>
    <cellStyle name="Millares 2 12 3" xfId="7045" xr:uid="{00000000-0005-0000-0000-0000851B0000}"/>
    <cellStyle name="Millares 2 12 3 2" xfId="7686" xr:uid="{00000000-0005-0000-0000-0000061E0000}"/>
    <cellStyle name="Millares 2 12 4" xfId="7363" xr:uid="{00000000-0005-0000-0000-0000C31C0000}"/>
    <cellStyle name="Millares 2 13" xfId="1993" xr:uid="{00000000-0005-0000-0000-0000C9070000}"/>
    <cellStyle name="Millares 2 14" xfId="6731" xr:uid="{00000000-0005-0000-0000-00004B1A0000}"/>
    <cellStyle name="Millares 2 14 2" xfId="7054" xr:uid="{00000000-0005-0000-0000-00008E1B0000}"/>
    <cellStyle name="Millares 2 14 2 2" xfId="7695" xr:uid="{00000000-0005-0000-0000-00000F1E0000}"/>
    <cellStyle name="Millares 2 14 3" xfId="7372" xr:uid="{00000000-0005-0000-0000-0000CC1C0000}"/>
    <cellStyle name="Millares 2 15" xfId="6905" xr:uid="{00000000-0005-0000-0000-0000F91A0000}"/>
    <cellStyle name="Millares 2 15 2" xfId="7546" xr:uid="{00000000-0005-0000-0000-00007A1D0000}"/>
    <cellStyle name="Millares 2 16" xfId="86" xr:uid="{00000000-0005-0000-0000-000056000000}"/>
    <cellStyle name="Millares 2 17" xfId="7225" xr:uid="{00000000-0005-0000-0000-0000391C0000}"/>
    <cellStyle name="Millares 2 18" xfId="7862" xr:uid="{00000000-0005-0000-0000-0000B61E0000}"/>
    <cellStyle name="Millares 2 2" xfId="1994" xr:uid="{00000000-0005-0000-0000-0000CA070000}"/>
    <cellStyle name="Millares 2 2 2" xfId="1995" xr:uid="{00000000-0005-0000-0000-0000CB070000}"/>
    <cellStyle name="Millares 2 2 2 2" xfId="14" xr:uid="{00000000-0005-0000-0000-00000E000000}"/>
    <cellStyle name="Millares 2 2 2 2 2" xfId="5128" xr:uid="{00000000-0005-0000-0000-000008140000}"/>
    <cellStyle name="Millares 2 2 2 3" xfId="5129" xr:uid="{00000000-0005-0000-0000-000009140000}"/>
    <cellStyle name="Millares 2 2 2 4" xfId="5130" xr:uid="{00000000-0005-0000-0000-00000A140000}"/>
    <cellStyle name="Millares 2 2 2 4 2" xfId="5131" xr:uid="{00000000-0005-0000-0000-00000B140000}"/>
    <cellStyle name="Millares 2 2 2 5" xfId="3790" xr:uid="{00000000-0005-0000-0000-0000CE0E0000}"/>
    <cellStyle name="Millares 2 2 3" xfId="5132" xr:uid="{00000000-0005-0000-0000-00000C140000}"/>
    <cellStyle name="Millares 2 2 4" xfId="5133" xr:uid="{00000000-0005-0000-0000-00000D140000}"/>
    <cellStyle name="Millares 2 2 4 2" xfId="5134" xr:uid="{00000000-0005-0000-0000-00000E140000}"/>
    <cellStyle name="Millares 2 2 4 3" xfId="6831" xr:uid="{00000000-0005-0000-0000-0000AF1A0000}"/>
    <cellStyle name="Millares 2 2 4 3 2" xfId="7154" xr:uid="{00000000-0005-0000-0000-0000F21B0000}"/>
    <cellStyle name="Millares 2 2 4 3 2 2" xfId="7795" xr:uid="{00000000-0005-0000-0000-0000731E0000}"/>
    <cellStyle name="Millares 2 2 4 3 3" xfId="7472" xr:uid="{00000000-0005-0000-0000-0000301D0000}"/>
    <cellStyle name="Millares 2 2 4 4" xfId="6990" xr:uid="{00000000-0005-0000-0000-00004E1B0000}"/>
    <cellStyle name="Millares 2 2 4 4 2" xfId="7631" xr:uid="{00000000-0005-0000-0000-0000CF1D0000}"/>
    <cellStyle name="Millares 2 2 4 5" xfId="7308" xr:uid="{00000000-0005-0000-0000-00008C1C0000}"/>
    <cellStyle name="Millares 2 2 5" xfId="5135" xr:uid="{00000000-0005-0000-0000-00000F140000}"/>
    <cellStyle name="Millares 2 2_Deuda septiembre_marcos" xfId="1996" xr:uid="{00000000-0005-0000-0000-0000CC070000}"/>
    <cellStyle name="Millares 2 3" xfId="3739" xr:uid="{00000000-0005-0000-0000-00009B0E0000}"/>
    <cellStyle name="Millares 2 3 2" xfId="5136" xr:uid="{00000000-0005-0000-0000-000010140000}"/>
    <cellStyle name="Millares 2 3 2 2" xfId="6832" xr:uid="{00000000-0005-0000-0000-0000B01A0000}"/>
    <cellStyle name="Millares 2 3 2 2 2" xfId="7155" xr:uid="{00000000-0005-0000-0000-0000F31B0000}"/>
    <cellStyle name="Millares 2 3 2 2 2 2" xfId="7796" xr:uid="{00000000-0005-0000-0000-0000741E0000}"/>
    <cellStyle name="Millares 2 3 2 2 3" xfId="7473" xr:uid="{00000000-0005-0000-0000-0000311D0000}"/>
    <cellStyle name="Millares 2 3 2 3" xfId="6991" xr:uid="{00000000-0005-0000-0000-00004F1B0000}"/>
    <cellStyle name="Millares 2 3 2 3 2" xfId="7632" xr:uid="{00000000-0005-0000-0000-0000D01D0000}"/>
    <cellStyle name="Millares 2 3 2 4" xfId="7309" xr:uid="{00000000-0005-0000-0000-00008D1C0000}"/>
    <cellStyle name="Millares 2 3 3" xfId="3821" xr:uid="{00000000-0005-0000-0000-0000ED0E0000}"/>
    <cellStyle name="Millares 2 3 3 2" xfId="6813" xr:uid="{00000000-0005-0000-0000-00009D1A0000}"/>
    <cellStyle name="Millares 2 3 3 2 2" xfId="7136" xr:uid="{00000000-0005-0000-0000-0000E01B0000}"/>
    <cellStyle name="Millares 2 3 3 2 2 2" xfId="7777" xr:uid="{00000000-0005-0000-0000-0000611E0000}"/>
    <cellStyle name="Millares 2 3 3 2 3" xfId="7454" xr:uid="{00000000-0005-0000-0000-00001E1D0000}"/>
    <cellStyle name="Millares 2 3 3 3" xfId="6972" xr:uid="{00000000-0005-0000-0000-00003C1B0000}"/>
    <cellStyle name="Millares 2 3 3 3 2" xfId="7613" xr:uid="{00000000-0005-0000-0000-0000BD1D0000}"/>
    <cellStyle name="Millares 2 3 3 4" xfId="7292" xr:uid="{00000000-0005-0000-0000-00007C1C0000}"/>
    <cellStyle name="Millares 2 3 4" xfId="6782" xr:uid="{00000000-0005-0000-0000-00007E1A0000}"/>
    <cellStyle name="Millares 2 3 4 2" xfId="7105" xr:uid="{00000000-0005-0000-0000-0000C11B0000}"/>
    <cellStyle name="Millares 2 3 4 2 2" xfId="7746" xr:uid="{00000000-0005-0000-0000-0000421E0000}"/>
    <cellStyle name="Millares 2 3 4 3" xfId="7423" xr:uid="{00000000-0005-0000-0000-0000FF1C0000}"/>
    <cellStyle name="Millares 2 3 5" xfId="6941" xr:uid="{00000000-0005-0000-0000-00001D1B0000}"/>
    <cellStyle name="Millares 2 3 5 2" xfId="7582" xr:uid="{00000000-0005-0000-0000-00009E1D0000}"/>
    <cellStyle name="Millares 2 3 6" xfId="7261" xr:uid="{00000000-0005-0000-0000-00005D1C0000}"/>
    <cellStyle name="Millares 2 4" xfId="5137" xr:uid="{00000000-0005-0000-0000-000011140000}"/>
    <cellStyle name="Millares 2 4 2" xfId="5138" xr:uid="{00000000-0005-0000-0000-000012140000}"/>
    <cellStyle name="Millares 2 4 2 2" xfId="6833" xr:uid="{00000000-0005-0000-0000-0000B11A0000}"/>
    <cellStyle name="Millares 2 4 2 2 2" xfId="7156" xr:uid="{00000000-0005-0000-0000-0000F41B0000}"/>
    <cellStyle name="Millares 2 4 2 2 2 2" xfId="7797" xr:uid="{00000000-0005-0000-0000-0000751E0000}"/>
    <cellStyle name="Millares 2 4 2 2 3" xfId="7474" xr:uid="{00000000-0005-0000-0000-0000321D0000}"/>
    <cellStyle name="Millares 2 4 2 3" xfId="6992" xr:uid="{00000000-0005-0000-0000-0000501B0000}"/>
    <cellStyle name="Millares 2 4 2 3 2" xfId="7633" xr:uid="{00000000-0005-0000-0000-0000D11D0000}"/>
    <cellStyle name="Millares 2 4 2 4" xfId="7310" xr:uid="{00000000-0005-0000-0000-00008E1C0000}"/>
    <cellStyle name="Millares 2 5" xfId="5139" xr:uid="{00000000-0005-0000-0000-000013140000}"/>
    <cellStyle name="Millares 2 6" xfId="5140" xr:uid="{00000000-0005-0000-0000-000014140000}"/>
    <cellStyle name="Millares 2 7" xfId="6715" xr:uid="{00000000-0005-0000-0000-00003B1A0000}"/>
    <cellStyle name="Millares 2 7 2" xfId="6882" xr:uid="{00000000-0005-0000-0000-0000E21A0000}"/>
    <cellStyle name="Millares 2 7 2 2" xfId="7205" xr:uid="{00000000-0005-0000-0000-0000251C0000}"/>
    <cellStyle name="Millares 2 7 2 2 2" xfId="7846" xr:uid="{00000000-0005-0000-0000-0000A61E0000}"/>
    <cellStyle name="Millares 2 7 2 3" xfId="7523" xr:uid="{00000000-0005-0000-0000-0000631D0000}"/>
    <cellStyle name="Millares 2 7 3" xfId="7039" xr:uid="{00000000-0005-0000-0000-00007F1B0000}"/>
    <cellStyle name="Millares 2 7 3 2" xfId="7680" xr:uid="{00000000-0005-0000-0000-0000001E0000}"/>
    <cellStyle name="Millares 2 7 4" xfId="7357" xr:uid="{00000000-0005-0000-0000-0000BD1C0000}"/>
    <cellStyle name="Millares 2 8" xfId="6719" xr:uid="{00000000-0005-0000-0000-00003F1A0000}"/>
    <cellStyle name="Millares 2 8 2" xfId="6885" xr:uid="{00000000-0005-0000-0000-0000E51A0000}"/>
    <cellStyle name="Millares 2 8 2 2" xfId="7208" xr:uid="{00000000-0005-0000-0000-0000281C0000}"/>
    <cellStyle name="Millares 2 8 2 2 2" xfId="7849" xr:uid="{00000000-0005-0000-0000-0000A91E0000}"/>
    <cellStyle name="Millares 2 8 2 3" xfId="7526" xr:uid="{00000000-0005-0000-0000-0000661D0000}"/>
    <cellStyle name="Millares 2 8 3" xfId="7042" xr:uid="{00000000-0005-0000-0000-0000821B0000}"/>
    <cellStyle name="Millares 2 8 3 2" xfId="7683" xr:uid="{00000000-0005-0000-0000-0000031E0000}"/>
    <cellStyle name="Millares 2 8 4" xfId="7360" xr:uid="{00000000-0005-0000-0000-0000C01C0000}"/>
    <cellStyle name="Millares 2 9" xfId="6718" xr:uid="{00000000-0005-0000-0000-00003E1A0000}"/>
    <cellStyle name="Millares 2 9 2" xfId="6884" xr:uid="{00000000-0005-0000-0000-0000E41A0000}"/>
    <cellStyle name="Millares 2 9 2 2" xfId="7207" xr:uid="{00000000-0005-0000-0000-0000271C0000}"/>
    <cellStyle name="Millares 2 9 2 2 2" xfId="7848" xr:uid="{00000000-0005-0000-0000-0000A81E0000}"/>
    <cellStyle name="Millares 2 9 2 3" xfId="7525" xr:uid="{00000000-0005-0000-0000-0000651D0000}"/>
    <cellStyle name="Millares 2 9 3" xfId="7041" xr:uid="{00000000-0005-0000-0000-0000811B0000}"/>
    <cellStyle name="Millares 2 9 3 2" xfId="7682" xr:uid="{00000000-0005-0000-0000-0000021E0000}"/>
    <cellStyle name="Millares 2 9 4" xfId="7359" xr:uid="{00000000-0005-0000-0000-0000BF1C0000}"/>
    <cellStyle name="Millares 2_Deuda septiembre_marcos" xfId="1997" xr:uid="{00000000-0005-0000-0000-0000CD070000}"/>
    <cellStyle name="Millares 20" xfId="5141" xr:uid="{00000000-0005-0000-0000-000015140000}"/>
    <cellStyle name="Millares 20 2" xfId="5142" xr:uid="{00000000-0005-0000-0000-000016140000}"/>
    <cellStyle name="Millares 20 2 2" xfId="6834" xr:uid="{00000000-0005-0000-0000-0000B21A0000}"/>
    <cellStyle name="Millares 20 2 2 2" xfId="7157" xr:uid="{00000000-0005-0000-0000-0000F51B0000}"/>
    <cellStyle name="Millares 20 2 2 2 2" xfId="7798" xr:uid="{00000000-0005-0000-0000-0000761E0000}"/>
    <cellStyle name="Millares 20 2 2 3" xfId="7475" xr:uid="{00000000-0005-0000-0000-0000331D0000}"/>
    <cellStyle name="Millares 20 2 3" xfId="6993" xr:uid="{00000000-0005-0000-0000-0000511B0000}"/>
    <cellStyle name="Millares 20 2 3 2" xfId="7634" xr:uid="{00000000-0005-0000-0000-0000D21D0000}"/>
    <cellStyle name="Millares 20 2 4" xfId="7311" xr:uid="{00000000-0005-0000-0000-00008F1C0000}"/>
    <cellStyle name="Millares 21" xfId="5143" xr:uid="{00000000-0005-0000-0000-000017140000}"/>
    <cellStyle name="Millares 21 2" xfId="5144" xr:uid="{00000000-0005-0000-0000-000018140000}"/>
    <cellStyle name="Millares 21 2 2" xfId="6835" xr:uid="{00000000-0005-0000-0000-0000B31A0000}"/>
    <cellStyle name="Millares 21 2 2 2" xfId="7158" xr:uid="{00000000-0005-0000-0000-0000F61B0000}"/>
    <cellStyle name="Millares 21 2 2 2 2" xfId="7799" xr:uid="{00000000-0005-0000-0000-0000771E0000}"/>
    <cellStyle name="Millares 21 2 2 3" xfId="7476" xr:uid="{00000000-0005-0000-0000-0000341D0000}"/>
    <cellStyle name="Millares 21 2 3" xfId="6994" xr:uid="{00000000-0005-0000-0000-0000521B0000}"/>
    <cellStyle name="Millares 21 2 3 2" xfId="7635" xr:uid="{00000000-0005-0000-0000-0000D31D0000}"/>
    <cellStyle name="Millares 21 2 4" xfId="7312" xr:uid="{00000000-0005-0000-0000-0000901C0000}"/>
    <cellStyle name="Millares 22" xfId="5145" xr:uid="{00000000-0005-0000-0000-000019140000}"/>
    <cellStyle name="Millares 22 2" xfId="23" xr:uid="{00000000-0005-0000-0000-000017000000}"/>
    <cellStyle name="Millares 23" xfId="5146" xr:uid="{00000000-0005-0000-0000-00001A140000}"/>
    <cellStyle name="Millares 23 2" xfId="6836" xr:uid="{00000000-0005-0000-0000-0000B41A0000}"/>
    <cellStyle name="Millares 23 2 2" xfId="7159" xr:uid="{00000000-0005-0000-0000-0000F71B0000}"/>
    <cellStyle name="Millares 23 2 2 2" xfId="7800" xr:uid="{00000000-0005-0000-0000-0000781E0000}"/>
    <cellStyle name="Millares 23 2 3" xfId="7477" xr:uid="{00000000-0005-0000-0000-0000351D0000}"/>
    <cellStyle name="Millares 23 3" xfId="6995" xr:uid="{00000000-0005-0000-0000-0000531B0000}"/>
    <cellStyle name="Millares 23 3 2" xfId="7636" xr:uid="{00000000-0005-0000-0000-0000D41D0000}"/>
    <cellStyle name="Millares 23 4" xfId="7313" xr:uid="{00000000-0005-0000-0000-0000911C0000}"/>
    <cellStyle name="Millares 24" xfId="5147" xr:uid="{00000000-0005-0000-0000-00001B140000}"/>
    <cellStyle name="Millares 24 2" xfId="6837" xr:uid="{00000000-0005-0000-0000-0000B51A0000}"/>
    <cellStyle name="Millares 24 2 2" xfId="7160" xr:uid="{00000000-0005-0000-0000-0000F81B0000}"/>
    <cellStyle name="Millares 24 2 2 2" xfId="7801" xr:uid="{00000000-0005-0000-0000-0000791E0000}"/>
    <cellStyle name="Millares 24 2 3" xfId="7478" xr:uid="{00000000-0005-0000-0000-0000361D0000}"/>
    <cellStyle name="Millares 24 3" xfId="6996" xr:uid="{00000000-0005-0000-0000-0000541B0000}"/>
    <cellStyle name="Millares 24 3 2" xfId="7637" xr:uid="{00000000-0005-0000-0000-0000D51D0000}"/>
    <cellStyle name="Millares 24 4" xfId="7314" xr:uid="{00000000-0005-0000-0000-0000921C0000}"/>
    <cellStyle name="Millares 25" xfId="5148" xr:uid="{00000000-0005-0000-0000-00001C140000}"/>
    <cellStyle name="Millares 25 2" xfId="6838" xr:uid="{00000000-0005-0000-0000-0000B61A0000}"/>
    <cellStyle name="Millares 25 2 2" xfId="7161" xr:uid="{00000000-0005-0000-0000-0000F91B0000}"/>
    <cellStyle name="Millares 25 2 2 2" xfId="7802" xr:uid="{00000000-0005-0000-0000-00007A1E0000}"/>
    <cellStyle name="Millares 25 2 3" xfId="7479" xr:uid="{00000000-0005-0000-0000-0000371D0000}"/>
    <cellStyle name="Millares 25 3" xfId="6997" xr:uid="{00000000-0005-0000-0000-0000551B0000}"/>
    <cellStyle name="Millares 25 3 2" xfId="7638" xr:uid="{00000000-0005-0000-0000-0000D61D0000}"/>
    <cellStyle name="Millares 25 4" xfId="7315" xr:uid="{00000000-0005-0000-0000-0000931C0000}"/>
    <cellStyle name="Millares 26" xfId="5149" xr:uid="{00000000-0005-0000-0000-00001D140000}"/>
    <cellStyle name="Millares 26 2" xfId="6839" xr:uid="{00000000-0005-0000-0000-0000B71A0000}"/>
    <cellStyle name="Millares 26 2 2" xfId="7162" xr:uid="{00000000-0005-0000-0000-0000FA1B0000}"/>
    <cellStyle name="Millares 26 2 2 2" xfId="7803" xr:uid="{00000000-0005-0000-0000-00007B1E0000}"/>
    <cellStyle name="Millares 26 2 3" xfId="7480" xr:uid="{00000000-0005-0000-0000-0000381D0000}"/>
    <cellStyle name="Millares 26 3" xfId="6998" xr:uid="{00000000-0005-0000-0000-0000561B0000}"/>
    <cellStyle name="Millares 26 3 2" xfId="7639" xr:uid="{00000000-0005-0000-0000-0000D71D0000}"/>
    <cellStyle name="Millares 26 4" xfId="7316" xr:uid="{00000000-0005-0000-0000-0000941C0000}"/>
    <cellStyle name="Millares 27" xfId="5150" xr:uid="{00000000-0005-0000-0000-00001E140000}"/>
    <cellStyle name="Millares 27 2" xfId="6840" xr:uid="{00000000-0005-0000-0000-0000B81A0000}"/>
    <cellStyle name="Millares 27 2 2" xfId="7163" xr:uid="{00000000-0005-0000-0000-0000FB1B0000}"/>
    <cellStyle name="Millares 27 2 2 2" xfId="7804" xr:uid="{00000000-0005-0000-0000-00007C1E0000}"/>
    <cellStyle name="Millares 27 2 3" xfId="7481" xr:uid="{00000000-0005-0000-0000-0000391D0000}"/>
    <cellStyle name="Millares 27 3" xfId="6999" xr:uid="{00000000-0005-0000-0000-0000571B0000}"/>
    <cellStyle name="Millares 27 3 2" xfId="7640" xr:uid="{00000000-0005-0000-0000-0000D81D0000}"/>
    <cellStyle name="Millares 27 4" xfId="7317" xr:uid="{00000000-0005-0000-0000-0000951C0000}"/>
    <cellStyle name="Millares 28" xfId="10" xr:uid="{00000000-0005-0000-0000-00000A000000}"/>
    <cellStyle name="Millares 28 2" xfId="6841" xr:uid="{00000000-0005-0000-0000-0000B91A0000}"/>
    <cellStyle name="Millares 28 2 2" xfId="7164" xr:uid="{00000000-0005-0000-0000-0000FC1B0000}"/>
    <cellStyle name="Millares 28 2 2 2" xfId="7805" xr:uid="{00000000-0005-0000-0000-00007D1E0000}"/>
    <cellStyle name="Millares 28 2 3" xfId="7482" xr:uid="{00000000-0005-0000-0000-00003A1D0000}"/>
    <cellStyle name="Millares 28 3" xfId="7000" xr:uid="{00000000-0005-0000-0000-0000581B0000}"/>
    <cellStyle name="Millares 28 3 2" xfId="7641" xr:uid="{00000000-0005-0000-0000-0000D91D0000}"/>
    <cellStyle name="Millares 28 4" xfId="5151" xr:uid="{00000000-0005-0000-0000-00001F140000}"/>
    <cellStyle name="Millares 28 5" xfId="7318" xr:uid="{00000000-0005-0000-0000-0000961C0000}"/>
    <cellStyle name="Millares 29" xfId="5152" xr:uid="{00000000-0005-0000-0000-000020140000}"/>
    <cellStyle name="Millares 29 2" xfId="5153" xr:uid="{00000000-0005-0000-0000-000021140000}"/>
    <cellStyle name="Millares 29 2 2" xfId="6843" xr:uid="{00000000-0005-0000-0000-0000BB1A0000}"/>
    <cellStyle name="Millares 29 2 2 2" xfId="7166" xr:uid="{00000000-0005-0000-0000-0000FE1B0000}"/>
    <cellStyle name="Millares 29 2 2 2 2" xfId="7807" xr:uid="{00000000-0005-0000-0000-00007F1E0000}"/>
    <cellStyle name="Millares 29 2 2 3" xfId="7484" xr:uid="{00000000-0005-0000-0000-00003C1D0000}"/>
    <cellStyle name="Millares 29 2 3" xfId="7002" xr:uid="{00000000-0005-0000-0000-00005A1B0000}"/>
    <cellStyle name="Millares 29 2 3 2" xfId="7643" xr:uid="{00000000-0005-0000-0000-0000DB1D0000}"/>
    <cellStyle name="Millares 29 2 4" xfId="7320" xr:uid="{00000000-0005-0000-0000-0000981C0000}"/>
    <cellStyle name="Millares 29 3" xfId="6842" xr:uid="{00000000-0005-0000-0000-0000BA1A0000}"/>
    <cellStyle name="Millares 29 3 2" xfId="7165" xr:uid="{00000000-0005-0000-0000-0000FD1B0000}"/>
    <cellStyle name="Millares 29 3 2 2" xfId="7806" xr:uid="{00000000-0005-0000-0000-00007E1E0000}"/>
    <cellStyle name="Millares 29 3 3" xfId="7483" xr:uid="{00000000-0005-0000-0000-00003B1D0000}"/>
    <cellStyle name="Millares 29 4" xfId="7001" xr:uid="{00000000-0005-0000-0000-0000591B0000}"/>
    <cellStyle name="Millares 29 4 2" xfId="7642" xr:uid="{00000000-0005-0000-0000-0000DA1D0000}"/>
    <cellStyle name="Millares 29 5" xfId="7319" xr:uid="{00000000-0005-0000-0000-0000971C0000}"/>
    <cellStyle name="Millares 3" xfId="20" xr:uid="{00000000-0005-0000-0000-000014000000}"/>
    <cellStyle name="Millares 3 10" xfId="3791" xr:uid="{00000000-0005-0000-0000-0000CF0E0000}"/>
    <cellStyle name="Millares 3 10 2" xfId="6784" xr:uid="{00000000-0005-0000-0000-0000801A0000}"/>
    <cellStyle name="Millares 3 10 2 2" xfId="7107" xr:uid="{00000000-0005-0000-0000-0000C31B0000}"/>
    <cellStyle name="Millares 3 10 2 2 2" xfId="7748" xr:uid="{00000000-0005-0000-0000-0000441E0000}"/>
    <cellStyle name="Millares 3 10 2 3" xfId="7425" xr:uid="{00000000-0005-0000-0000-0000011D0000}"/>
    <cellStyle name="Millares 3 10 3" xfId="6943" xr:uid="{00000000-0005-0000-0000-00001F1B0000}"/>
    <cellStyle name="Millares 3 10 3 2" xfId="7584" xr:uid="{00000000-0005-0000-0000-0000A01D0000}"/>
    <cellStyle name="Millares 3 10 4" xfId="7263" xr:uid="{00000000-0005-0000-0000-00005F1C0000}"/>
    <cellStyle name="Millares 3 11" xfId="6743" xr:uid="{00000000-0005-0000-0000-0000571A0000}"/>
    <cellStyle name="Millares 3 11 2" xfId="7066" xr:uid="{00000000-0005-0000-0000-00009A1B0000}"/>
    <cellStyle name="Millares 3 11 2 2" xfId="7707" xr:uid="{00000000-0005-0000-0000-00001B1E0000}"/>
    <cellStyle name="Millares 3 11 3" xfId="7384" xr:uid="{00000000-0005-0000-0000-0000D81C0000}"/>
    <cellStyle name="Millares 3 12" xfId="6912" xr:uid="{00000000-0005-0000-0000-0000001B0000}"/>
    <cellStyle name="Millares 3 12 2" xfId="7553" xr:uid="{00000000-0005-0000-0000-0000811D0000}"/>
    <cellStyle name="Millares 3 13" xfId="1998" xr:uid="{00000000-0005-0000-0000-0000CE070000}"/>
    <cellStyle name="Millares 3 14" xfId="7232" xr:uid="{00000000-0005-0000-0000-0000401C0000}"/>
    <cellStyle name="Millares 3 2" xfId="1999" xr:uid="{00000000-0005-0000-0000-0000CF070000}"/>
    <cellStyle name="Millares 3 2 10" xfId="7233" xr:uid="{00000000-0005-0000-0000-0000411C0000}"/>
    <cellStyle name="Millares 3 2 2" xfId="5154" xr:uid="{00000000-0005-0000-0000-000022140000}"/>
    <cellStyle name="Millares 3 2 2 2" xfId="6844" xr:uid="{00000000-0005-0000-0000-0000BC1A0000}"/>
    <cellStyle name="Millares 3 2 2 2 2" xfId="7167" xr:uid="{00000000-0005-0000-0000-0000FF1B0000}"/>
    <cellStyle name="Millares 3 2 2 2 2 2" xfId="7808" xr:uid="{00000000-0005-0000-0000-0000801E0000}"/>
    <cellStyle name="Millares 3 2 2 2 3" xfId="7485" xr:uid="{00000000-0005-0000-0000-00003D1D0000}"/>
    <cellStyle name="Millares 3 2 2 3" xfId="7003" xr:uid="{00000000-0005-0000-0000-00005B1B0000}"/>
    <cellStyle name="Millares 3 2 2 3 2" xfId="7644" xr:uid="{00000000-0005-0000-0000-0000DC1D0000}"/>
    <cellStyle name="Millares 3 2 2 4" xfId="7321" xr:uid="{00000000-0005-0000-0000-0000991C0000}"/>
    <cellStyle name="Millares 3 2 3" xfId="5155" xr:uid="{00000000-0005-0000-0000-000023140000}"/>
    <cellStyle name="Millares 3 2 3 2" xfId="6845" xr:uid="{00000000-0005-0000-0000-0000BD1A0000}"/>
    <cellStyle name="Millares 3 2 3 2 2" xfId="7168" xr:uid="{00000000-0005-0000-0000-0000001C0000}"/>
    <cellStyle name="Millares 3 2 3 2 2 2" xfId="7809" xr:uid="{00000000-0005-0000-0000-0000811E0000}"/>
    <cellStyle name="Millares 3 2 3 2 3" xfId="7486" xr:uid="{00000000-0005-0000-0000-00003E1D0000}"/>
    <cellStyle name="Millares 3 2 3 3" xfId="7004" xr:uid="{00000000-0005-0000-0000-00005C1B0000}"/>
    <cellStyle name="Millares 3 2 3 3 2" xfId="7645" xr:uid="{00000000-0005-0000-0000-0000DD1D0000}"/>
    <cellStyle name="Millares 3 2 3 4" xfId="7322" xr:uid="{00000000-0005-0000-0000-00009A1C0000}"/>
    <cellStyle name="Millares 3 2 4" xfId="5156" xr:uid="{00000000-0005-0000-0000-000024140000}"/>
    <cellStyle name="Millares 3 2 5" xfId="5157" xr:uid="{00000000-0005-0000-0000-000025140000}"/>
    <cellStyle name="Millares 3 2 5 2" xfId="6846" xr:uid="{00000000-0005-0000-0000-0000BE1A0000}"/>
    <cellStyle name="Millares 3 2 5 2 2" xfId="7169" xr:uid="{00000000-0005-0000-0000-0000011C0000}"/>
    <cellStyle name="Millares 3 2 5 2 2 2" xfId="7810" xr:uid="{00000000-0005-0000-0000-0000821E0000}"/>
    <cellStyle name="Millares 3 2 5 2 3" xfId="7487" xr:uid="{00000000-0005-0000-0000-00003F1D0000}"/>
    <cellStyle name="Millares 3 2 5 3" xfId="7005" xr:uid="{00000000-0005-0000-0000-00005D1B0000}"/>
    <cellStyle name="Millares 3 2 5 3 2" xfId="7646" xr:uid="{00000000-0005-0000-0000-0000DE1D0000}"/>
    <cellStyle name="Millares 3 2 5 4" xfId="7323" xr:uid="{00000000-0005-0000-0000-00009B1C0000}"/>
    <cellStyle name="Millares 3 2 6" xfId="5158" xr:uid="{00000000-0005-0000-0000-000026140000}"/>
    <cellStyle name="Millares 3 2 6 2" xfId="6847" xr:uid="{00000000-0005-0000-0000-0000BF1A0000}"/>
    <cellStyle name="Millares 3 2 6 2 2" xfId="7170" xr:uid="{00000000-0005-0000-0000-0000021C0000}"/>
    <cellStyle name="Millares 3 2 6 2 2 2" xfId="7811" xr:uid="{00000000-0005-0000-0000-0000831E0000}"/>
    <cellStyle name="Millares 3 2 6 2 3" xfId="7488" xr:uid="{00000000-0005-0000-0000-0000401D0000}"/>
    <cellStyle name="Millares 3 2 6 3" xfId="7006" xr:uid="{00000000-0005-0000-0000-00005E1B0000}"/>
    <cellStyle name="Millares 3 2 6 3 2" xfId="7647" xr:uid="{00000000-0005-0000-0000-0000DF1D0000}"/>
    <cellStyle name="Millares 3 2 6 4" xfId="7324" xr:uid="{00000000-0005-0000-0000-00009C1C0000}"/>
    <cellStyle name="Millares 3 2 7" xfId="3792" xr:uid="{00000000-0005-0000-0000-0000D00E0000}"/>
    <cellStyle name="Millares 3 2 7 2" xfId="6785" xr:uid="{00000000-0005-0000-0000-0000811A0000}"/>
    <cellStyle name="Millares 3 2 7 2 2" xfId="7108" xr:uid="{00000000-0005-0000-0000-0000C41B0000}"/>
    <cellStyle name="Millares 3 2 7 2 2 2" xfId="7749" xr:uid="{00000000-0005-0000-0000-0000451E0000}"/>
    <cellStyle name="Millares 3 2 7 2 3" xfId="7426" xr:uid="{00000000-0005-0000-0000-0000021D0000}"/>
    <cellStyle name="Millares 3 2 7 3" xfId="6944" xr:uid="{00000000-0005-0000-0000-0000201B0000}"/>
    <cellStyle name="Millares 3 2 7 3 2" xfId="7585" xr:uid="{00000000-0005-0000-0000-0000A11D0000}"/>
    <cellStyle name="Millares 3 2 7 4" xfId="7264" xr:uid="{00000000-0005-0000-0000-0000601C0000}"/>
    <cellStyle name="Millares 3 2 8" xfId="6744" xr:uid="{00000000-0005-0000-0000-0000581A0000}"/>
    <cellStyle name="Millares 3 2 8 2" xfId="7067" xr:uid="{00000000-0005-0000-0000-00009B1B0000}"/>
    <cellStyle name="Millares 3 2 8 2 2" xfId="7708" xr:uid="{00000000-0005-0000-0000-00001C1E0000}"/>
    <cellStyle name="Millares 3 2 8 3" xfId="7385" xr:uid="{00000000-0005-0000-0000-0000D91C0000}"/>
    <cellStyle name="Millares 3 2 9" xfId="6913" xr:uid="{00000000-0005-0000-0000-0000011B0000}"/>
    <cellStyle name="Millares 3 2 9 2" xfId="7554" xr:uid="{00000000-0005-0000-0000-0000821D0000}"/>
    <cellStyle name="Millares 3 3" xfId="2000" xr:uid="{00000000-0005-0000-0000-0000D0070000}"/>
    <cellStyle name="Millares 3 3 2" xfId="5159" xr:uid="{00000000-0005-0000-0000-000027140000}"/>
    <cellStyle name="Millares 3 3 2 2" xfId="6848" xr:uid="{00000000-0005-0000-0000-0000C01A0000}"/>
    <cellStyle name="Millares 3 3 2 2 2" xfId="7171" xr:uid="{00000000-0005-0000-0000-0000031C0000}"/>
    <cellStyle name="Millares 3 3 2 2 2 2" xfId="7812" xr:uid="{00000000-0005-0000-0000-0000841E0000}"/>
    <cellStyle name="Millares 3 3 2 2 3" xfId="7489" xr:uid="{00000000-0005-0000-0000-0000411D0000}"/>
    <cellStyle name="Millares 3 3 2 3" xfId="7007" xr:uid="{00000000-0005-0000-0000-00005F1B0000}"/>
    <cellStyle name="Millares 3 3 2 3 2" xfId="7648" xr:uid="{00000000-0005-0000-0000-0000E01D0000}"/>
    <cellStyle name="Millares 3 3 2 4" xfId="7325" xr:uid="{00000000-0005-0000-0000-00009D1C0000}"/>
    <cellStyle name="Millares 3 3 3" xfId="5160" xr:uid="{00000000-0005-0000-0000-000028140000}"/>
    <cellStyle name="Millares 3 3 3 2" xfId="6849" xr:uid="{00000000-0005-0000-0000-0000C11A0000}"/>
    <cellStyle name="Millares 3 3 3 2 2" xfId="7172" xr:uid="{00000000-0005-0000-0000-0000041C0000}"/>
    <cellStyle name="Millares 3 3 3 2 2 2" xfId="7813" xr:uid="{00000000-0005-0000-0000-0000851E0000}"/>
    <cellStyle name="Millares 3 3 3 2 3" xfId="7490" xr:uid="{00000000-0005-0000-0000-0000421D0000}"/>
    <cellStyle name="Millares 3 3 3 3" xfId="7008" xr:uid="{00000000-0005-0000-0000-0000601B0000}"/>
    <cellStyle name="Millares 3 3 3 3 2" xfId="7649" xr:uid="{00000000-0005-0000-0000-0000E11D0000}"/>
    <cellStyle name="Millares 3 3 3 4" xfId="7326" xr:uid="{00000000-0005-0000-0000-00009E1C0000}"/>
    <cellStyle name="Millares 3 3 4" xfId="3793" xr:uid="{00000000-0005-0000-0000-0000D10E0000}"/>
    <cellStyle name="Millares 3 3 4 2" xfId="6786" xr:uid="{00000000-0005-0000-0000-0000821A0000}"/>
    <cellStyle name="Millares 3 3 4 2 2" xfId="7109" xr:uid="{00000000-0005-0000-0000-0000C51B0000}"/>
    <cellStyle name="Millares 3 3 4 2 2 2" xfId="7750" xr:uid="{00000000-0005-0000-0000-0000461E0000}"/>
    <cellStyle name="Millares 3 3 4 2 3" xfId="7427" xr:uid="{00000000-0005-0000-0000-0000031D0000}"/>
    <cellStyle name="Millares 3 3 4 3" xfId="6945" xr:uid="{00000000-0005-0000-0000-0000211B0000}"/>
    <cellStyle name="Millares 3 3 4 3 2" xfId="7586" xr:uid="{00000000-0005-0000-0000-0000A21D0000}"/>
    <cellStyle name="Millares 3 3 4 4" xfId="7265" xr:uid="{00000000-0005-0000-0000-0000611C0000}"/>
    <cellStyle name="Millares 3 3 5" xfId="6745" xr:uid="{00000000-0005-0000-0000-0000591A0000}"/>
    <cellStyle name="Millares 3 3 5 2" xfId="7068" xr:uid="{00000000-0005-0000-0000-00009C1B0000}"/>
    <cellStyle name="Millares 3 3 5 2 2" xfId="7709" xr:uid="{00000000-0005-0000-0000-00001D1E0000}"/>
    <cellStyle name="Millares 3 3 5 3" xfId="7386" xr:uid="{00000000-0005-0000-0000-0000DA1C0000}"/>
    <cellStyle name="Millares 3 3 6" xfId="6914" xr:uid="{00000000-0005-0000-0000-0000021B0000}"/>
    <cellStyle name="Millares 3 3 6 2" xfId="7555" xr:uid="{00000000-0005-0000-0000-0000831D0000}"/>
    <cellStyle name="Millares 3 3 7" xfId="7234" xr:uid="{00000000-0005-0000-0000-0000421C0000}"/>
    <cellStyle name="Millares 3 4" xfId="2001" xr:uid="{00000000-0005-0000-0000-0000D1070000}"/>
    <cellStyle name="Millares 3 4 2" xfId="5161" xr:uid="{00000000-0005-0000-0000-000029140000}"/>
    <cellStyle name="Millares 3 4 2 2" xfId="6850" xr:uid="{00000000-0005-0000-0000-0000C21A0000}"/>
    <cellStyle name="Millares 3 4 2 2 2" xfId="7173" xr:uid="{00000000-0005-0000-0000-0000051C0000}"/>
    <cellStyle name="Millares 3 4 2 2 2 2" xfId="7814" xr:uid="{00000000-0005-0000-0000-0000861E0000}"/>
    <cellStyle name="Millares 3 4 2 2 3" xfId="7491" xr:uid="{00000000-0005-0000-0000-0000431D0000}"/>
    <cellStyle name="Millares 3 4 2 3" xfId="7009" xr:uid="{00000000-0005-0000-0000-0000611B0000}"/>
    <cellStyle name="Millares 3 4 2 3 2" xfId="7650" xr:uid="{00000000-0005-0000-0000-0000E21D0000}"/>
    <cellStyle name="Millares 3 4 2 4" xfId="7327" xr:uid="{00000000-0005-0000-0000-00009F1C0000}"/>
    <cellStyle name="Millares 3 4 3" xfId="5162" xr:uid="{00000000-0005-0000-0000-00002A140000}"/>
    <cellStyle name="Millares 3 4 3 2" xfId="6851" xr:uid="{00000000-0005-0000-0000-0000C31A0000}"/>
    <cellStyle name="Millares 3 4 3 2 2" xfId="7174" xr:uid="{00000000-0005-0000-0000-0000061C0000}"/>
    <cellStyle name="Millares 3 4 3 2 2 2" xfId="7815" xr:uid="{00000000-0005-0000-0000-0000871E0000}"/>
    <cellStyle name="Millares 3 4 3 2 3" xfId="7492" xr:uid="{00000000-0005-0000-0000-0000441D0000}"/>
    <cellStyle name="Millares 3 4 3 3" xfId="7010" xr:uid="{00000000-0005-0000-0000-0000621B0000}"/>
    <cellStyle name="Millares 3 4 3 3 2" xfId="7651" xr:uid="{00000000-0005-0000-0000-0000E31D0000}"/>
    <cellStyle name="Millares 3 4 3 4" xfId="7328" xr:uid="{00000000-0005-0000-0000-0000A01C0000}"/>
    <cellStyle name="Millares 3 4 4" xfId="3794" xr:uid="{00000000-0005-0000-0000-0000D20E0000}"/>
    <cellStyle name="Millares 3 4 4 2" xfId="6787" xr:uid="{00000000-0005-0000-0000-0000831A0000}"/>
    <cellStyle name="Millares 3 4 4 2 2" xfId="7110" xr:uid="{00000000-0005-0000-0000-0000C61B0000}"/>
    <cellStyle name="Millares 3 4 4 2 2 2" xfId="7751" xr:uid="{00000000-0005-0000-0000-0000471E0000}"/>
    <cellStyle name="Millares 3 4 4 2 3" xfId="7428" xr:uid="{00000000-0005-0000-0000-0000041D0000}"/>
    <cellStyle name="Millares 3 4 4 3" xfId="6946" xr:uid="{00000000-0005-0000-0000-0000221B0000}"/>
    <cellStyle name="Millares 3 4 4 3 2" xfId="7587" xr:uid="{00000000-0005-0000-0000-0000A31D0000}"/>
    <cellStyle name="Millares 3 4 4 4" xfId="7266" xr:uid="{00000000-0005-0000-0000-0000621C0000}"/>
    <cellStyle name="Millares 3 4 5" xfId="6746" xr:uid="{00000000-0005-0000-0000-00005A1A0000}"/>
    <cellStyle name="Millares 3 4 5 2" xfId="7069" xr:uid="{00000000-0005-0000-0000-00009D1B0000}"/>
    <cellStyle name="Millares 3 4 5 2 2" xfId="7710" xr:uid="{00000000-0005-0000-0000-00001E1E0000}"/>
    <cellStyle name="Millares 3 4 5 3" xfId="7387" xr:uid="{00000000-0005-0000-0000-0000DB1C0000}"/>
    <cellStyle name="Millares 3 4 6" xfId="6915" xr:uid="{00000000-0005-0000-0000-0000031B0000}"/>
    <cellStyle name="Millares 3 4 6 2" xfId="7556" xr:uid="{00000000-0005-0000-0000-0000841D0000}"/>
    <cellStyle name="Millares 3 4 7" xfId="7235" xr:uid="{00000000-0005-0000-0000-0000431C0000}"/>
    <cellStyle name="Millares 3 5" xfId="2002" xr:uid="{00000000-0005-0000-0000-0000D2070000}"/>
    <cellStyle name="Millares 3 5 2" xfId="5163" xr:uid="{00000000-0005-0000-0000-00002B140000}"/>
    <cellStyle name="Millares 3 5 2 2" xfId="6852" xr:uid="{00000000-0005-0000-0000-0000C41A0000}"/>
    <cellStyle name="Millares 3 5 2 2 2" xfId="7175" xr:uid="{00000000-0005-0000-0000-0000071C0000}"/>
    <cellStyle name="Millares 3 5 2 2 2 2" xfId="7816" xr:uid="{00000000-0005-0000-0000-0000881E0000}"/>
    <cellStyle name="Millares 3 5 2 2 3" xfId="7493" xr:uid="{00000000-0005-0000-0000-0000451D0000}"/>
    <cellStyle name="Millares 3 5 2 3" xfId="7011" xr:uid="{00000000-0005-0000-0000-0000631B0000}"/>
    <cellStyle name="Millares 3 5 2 3 2" xfId="7652" xr:uid="{00000000-0005-0000-0000-0000E41D0000}"/>
    <cellStyle name="Millares 3 5 2 4" xfId="7329" xr:uid="{00000000-0005-0000-0000-0000A11C0000}"/>
    <cellStyle name="Millares 3 5 3" xfId="5164" xr:uid="{00000000-0005-0000-0000-00002C140000}"/>
    <cellStyle name="Millares 3 5 3 2" xfId="6853" xr:uid="{00000000-0005-0000-0000-0000C51A0000}"/>
    <cellStyle name="Millares 3 5 3 2 2" xfId="7176" xr:uid="{00000000-0005-0000-0000-0000081C0000}"/>
    <cellStyle name="Millares 3 5 3 2 2 2" xfId="7817" xr:uid="{00000000-0005-0000-0000-0000891E0000}"/>
    <cellStyle name="Millares 3 5 3 2 3" xfId="7494" xr:uid="{00000000-0005-0000-0000-0000461D0000}"/>
    <cellStyle name="Millares 3 5 3 3" xfId="7012" xr:uid="{00000000-0005-0000-0000-0000641B0000}"/>
    <cellStyle name="Millares 3 5 3 3 2" xfId="7653" xr:uid="{00000000-0005-0000-0000-0000E51D0000}"/>
    <cellStyle name="Millares 3 5 3 4" xfId="7330" xr:uid="{00000000-0005-0000-0000-0000A21C0000}"/>
    <cellStyle name="Millares 3 5 4" xfId="3795" xr:uid="{00000000-0005-0000-0000-0000D30E0000}"/>
    <cellStyle name="Millares 3 5 4 2" xfId="6788" xr:uid="{00000000-0005-0000-0000-0000841A0000}"/>
    <cellStyle name="Millares 3 5 4 2 2" xfId="7111" xr:uid="{00000000-0005-0000-0000-0000C71B0000}"/>
    <cellStyle name="Millares 3 5 4 2 2 2" xfId="7752" xr:uid="{00000000-0005-0000-0000-0000481E0000}"/>
    <cellStyle name="Millares 3 5 4 2 3" xfId="7429" xr:uid="{00000000-0005-0000-0000-0000051D0000}"/>
    <cellStyle name="Millares 3 5 4 3" xfId="6947" xr:uid="{00000000-0005-0000-0000-0000231B0000}"/>
    <cellStyle name="Millares 3 5 4 3 2" xfId="7588" xr:uid="{00000000-0005-0000-0000-0000A41D0000}"/>
    <cellStyle name="Millares 3 5 4 4" xfId="7267" xr:uid="{00000000-0005-0000-0000-0000631C0000}"/>
    <cellStyle name="Millares 3 5 5" xfId="6747" xr:uid="{00000000-0005-0000-0000-00005B1A0000}"/>
    <cellStyle name="Millares 3 5 5 2" xfId="7070" xr:uid="{00000000-0005-0000-0000-00009E1B0000}"/>
    <cellStyle name="Millares 3 5 5 2 2" xfId="7711" xr:uid="{00000000-0005-0000-0000-00001F1E0000}"/>
    <cellStyle name="Millares 3 5 5 3" xfId="7388" xr:uid="{00000000-0005-0000-0000-0000DC1C0000}"/>
    <cellStyle name="Millares 3 5 6" xfId="6916" xr:uid="{00000000-0005-0000-0000-0000041B0000}"/>
    <cellStyle name="Millares 3 5 6 2" xfId="7557" xr:uid="{00000000-0005-0000-0000-0000851D0000}"/>
    <cellStyle name="Millares 3 5 7" xfId="7236" xr:uid="{00000000-0005-0000-0000-0000441C0000}"/>
    <cellStyle name="Millares 3 6" xfId="2003" xr:uid="{00000000-0005-0000-0000-0000D3070000}"/>
    <cellStyle name="Millares 3 6 2" xfId="5165" xr:uid="{00000000-0005-0000-0000-00002D140000}"/>
    <cellStyle name="Millares 3 6 2 2" xfId="6854" xr:uid="{00000000-0005-0000-0000-0000C61A0000}"/>
    <cellStyle name="Millares 3 6 2 2 2" xfId="7177" xr:uid="{00000000-0005-0000-0000-0000091C0000}"/>
    <cellStyle name="Millares 3 6 2 2 2 2" xfId="7818" xr:uid="{00000000-0005-0000-0000-00008A1E0000}"/>
    <cellStyle name="Millares 3 6 2 2 3" xfId="7495" xr:uid="{00000000-0005-0000-0000-0000471D0000}"/>
    <cellStyle name="Millares 3 6 2 3" xfId="7013" xr:uid="{00000000-0005-0000-0000-0000651B0000}"/>
    <cellStyle name="Millares 3 6 2 3 2" xfId="7654" xr:uid="{00000000-0005-0000-0000-0000E61D0000}"/>
    <cellStyle name="Millares 3 6 2 4" xfId="7331" xr:uid="{00000000-0005-0000-0000-0000A31C0000}"/>
    <cellStyle name="Millares 3 6 3" xfId="3796" xr:uid="{00000000-0005-0000-0000-0000D40E0000}"/>
    <cellStyle name="Millares 3 6 3 2" xfId="6789" xr:uid="{00000000-0005-0000-0000-0000851A0000}"/>
    <cellStyle name="Millares 3 6 3 2 2" xfId="7112" xr:uid="{00000000-0005-0000-0000-0000C81B0000}"/>
    <cellStyle name="Millares 3 6 3 2 2 2" xfId="7753" xr:uid="{00000000-0005-0000-0000-0000491E0000}"/>
    <cellStyle name="Millares 3 6 3 2 3" xfId="7430" xr:uid="{00000000-0005-0000-0000-0000061D0000}"/>
    <cellStyle name="Millares 3 6 3 3" xfId="6948" xr:uid="{00000000-0005-0000-0000-0000241B0000}"/>
    <cellStyle name="Millares 3 6 3 3 2" xfId="7589" xr:uid="{00000000-0005-0000-0000-0000A51D0000}"/>
    <cellStyle name="Millares 3 6 3 4" xfId="7268" xr:uid="{00000000-0005-0000-0000-0000641C0000}"/>
    <cellStyle name="Millares 3 6 4" xfId="6748" xr:uid="{00000000-0005-0000-0000-00005C1A0000}"/>
    <cellStyle name="Millares 3 6 4 2" xfId="7071" xr:uid="{00000000-0005-0000-0000-00009F1B0000}"/>
    <cellStyle name="Millares 3 6 4 2 2" xfId="7712" xr:uid="{00000000-0005-0000-0000-0000201E0000}"/>
    <cellStyle name="Millares 3 6 4 3" xfId="7389" xr:uid="{00000000-0005-0000-0000-0000DD1C0000}"/>
    <cellStyle name="Millares 3 6 5" xfId="6917" xr:uid="{00000000-0005-0000-0000-0000051B0000}"/>
    <cellStyle name="Millares 3 6 5 2" xfId="7558" xr:uid="{00000000-0005-0000-0000-0000861D0000}"/>
    <cellStyle name="Millares 3 6 6" xfId="7237" xr:uid="{00000000-0005-0000-0000-0000451C0000}"/>
    <cellStyle name="Millares 3 7" xfId="2004" xr:uid="{00000000-0005-0000-0000-0000D4070000}"/>
    <cellStyle name="Millares 3 7 2" xfId="3797" xr:uid="{00000000-0005-0000-0000-0000D50E0000}"/>
    <cellStyle name="Millares 3 7 2 2" xfId="6790" xr:uid="{00000000-0005-0000-0000-0000861A0000}"/>
    <cellStyle name="Millares 3 7 2 2 2" xfId="7113" xr:uid="{00000000-0005-0000-0000-0000C91B0000}"/>
    <cellStyle name="Millares 3 7 2 2 2 2" xfId="7754" xr:uid="{00000000-0005-0000-0000-00004A1E0000}"/>
    <cellStyle name="Millares 3 7 2 2 3" xfId="7431" xr:uid="{00000000-0005-0000-0000-0000071D0000}"/>
    <cellStyle name="Millares 3 7 2 3" xfId="6949" xr:uid="{00000000-0005-0000-0000-0000251B0000}"/>
    <cellStyle name="Millares 3 7 2 3 2" xfId="7590" xr:uid="{00000000-0005-0000-0000-0000A61D0000}"/>
    <cellStyle name="Millares 3 7 2 4" xfId="7269" xr:uid="{00000000-0005-0000-0000-0000651C0000}"/>
    <cellStyle name="Millares 3 7 3" xfId="6749" xr:uid="{00000000-0005-0000-0000-00005D1A0000}"/>
    <cellStyle name="Millares 3 7 3 2" xfId="7072" xr:uid="{00000000-0005-0000-0000-0000A01B0000}"/>
    <cellStyle name="Millares 3 7 3 2 2" xfId="7713" xr:uid="{00000000-0005-0000-0000-0000211E0000}"/>
    <cellStyle name="Millares 3 7 3 3" xfId="7390" xr:uid="{00000000-0005-0000-0000-0000DE1C0000}"/>
    <cellStyle name="Millares 3 7 4" xfId="6918" xr:uid="{00000000-0005-0000-0000-0000061B0000}"/>
    <cellStyle name="Millares 3 7 4 2" xfId="7559" xr:uid="{00000000-0005-0000-0000-0000871D0000}"/>
    <cellStyle name="Millares 3 7 5" xfId="7238" xr:uid="{00000000-0005-0000-0000-0000461C0000}"/>
    <cellStyle name="Millares 3 8" xfId="2005" xr:uid="{00000000-0005-0000-0000-0000D5070000}"/>
    <cellStyle name="Millares 3 8 2" xfId="3798" xr:uid="{00000000-0005-0000-0000-0000D60E0000}"/>
    <cellStyle name="Millares 3 8 2 2" xfId="6791" xr:uid="{00000000-0005-0000-0000-0000871A0000}"/>
    <cellStyle name="Millares 3 8 2 2 2" xfId="7114" xr:uid="{00000000-0005-0000-0000-0000CA1B0000}"/>
    <cellStyle name="Millares 3 8 2 2 2 2" xfId="7755" xr:uid="{00000000-0005-0000-0000-00004B1E0000}"/>
    <cellStyle name="Millares 3 8 2 2 3" xfId="7432" xr:uid="{00000000-0005-0000-0000-0000081D0000}"/>
    <cellStyle name="Millares 3 8 2 3" xfId="6950" xr:uid="{00000000-0005-0000-0000-0000261B0000}"/>
    <cellStyle name="Millares 3 8 2 3 2" xfId="7591" xr:uid="{00000000-0005-0000-0000-0000A71D0000}"/>
    <cellStyle name="Millares 3 8 2 4" xfId="7270" xr:uid="{00000000-0005-0000-0000-0000661C0000}"/>
    <cellStyle name="Millares 3 8 3" xfId="6750" xr:uid="{00000000-0005-0000-0000-00005E1A0000}"/>
    <cellStyle name="Millares 3 8 3 2" xfId="7073" xr:uid="{00000000-0005-0000-0000-0000A11B0000}"/>
    <cellStyle name="Millares 3 8 3 2 2" xfId="7714" xr:uid="{00000000-0005-0000-0000-0000221E0000}"/>
    <cellStyle name="Millares 3 8 3 3" xfId="7391" xr:uid="{00000000-0005-0000-0000-0000DF1C0000}"/>
    <cellStyle name="Millares 3 8 4" xfId="6919" xr:uid="{00000000-0005-0000-0000-0000071B0000}"/>
    <cellStyle name="Millares 3 8 4 2" xfId="7560" xr:uid="{00000000-0005-0000-0000-0000881D0000}"/>
    <cellStyle name="Millares 3 8 5" xfId="7239" xr:uid="{00000000-0005-0000-0000-0000471C0000}"/>
    <cellStyle name="Millares 3 9" xfId="5166" xr:uid="{00000000-0005-0000-0000-00002E140000}"/>
    <cellStyle name="Millares 3 9 2" xfId="6855" xr:uid="{00000000-0005-0000-0000-0000C71A0000}"/>
    <cellStyle name="Millares 3 9 2 2" xfId="7178" xr:uid="{00000000-0005-0000-0000-00000A1C0000}"/>
    <cellStyle name="Millares 3 9 2 2 2" xfId="7819" xr:uid="{00000000-0005-0000-0000-00008B1E0000}"/>
    <cellStyle name="Millares 3 9 2 3" xfId="7496" xr:uid="{00000000-0005-0000-0000-0000481D0000}"/>
    <cellStyle name="Millares 3 9 3" xfId="7014" xr:uid="{00000000-0005-0000-0000-0000661B0000}"/>
    <cellStyle name="Millares 3 9 3 2" xfId="7655" xr:uid="{00000000-0005-0000-0000-0000E71D0000}"/>
    <cellStyle name="Millares 3 9 4" xfId="7332" xr:uid="{00000000-0005-0000-0000-0000A41C0000}"/>
    <cellStyle name="Millares 3_Deuda septiembre_marcos" xfId="2006" xr:uid="{00000000-0005-0000-0000-0000D6070000}"/>
    <cellStyle name="Millares 30" xfId="5167" xr:uid="{00000000-0005-0000-0000-00002F140000}"/>
    <cellStyle name="Millares 31" xfId="5168" xr:uid="{00000000-0005-0000-0000-000030140000}"/>
    <cellStyle name="Millares 32" xfId="5169" xr:uid="{00000000-0005-0000-0000-000031140000}"/>
    <cellStyle name="Millares 32 2" xfId="6856" xr:uid="{00000000-0005-0000-0000-0000C81A0000}"/>
    <cellStyle name="Millares 32 2 2" xfId="7179" xr:uid="{00000000-0005-0000-0000-00000B1C0000}"/>
    <cellStyle name="Millares 32 2 2 2" xfId="7820" xr:uid="{00000000-0005-0000-0000-00008C1E0000}"/>
    <cellStyle name="Millares 32 2 3" xfId="7497" xr:uid="{00000000-0005-0000-0000-0000491D0000}"/>
    <cellStyle name="Millares 32 3" xfId="7015" xr:uid="{00000000-0005-0000-0000-0000671B0000}"/>
    <cellStyle name="Millares 32 3 2" xfId="7656" xr:uid="{00000000-0005-0000-0000-0000E81D0000}"/>
    <cellStyle name="Millares 32 4" xfId="7333" xr:uid="{00000000-0005-0000-0000-0000A51C0000}"/>
    <cellStyle name="Millares 33" xfId="3819" xr:uid="{00000000-0005-0000-0000-0000EB0E0000}"/>
    <cellStyle name="Millares 33 2" xfId="6811" xr:uid="{00000000-0005-0000-0000-00009B1A0000}"/>
    <cellStyle name="Millares 33 2 2" xfId="7134" xr:uid="{00000000-0005-0000-0000-0000DE1B0000}"/>
    <cellStyle name="Millares 33 2 2 2" xfId="7775" xr:uid="{00000000-0005-0000-0000-00005F1E0000}"/>
    <cellStyle name="Millares 33 2 3" xfId="7452" xr:uid="{00000000-0005-0000-0000-00001C1D0000}"/>
    <cellStyle name="Millares 33 3" xfId="6970" xr:uid="{00000000-0005-0000-0000-00003A1B0000}"/>
    <cellStyle name="Millares 33 3 2" xfId="7611" xr:uid="{00000000-0005-0000-0000-0000BB1D0000}"/>
    <cellStyle name="Millares 33 4" xfId="7290" xr:uid="{00000000-0005-0000-0000-00007A1C0000}"/>
    <cellStyle name="Millares 34" xfId="7344" xr:uid="{00000000-0005-0000-0000-0000B01C0000}"/>
    <cellStyle name="Millares 35" xfId="7343" xr:uid="{00000000-0005-0000-0000-0000AF1C0000}"/>
    <cellStyle name="Millares 36" xfId="7229" xr:uid="{00000000-0005-0000-0000-00003D1C0000}"/>
    <cellStyle name="Millares 37" xfId="7860" xr:uid="{00000000-0005-0000-0000-0000B41E0000}"/>
    <cellStyle name="Millares 38" xfId="7861" xr:uid="{00000000-0005-0000-0000-0000B51E0000}"/>
    <cellStyle name="Millares 39" xfId="7864" xr:uid="{00000000-0005-0000-0000-0000B81E0000}"/>
    <cellStyle name="Millares 4" xfId="2007" xr:uid="{00000000-0005-0000-0000-0000D7070000}"/>
    <cellStyle name="Millares 4 2" xfId="2008" xr:uid="{00000000-0005-0000-0000-0000D8070000}"/>
    <cellStyle name="Millares 4 2 2" xfId="5170" xr:uid="{00000000-0005-0000-0000-000032140000}"/>
    <cellStyle name="Millares 4 3" xfId="2009" xr:uid="{00000000-0005-0000-0000-0000D9070000}"/>
    <cellStyle name="Millares 4 3 2" xfId="5171" xr:uid="{00000000-0005-0000-0000-000033140000}"/>
    <cellStyle name="Millares 4 4" xfId="2010" xr:uid="{00000000-0005-0000-0000-0000DA070000}"/>
    <cellStyle name="Millares 4 4 2" xfId="5172" xr:uid="{00000000-0005-0000-0000-000034140000}"/>
    <cellStyle name="Millares 4 5" xfId="2011" xr:uid="{00000000-0005-0000-0000-0000DB070000}"/>
    <cellStyle name="Millares 4 5 2" xfId="5173" xr:uid="{00000000-0005-0000-0000-000035140000}"/>
    <cellStyle name="Millares 4 6" xfId="2012" xr:uid="{00000000-0005-0000-0000-0000DC070000}"/>
    <cellStyle name="Millares 4 6 2" xfId="5174" xr:uid="{00000000-0005-0000-0000-000036140000}"/>
    <cellStyle name="Millares 4 7" xfId="2013" xr:uid="{00000000-0005-0000-0000-0000DD070000}"/>
    <cellStyle name="Millares 4 8" xfId="2014" xr:uid="{00000000-0005-0000-0000-0000DE070000}"/>
    <cellStyle name="Millares 4_Graficos 2009" xfId="2015" xr:uid="{00000000-0005-0000-0000-0000DF070000}"/>
    <cellStyle name="Millares 40" xfId="7865" xr:uid="{00000000-0005-0000-0000-0000B91E0000}"/>
    <cellStyle name="Millares 41" xfId="7866" xr:uid="{00000000-0005-0000-0000-0000BA1E0000}"/>
    <cellStyle name="Millares 5" xfId="2016" xr:uid="{00000000-0005-0000-0000-0000E0070000}"/>
    <cellStyle name="Millares 5 10" xfId="6751" xr:uid="{00000000-0005-0000-0000-00005F1A0000}"/>
    <cellStyle name="Millares 5 10 2" xfId="7074" xr:uid="{00000000-0005-0000-0000-0000A21B0000}"/>
    <cellStyle name="Millares 5 10 2 2" xfId="7715" xr:uid="{00000000-0005-0000-0000-0000231E0000}"/>
    <cellStyle name="Millares 5 10 3" xfId="7392" xr:uid="{00000000-0005-0000-0000-0000E01C0000}"/>
    <cellStyle name="Millares 5 11" xfId="6920" xr:uid="{00000000-0005-0000-0000-0000081B0000}"/>
    <cellStyle name="Millares 5 11 2" xfId="7561" xr:uid="{00000000-0005-0000-0000-0000891D0000}"/>
    <cellStyle name="Millares 5 12" xfId="7240" xr:uid="{00000000-0005-0000-0000-0000481C0000}"/>
    <cellStyle name="Millares 5 2" xfId="2017" xr:uid="{00000000-0005-0000-0000-0000E1070000}"/>
    <cellStyle name="Millares 5 2 2" xfId="5175" xr:uid="{00000000-0005-0000-0000-000037140000}"/>
    <cellStyle name="Millares 5 2 2 2" xfId="6857" xr:uid="{00000000-0005-0000-0000-0000C91A0000}"/>
    <cellStyle name="Millares 5 2 2 2 2" xfId="7180" xr:uid="{00000000-0005-0000-0000-00000C1C0000}"/>
    <cellStyle name="Millares 5 2 2 2 2 2" xfId="7821" xr:uid="{00000000-0005-0000-0000-00008D1E0000}"/>
    <cellStyle name="Millares 5 2 2 2 3" xfId="7498" xr:uid="{00000000-0005-0000-0000-00004A1D0000}"/>
    <cellStyle name="Millares 5 2 2 3" xfId="7016" xr:uid="{00000000-0005-0000-0000-0000681B0000}"/>
    <cellStyle name="Millares 5 2 2 3 2" xfId="7657" xr:uid="{00000000-0005-0000-0000-0000E91D0000}"/>
    <cellStyle name="Millares 5 2 2 4" xfId="7334" xr:uid="{00000000-0005-0000-0000-0000A61C0000}"/>
    <cellStyle name="Millares 5 2 3" xfId="3800" xr:uid="{00000000-0005-0000-0000-0000D80E0000}"/>
    <cellStyle name="Millares 5 2 3 2" xfId="6793" xr:uid="{00000000-0005-0000-0000-0000891A0000}"/>
    <cellStyle name="Millares 5 2 3 2 2" xfId="7116" xr:uid="{00000000-0005-0000-0000-0000CC1B0000}"/>
    <cellStyle name="Millares 5 2 3 2 2 2" xfId="7757" xr:uid="{00000000-0005-0000-0000-00004D1E0000}"/>
    <cellStyle name="Millares 5 2 3 2 3" xfId="7434" xr:uid="{00000000-0005-0000-0000-00000A1D0000}"/>
    <cellStyle name="Millares 5 2 3 3" xfId="6952" xr:uid="{00000000-0005-0000-0000-0000281B0000}"/>
    <cellStyle name="Millares 5 2 3 3 2" xfId="7593" xr:uid="{00000000-0005-0000-0000-0000A91D0000}"/>
    <cellStyle name="Millares 5 2 3 4" xfId="7272" xr:uid="{00000000-0005-0000-0000-0000681C0000}"/>
    <cellStyle name="Millares 5 2 4" xfId="6752" xr:uid="{00000000-0005-0000-0000-0000601A0000}"/>
    <cellStyle name="Millares 5 2 4 2" xfId="7075" xr:uid="{00000000-0005-0000-0000-0000A31B0000}"/>
    <cellStyle name="Millares 5 2 4 2 2" xfId="7716" xr:uid="{00000000-0005-0000-0000-0000241E0000}"/>
    <cellStyle name="Millares 5 2 4 3" xfId="7393" xr:uid="{00000000-0005-0000-0000-0000E11C0000}"/>
    <cellStyle name="Millares 5 2 5" xfId="6921" xr:uid="{00000000-0005-0000-0000-0000091B0000}"/>
    <cellStyle name="Millares 5 2 5 2" xfId="7562" xr:uid="{00000000-0005-0000-0000-00008A1D0000}"/>
    <cellStyle name="Millares 5 2 6" xfId="7241" xr:uid="{00000000-0005-0000-0000-0000491C0000}"/>
    <cellStyle name="Millares 5 3" xfId="2018" xr:uid="{00000000-0005-0000-0000-0000E2070000}"/>
    <cellStyle name="Millares 5 3 2" xfId="5176" xr:uid="{00000000-0005-0000-0000-000038140000}"/>
    <cellStyle name="Millares 5 3 2 2" xfId="6858" xr:uid="{00000000-0005-0000-0000-0000CA1A0000}"/>
    <cellStyle name="Millares 5 3 2 2 2" xfId="7181" xr:uid="{00000000-0005-0000-0000-00000D1C0000}"/>
    <cellStyle name="Millares 5 3 2 2 2 2" xfId="7822" xr:uid="{00000000-0005-0000-0000-00008E1E0000}"/>
    <cellStyle name="Millares 5 3 2 2 3" xfId="7499" xr:uid="{00000000-0005-0000-0000-00004B1D0000}"/>
    <cellStyle name="Millares 5 3 2 3" xfId="7017" xr:uid="{00000000-0005-0000-0000-0000691B0000}"/>
    <cellStyle name="Millares 5 3 2 3 2" xfId="7658" xr:uid="{00000000-0005-0000-0000-0000EA1D0000}"/>
    <cellStyle name="Millares 5 3 2 4" xfId="7335" xr:uid="{00000000-0005-0000-0000-0000A71C0000}"/>
    <cellStyle name="Millares 5 3 3" xfId="3801" xr:uid="{00000000-0005-0000-0000-0000D90E0000}"/>
    <cellStyle name="Millares 5 3 3 2" xfId="6794" xr:uid="{00000000-0005-0000-0000-00008A1A0000}"/>
    <cellStyle name="Millares 5 3 3 2 2" xfId="7117" xr:uid="{00000000-0005-0000-0000-0000CD1B0000}"/>
    <cellStyle name="Millares 5 3 3 2 2 2" xfId="7758" xr:uid="{00000000-0005-0000-0000-00004E1E0000}"/>
    <cellStyle name="Millares 5 3 3 2 3" xfId="7435" xr:uid="{00000000-0005-0000-0000-00000B1D0000}"/>
    <cellStyle name="Millares 5 3 3 3" xfId="6953" xr:uid="{00000000-0005-0000-0000-0000291B0000}"/>
    <cellStyle name="Millares 5 3 3 3 2" xfId="7594" xr:uid="{00000000-0005-0000-0000-0000AA1D0000}"/>
    <cellStyle name="Millares 5 3 3 4" xfId="7273" xr:uid="{00000000-0005-0000-0000-0000691C0000}"/>
    <cellStyle name="Millares 5 3 4" xfId="6753" xr:uid="{00000000-0005-0000-0000-0000611A0000}"/>
    <cellStyle name="Millares 5 3 4 2" xfId="7076" xr:uid="{00000000-0005-0000-0000-0000A41B0000}"/>
    <cellStyle name="Millares 5 3 4 2 2" xfId="7717" xr:uid="{00000000-0005-0000-0000-0000251E0000}"/>
    <cellStyle name="Millares 5 3 4 3" xfId="7394" xr:uid="{00000000-0005-0000-0000-0000E21C0000}"/>
    <cellStyle name="Millares 5 3 5" xfId="6922" xr:uid="{00000000-0005-0000-0000-00000A1B0000}"/>
    <cellStyle name="Millares 5 3 5 2" xfId="7563" xr:uid="{00000000-0005-0000-0000-00008B1D0000}"/>
    <cellStyle name="Millares 5 3 6" xfId="7242" xr:uid="{00000000-0005-0000-0000-00004A1C0000}"/>
    <cellStyle name="Millares 5 4" xfId="2019" xr:uid="{00000000-0005-0000-0000-0000E3070000}"/>
    <cellStyle name="Millares 5 4 2" xfId="5177" xr:uid="{00000000-0005-0000-0000-000039140000}"/>
    <cellStyle name="Millares 5 4 2 2" xfId="6859" xr:uid="{00000000-0005-0000-0000-0000CB1A0000}"/>
    <cellStyle name="Millares 5 4 2 2 2" xfId="7182" xr:uid="{00000000-0005-0000-0000-00000E1C0000}"/>
    <cellStyle name="Millares 5 4 2 2 2 2" xfId="7823" xr:uid="{00000000-0005-0000-0000-00008F1E0000}"/>
    <cellStyle name="Millares 5 4 2 2 3" xfId="7500" xr:uid="{00000000-0005-0000-0000-00004C1D0000}"/>
    <cellStyle name="Millares 5 4 2 3" xfId="7018" xr:uid="{00000000-0005-0000-0000-00006A1B0000}"/>
    <cellStyle name="Millares 5 4 2 3 2" xfId="7659" xr:uid="{00000000-0005-0000-0000-0000EB1D0000}"/>
    <cellStyle name="Millares 5 4 2 4" xfId="7336" xr:uid="{00000000-0005-0000-0000-0000A81C0000}"/>
    <cellStyle name="Millares 5 4 3" xfId="3802" xr:uid="{00000000-0005-0000-0000-0000DA0E0000}"/>
    <cellStyle name="Millares 5 4 3 2" xfId="6795" xr:uid="{00000000-0005-0000-0000-00008B1A0000}"/>
    <cellStyle name="Millares 5 4 3 2 2" xfId="7118" xr:uid="{00000000-0005-0000-0000-0000CE1B0000}"/>
    <cellStyle name="Millares 5 4 3 2 2 2" xfId="7759" xr:uid="{00000000-0005-0000-0000-00004F1E0000}"/>
    <cellStyle name="Millares 5 4 3 2 3" xfId="7436" xr:uid="{00000000-0005-0000-0000-00000C1D0000}"/>
    <cellStyle name="Millares 5 4 3 3" xfId="6954" xr:uid="{00000000-0005-0000-0000-00002A1B0000}"/>
    <cellStyle name="Millares 5 4 3 3 2" xfId="7595" xr:uid="{00000000-0005-0000-0000-0000AB1D0000}"/>
    <cellStyle name="Millares 5 4 3 4" xfId="7274" xr:uid="{00000000-0005-0000-0000-00006A1C0000}"/>
    <cellStyle name="Millares 5 4 4" xfId="6754" xr:uid="{00000000-0005-0000-0000-0000621A0000}"/>
    <cellStyle name="Millares 5 4 4 2" xfId="7077" xr:uid="{00000000-0005-0000-0000-0000A51B0000}"/>
    <cellStyle name="Millares 5 4 4 2 2" xfId="7718" xr:uid="{00000000-0005-0000-0000-0000261E0000}"/>
    <cellStyle name="Millares 5 4 4 3" xfId="7395" xr:uid="{00000000-0005-0000-0000-0000E31C0000}"/>
    <cellStyle name="Millares 5 4 5" xfId="6923" xr:uid="{00000000-0005-0000-0000-00000B1B0000}"/>
    <cellStyle name="Millares 5 4 5 2" xfId="7564" xr:uid="{00000000-0005-0000-0000-00008C1D0000}"/>
    <cellStyle name="Millares 5 4 6" xfId="7243" xr:uid="{00000000-0005-0000-0000-00004B1C0000}"/>
    <cellStyle name="Millares 5 5" xfId="2020" xr:uid="{00000000-0005-0000-0000-0000E4070000}"/>
    <cellStyle name="Millares 5 5 2" xfId="5178" xr:uid="{00000000-0005-0000-0000-00003A140000}"/>
    <cellStyle name="Millares 5 5 2 2" xfId="6860" xr:uid="{00000000-0005-0000-0000-0000CC1A0000}"/>
    <cellStyle name="Millares 5 5 2 2 2" xfId="7183" xr:uid="{00000000-0005-0000-0000-00000F1C0000}"/>
    <cellStyle name="Millares 5 5 2 2 2 2" xfId="7824" xr:uid="{00000000-0005-0000-0000-0000901E0000}"/>
    <cellStyle name="Millares 5 5 2 2 3" xfId="7501" xr:uid="{00000000-0005-0000-0000-00004D1D0000}"/>
    <cellStyle name="Millares 5 5 2 3" xfId="7019" xr:uid="{00000000-0005-0000-0000-00006B1B0000}"/>
    <cellStyle name="Millares 5 5 2 3 2" xfId="7660" xr:uid="{00000000-0005-0000-0000-0000EC1D0000}"/>
    <cellStyle name="Millares 5 5 2 4" xfId="7337" xr:uid="{00000000-0005-0000-0000-0000A91C0000}"/>
    <cellStyle name="Millares 5 5 3" xfId="3803" xr:uid="{00000000-0005-0000-0000-0000DB0E0000}"/>
    <cellStyle name="Millares 5 5 3 2" xfId="6796" xr:uid="{00000000-0005-0000-0000-00008C1A0000}"/>
    <cellStyle name="Millares 5 5 3 2 2" xfId="7119" xr:uid="{00000000-0005-0000-0000-0000CF1B0000}"/>
    <cellStyle name="Millares 5 5 3 2 2 2" xfId="7760" xr:uid="{00000000-0005-0000-0000-0000501E0000}"/>
    <cellStyle name="Millares 5 5 3 2 3" xfId="7437" xr:uid="{00000000-0005-0000-0000-00000D1D0000}"/>
    <cellStyle name="Millares 5 5 3 3" xfId="6955" xr:uid="{00000000-0005-0000-0000-00002B1B0000}"/>
    <cellStyle name="Millares 5 5 3 3 2" xfId="7596" xr:uid="{00000000-0005-0000-0000-0000AC1D0000}"/>
    <cellStyle name="Millares 5 5 3 4" xfId="7275" xr:uid="{00000000-0005-0000-0000-00006B1C0000}"/>
    <cellStyle name="Millares 5 5 4" xfId="6755" xr:uid="{00000000-0005-0000-0000-0000631A0000}"/>
    <cellStyle name="Millares 5 5 4 2" xfId="7078" xr:uid="{00000000-0005-0000-0000-0000A61B0000}"/>
    <cellStyle name="Millares 5 5 4 2 2" xfId="7719" xr:uid="{00000000-0005-0000-0000-0000271E0000}"/>
    <cellStyle name="Millares 5 5 4 3" xfId="7396" xr:uid="{00000000-0005-0000-0000-0000E41C0000}"/>
    <cellStyle name="Millares 5 5 5" xfId="6924" xr:uid="{00000000-0005-0000-0000-00000C1B0000}"/>
    <cellStyle name="Millares 5 5 5 2" xfId="7565" xr:uid="{00000000-0005-0000-0000-00008D1D0000}"/>
    <cellStyle name="Millares 5 5 6" xfId="7244" xr:uid="{00000000-0005-0000-0000-00004C1C0000}"/>
    <cellStyle name="Millares 5 6" xfId="2021" xr:uid="{00000000-0005-0000-0000-0000E5070000}"/>
    <cellStyle name="Millares 5 6 2" xfId="5179" xr:uid="{00000000-0005-0000-0000-00003B140000}"/>
    <cellStyle name="Millares 5 6 2 2" xfId="6861" xr:uid="{00000000-0005-0000-0000-0000CD1A0000}"/>
    <cellStyle name="Millares 5 6 2 2 2" xfId="7184" xr:uid="{00000000-0005-0000-0000-0000101C0000}"/>
    <cellStyle name="Millares 5 6 2 2 2 2" xfId="7825" xr:uid="{00000000-0005-0000-0000-0000911E0000}"/>
    <cellStyle name="Millares 5 6 2 2 3" xfId="7502" xr:uid="{00000000-0005-0000-0000-00004E1D0000}"/>
    <cellStyle name="Millares 5 6 2 3" xfId="7020" xr:uid="{00000000-0005-0000-0000-00006C1B0000}"/>
    <cellStyle name="Millares 5 6 2 3 2" xfId="7661" xr:uid="{00000000-0005-0000-0000-0000ED1D0000}"/>
    <cellStyle name="Millares 5 6 2 4" xfId="7338" xr:uid="{00000000-0005-0000-0000-0000AA1C0000}"/>
    <cellStyle name="Millares 5 6 3" xfId="3804" xr:uid="{00000000-0005-0000-0000-0000DC0E0000}"/>
    <cellStyle name="Millares 5 6 3 2" xfId="6797" xr:uid="{00000000-0005-0000-0000-00008D1A0000}"/>
    <cellStyle name="Millares 5 6 3 2 2" xfId="7120" xr:uid="{00000000-0005-0000-0000-0000D01B0000}"/>
    <cellStyle name="Millares 5 6 3 2 2 2" xfId="7761" xr:uid="{00000000-0005-0000-0000-0000511E0000}"/>
    <cellStyle name="Millares 5 6 3 2 3" xfId="7438" xr:uid="{00000000-0005-0000-0000-00000E1D0000}"/>
    <cellStyle name="Millares 5 6 3 3" xfId="6956" xr:uid="{00000000-0005-0000-0000-00002C1B0000}"/>
    <cellStyle name="Millares 5 6 3 3 2" xfId="7597" xr:uid="{00000000-0005-0000-0000-0000AD1D0000}"/>
    <cellStyle name="Millares 5 6 3 4" xfId="7276" xr:uid="{00000000-0005-0000-0000-00006C1C0000}"/>
    <cellStyle name="Millares 5 6 4" xfId="6756" xr:uid="{00000000-0005-0000-0000-0000641A0000}"/>
    <cellStyle name="Millares 5 6 4 2" xfId="7079" xr:uid="{00000000-0005-0000-0000-0000A71B0000}"/>
    <cellStyle name="Millares 5 6 4 2 2" xfId="7720" xr:uid="{00000000-0005-0000-0000-0000281E0000}"/>
    <cellStyle name="Millares 5 6 4 3" xfId="7397" xr:uid="{00000000-0005-0000-0000-0000E51C0000}"/>
    <cellStyle name="Millares 5 6 5" xfId="6925" xr:uid="{00000000-0005-0000-0000-00000D1B0000}"/>
    <cellStyle name="Millares 5 6 5 2" xfId="7566" xr:uid="{00000000-0005-0000-0000-00008E1D0000}"/>
    <cellStyle name="Millares 5 6 6" xfId="7245" xr:uid="{00000000-0005-0000-0000-00004D1C0000}"/>
    <cellStyle name="Millares 5 7" xfId="2022" xr:uid="{00000000-0005-0000-0000-0000E6070000}"/>
    <cellStyle name="Millares 5 7 2" xfId="3805" xr:uid="{00000000-0005-0000-0000-0000DD0E0000}"/>
    <cellStyle name="Millares 5 7 2 2" xfId="6798" xr:uid="{00000000-0005-0000-0000-00008E1A0000}"/>
    <cellStyle name="Millares 5 7 2 2 2" xfId="7121" xr:uid="{00000000-0005-0000-0000-0000D11B0000}"/>
    <cellStyle name="Millares 5 7 2 2 2 2" xfId="7762" xr:uid="{00000000-0005-0000-0000-0000521E0000}"/>
    <cellStyle name="Millares 5 7 2 2 3" xfId="7439" xr:uid="{00000000-0005-0000-0000-00000F1D0000}"/>
    <cellStyle name="Millares 5 7 2 3" xfId="6957" xr:uid="{00000000-0005-0000-0000-00002D1B0000}"/>
    <cellStyle name="Millares 5 7 2 3 2" xfId="7598" xr:uid="{00000000-0005-0000-0000-0000AE1D0000}"/>
    <cellStyle name="Millares 5 7 2 4" xfId="7277" xr:uid="{00000000-0005-0000-0000-00006D1C0000}"/>
    <cellStyle name="Millares 5 7 3" xfId="6757" xr:uid="{00000000-0005-0000-0000-0000651A0000}"/>
    <cellStyle name="Millares 5 7 3 2" xfId="7080" xr:uid="{00000000-0005-0000-0000-0000A81B0000}"/>
    <cellStyle name="Millares 5 7 3 2 2" xfId="7721" xr:uid="{00000000-0005-0000-0000-0000291E0000}"/>
    <cellStyle name="Millares 5 7 3 3" xfId="7398" xr:uid="{00000000-0005-0000-0000-0000E61C0000}"/>
    <cellStyle name="Millares 5 7 4" xfId="6926" xr:uid="{00000000-0005-0000-0000-00000E1B0000}"/>
    <cellStyle name="Millares 5 7 4 2" xfId="7567" xr:uid="{00000000-0005-0000-0000-00008F1D0000}"/>
    <cellStyle name="Millares 5 7 5" xfId="7246" xr:uid="{00000000-0005-0000-0000-00004E1C0000}"/>
    <cellStyle name="Millares 5 8" xfId="2023" xr:uid="{00000000-0005-0000-0000-0000E7070000}"/>
    <cellStyle name="Millares 5 8 2" xfId="3806" xr:uid="{00000000-0005-0000-0000-0000DE0E0000}"/>
    <cellStyle name="Millares 5 8 2 2" xfId="6799" xr:uid="{00000000-0005-0000-0000-00008F1A0000}"/>
    <cellStyle name="Millares 5 8 2 2 2" xfId="7122" xr:uid="{00000000-0005-0000-0000-0000D21B0000}"/>
    <cellStyle name="Millares 5 8 2 2 2 2" xfId="7763" xr:uid="{00000000-0005-0000-0000-0000531E0000}"/>
    <cellStyle name="Millares 5 8 2 2 3" xfId="7440" xr:uid="{00000000-0005-0000-0000-0000101D0000}"/>
    <cellStyle name="Millares 5 8 2 3" xfId="6958" xr:uid="{00000000-0005-0000-0000-00002E1B0000}"/>
    <cellStyle name="Millares 5 8 2 3 2" xfId="7599" xr:uid="{00000000-0005-0000-0000-0000AF1D0000}"/>
    <cellStyle name="Millares 5 8 2 4" xfId="7278" xr:uid="{00000000-0005-0000-0000-00006E1C0000}"/>
    <cellStyle name="Millares 5 8 3" xfId="6758" xr:uid="{00000000-0005-0000-0000-0000661A0000}"/>
    <cellStyle name="Millares 5 8 3 2" xfId="7081" xr:uid="{00000000-0005-0000-0000-0000A91B0000}"/>
    <cellStyle name="Millares 5 8 3 2 2" xfId="7722" xr:uid="{00000000-0005-0000-0000-00002A1E0000}"/>
    <cellStyle name="Millares 5 8 3 3" xfId="7399" xr:uid="{00000000-0005-0000-0000-0000E71C0000}"/>
    <cellStyle name="Millares 5 8 4" xfId="6927" xr:uid="{00000000-0005-0000-0000-00000F1B0000}"/>
    <cellStyle name="Millares 5 8 4 2" xfId="7568" xr:uid="{00000000-0005-0000-0000-0000901D0000}"/>
    <cellStyle name="Millares 5 8 5" xfId="7247" xr:uid="{00000000-0005-0000-0000-00004F1C0000}"/>
    <cellStyle name="Millares 5 9" xfId="3799" xr:uid="{00000000-0005-0000-0000-0000D70E0000}"/>
    <cellStyle name="Millares 5 9 2" xfId="6792" xr:uid="{00000000-0005-0000-0000-0000881A0000}"/>
    <cellStyle name="Millares 5 9 2 2" xfId="7115" xr:uid="{00000000-0005-0000-0000-0000CB1B0000}"/>
    <cellStyle name="Millares 5 9 2 2 2" xfId="7756" xr:uid="{00000000-0005-0000-0000-00004C1E0000}"/>
    <cellStyle name="Millares 5 9 2 3" xfId="7433" xr:uid="{00000000-0005-0000-0000-0000091D0000}"/>
    <cellStyle name="Millares 5 9 3" xfId="6951" xr:uid="{00000000-0005-0000-0000-0000271B0000}"/>
    <cellStyle name="Millares 5 9 3 2" xfId="7592" xr:uid="{00000000-0005-0000-0000-0000A81D0000}"/>
    <cellStyle name="Millares 5 9 4" xfId="7271" xr:uid="{00000000-0005-0000-0000-0000671C0000}"/>
    <cellStyle name="Millares 5_Deuda septiembre_marcos" xfId="2024" xr:uid="{00000000-0005-0000-0000-0000E8070000}"/>
    <cellStyle name="Millares 6" xfId="2025" xr:uid="{00000000-0005-0000-0000-0000E9070000}"/>
    <cellStyle name="Millares 6 2" xfId="2026" xr:uid="{00000000-0005-0000-0000-0000EA070000}"/>
    <cellStyle name="Millares 6 2 2" xfId="5180" xr:uid="{00000000-0005-0000-0000-00003C140000}"/>
    <cellStyle name="Millares 6 3" xfId="2027" xr:uid="{00000000-0005-0000-0000-0000EB070000}"/>
    <cellStyle name="Millares 6 3 2" xfId="5181" xr:uid="{00000000-0005-0000-0000-00003D140000}"/>
    <cellStyle name="Millares 6 4" xfId="2028" xr:uid="{00000000-0005-0000-0000-0000EC070000}"/>
    <cellStyle name="Millares 6 4 2" xfId="5182" xr:uid="{00000000-0005-0000-0000-00003E140000}"/>
    <cellStyle name="Millares 6 5" xfId="2029" xr:uid="{00000000-0005-0000-0000-0000ED070000}"/>
    <cellStyle name="Millares 6 5 2" xfId="5183" xr:uid="{00000000-0005-0000-0000-00003F140000}"/>
    <cellStyle name="Millares 6 6" xfId="2030" xr:uid="{00000000-0005-0000-0000-0000EE070000}"/>
    <cellStyle name="Millares 6 6 2" xfId="5184" xr:uid="{00000000-0005-0000-0000-000040140000}"/>
    <cellStyle name="Millares 6 7" xfId="2031" xr:uid="{00000000-0005-0000-0000-0000EF070000}"/>
    <cellStyle name="Millares 6 8" xfId="2032" xr:uid="{00000000-0005-0000-0000-0000F0070000}"/>
    <cellStyle name="Millares 6 9" xfId="2033" xr:uid="{00000000-0005-0000-0000-0000F1070000}"/>
    <cellStyle name="Millares 6 9 2" xfId="3807" xr:uid="{00000000-0005-0000-0000-0000DF0E0000}"/>
    <cellStyle name="Millares 6 9 2 2" xfId="6800" xr:uid="{00000000-0005-0000-0000-0000901A0000}"/>
    <cellStyle name="Millares 6 9 2 2 2" xfId="7123" xr:uid="{00000000-0005-0000-0000-0000D31B0000}"/>
    <cellStyle name="Millares 6 9 2 2 2 2" xfId="7764" xr:uid="{00000000-0005-0000-0000-0000541E0000}"/>
    <cellStyle name="Millares 6 9 2 2 3" xfId="7441" xr:uid="{00000000-0005-0000-0000-0000111D0000}"/>
    <cellStyle name="Millares 6 9 2 3" xfId="6959" xr:uid="{00000000-0005-0000-0000-00002F1B0000}"/>
    <cellStyle name="Millares 6 9 2 3 2" xfId="7600" xr:uid="{00000000-0005-0000-0000-0000B01D0000}"/>
    <cellStyle name="Millares 6 9 2 4" xfId="7279" xr:uid="{00000000-0005-0000-0000-00006F1C0000}"/>
    <cellStyle name="Millares 6 9 3" xfId="6759" xr:uid="{00000000-0005-0000-0000-0000671A0000}"/>
    <cellStyle name="Millares 6 9 3 2" xfId="7082" xr:uid="{00000000-0005-0000-0000-0000AA1B0000}"/>
    <cellStyle name="Millares 6 9 3 2 2" xfId="7723" xr:uid="{00000000-0005-0000-0000-00002B1E0000}"/>
    <cellStyle name="Millares 6 9 3 3" xfId="7400" xr:uid="{00000000-0005-0000-0000-0000E81C0000}"/>
    <cellStyle name="Millares 6 9 4" xfId="6928" xr:uid="{00000000-0005-0000-0000-0000101B0000}"/>
    <cellStyle name="Millares 6 9 4 2" xfId="7569" xr:uid="{00000000-0005-0000-0000-0000911D0000}"/>
    <cellStyle name="Millares 6 9 5" xfId="7248" xr:uid="{00000000-0005-0000-0000-0000501C0000}"/>
    <cellStyle name="Millares 7" xfId="2034" xr:uid="{00000000-0005-0000-0000-0000F2070000}"/>
    <cellStyle name="Millares 7 2" xfId="2035" xr:uid="{00000000-0005-0000-0000-0000F3070000}"/>
    <cellStyle name="Millares 7 2 2" xfId="2036" xr:uid="{00000000-0005-0000-0000-0000F4070000}"/>
    <cellStyle name="Millares 7 2 2 2" xfId="3810" xr:uid="{00000000-0005-0000-0000-0000E20E0000}"/>
    <cellStyle name="Millares 7 2 2 2 2" xfId="6803" xr:uid="{00000000-0005-0000-0000-0000931A0000}"/>
    <cellStyle name="Millares 7 2 2 2 2 2" xfId="7126" xr:uid="{00000000-0005-0000-0000-0000D61B0000}"/>
    <cellStyle name="Millares 7 2 2 2 2 2 2" xfId="7767" xr:uid="{00000000-0005-0000-0000-0000571E0000}"/>
    <cellStyle name="Millares 7 2 2 2 2 3" xfId="7444" xr:uid="{00000000-0005-0000-0000-0000141D0000}"/>
    <cellStyle name="Millares 7 2 2 2 3" xfId="6962" xr:uid="{00000000-0005-0000-0000-0000321B0000}"/>
    <cellStyle name="Millares 7 2 2 2 3 2" xfId="7603" xr:uid="{00000000-0005-0000-0000-0000B31D0000}"/>
    <cellStyle name="Millares 7 2 2 2 4" xfId="7282" xr:uid="{00000000-0005-0000-0000-0000721C0000}"/>
    <cellStyle name="Millares 7 2 2 3" xfId="6762" xr:uid="{00000000-0005-0000-0000-00006A1A0000}"/>
    <cellStyle name="Millares 7 2 2 3 2" xfId="7085" xr:uid="{00000000-0005-0000-0000-0000AD1B0000}"/>
    <cellStyle name="Millares 7 2 2 3 2 2" xfId="7726" xr:uid="{00000000-0005-0000-0000-00002E1E0000}"/>
    <cellStyle name="Millares 7 2 2 3 3" xfId="7403" xr:uid="{00000000-0005-0000-0000-0000EB1C0000}"/>
    <cellStyle name="Millares 7 2 2 4" xfId="6931" xr:uid="{00000000-0005-0000-0000-0000131B0000}"/>
    <cellStyle name="Millares 7 2 2 4 2" xfId="7572" xr:uid="{00000000-0005-0000-0000-0000941D0000}"/>
    <cellStyle name="Millares 7 2 2 5" xfId="7251" xr:uid="{00000000-0005-0000-0000-0000531C0000}"/>
    <cellStyle name="Millares 7 2 3" xfId="2037" xr:uid="{00000000-0005-0000-0000-0000F5070000}"/>
    <cellStyle name="Millares 7 2 3 2" xfId="3811" xr:uid="{00000000-0005-0000-0000-0000E30E0000}"/>
    <cellStyle name="Millares 7 2 3 2 2" xfId="6804" xr:uid="{00000000-0005-0000-0000-0000941A0000}"/>
    <cellStyle name="Millares 7 2 3 2 2 2" xfId="7127" xr:uid="{00000000-0005-0000-0000-0000D71B0000}"/>
    <cellStyle name="Millares 7 2 3 2 2 2 2" xfId="7768" xr:uid="{00000000-0005-0000-0000-0000581E0000}"/>
    <cellStyle name="Millares 7 2 3 2 2 3" xfId="7445" xr:uid="{00000000-0005-0000-0000-0000151D0000}"/>
    <cellStyle name="Millares 7 2 3 2 3" xfId="6963" xr:uid="{00000000-0005-0000-0000-0000331B0000}"/>
    <cellStyle name="Millares 7 2 3 2 3 2" xfId="7604" xr:uid="{00000000-0005-0000-0000-0000B41D0000}"/>
    <cellStyle name="Millares 7 2 3 2 4" xfId="7283" xr:uid="{00000000-0005-0000-0000-0000731C0000}"/>
    <cellStyle name="Millares 7 2 3 3" xfId="6763" xr:uid="{00000000-0005-0000-0000-00006B1A0000}"/>
    <cellStyle name="Millares 7 2 3 3 2" xfId="7086" xr:uid="{00000000-0005-0000-0000-0000AE1B0000}"/>
    <cellStyle name="Millares 7 2 3 3 2 2" xfId="7727" xr:uid="{00000000-0005-0000-0000-00002F1E0000}"/>
    <cellStyle name="Millares 7 2 3 3 3" xfId="7404" xr:uid="{00000000-0005-0000-0000-0000EC1C0000}"/>
    <cellStyle name="Millares 7 2 3 4" xfId="6932" xr:uid="{00000000-0005-0000-0000-0000141B0000}"/>
    <cellStyle name="Millares 7 2 3 4 2" xfId="7573" xr:uid="{00000000-0005-0000-0000-0000951D0000}"/>
    <cellStyle name="Millares 7 2 3 5" xfId="7252" xr:uid="{00000000-0005-0000-0000-0000541C0000}"/>
    <cellStyle name="Millares 7 2 4" xfId="3809" xr:uid="{00000000-0005-0000-0000-0000E10E0000}"/>
    <cellStyle name="Millares 7 2 4 2" xfId="6802" xr:uid="{00000000-0005-0000-0000-0000921A0000}"/>
    <cellStyle name="Millares 7 2 4 2 2" xfId="7125" xr:uid="{00000000-0005-0000-0000-0000D51B0000}"/>
    <cellStyle name="Millares 7 2 4 2 2 2" xfId="7766" xr:uid="{00000000-0005-0000-0000-0000561E0000}"/>
    <cellStyle name="Millares 7 2 4 2 3" xfId="7443" xr:uid="{00000000-0005-0000-0000-0000131D0000}"/>
    <cellStyle name="Millares 7 2 4 3" xfId="6961" xr:uid="{00000000-0005-0000-0000-0000311B0000}"/>
    <cellStyle name="Millares 7 2 4 3 2" xfId="7602" xr:uid="{00000000-0005-0000-0000-0000B21D0000}"/>
    <cellStyle name="Millares 7 2 4 4" xfId="7281" xr:uid="{00000000-0005-0000-0000-0000711C0000}"/>
    <cellStyle name="Millares 7 2 5" xfId="6761" xr:uid="{00000000-0005-0000-0000-0000691A0000}"/>
    <cellStyle name="Millares 7 2 5 2" xfId="7084" xr:uid="{00000000-0005-0000-0000-0000AC1B0000}"/>
    <cellStyle name="Millares 7 2 5 2 2" xfId="7725" xr:uid="{00000000-0005-0000-0000-00002D1E0000}"/>
    <cellStyle name="Millares 7 2 5 3" xfId="7402" xr:uid="{00000000-0005-0000-0000-0000EA1C0000}"/>
    <cellStyle name="Millares 7 2 6" xfId="6930" xr:uid="{00000000-0005-0000-0000-0000121B0000}"/>
    <cellStyle name="Millares 7 2 6 2" xfId="7571" xr:uid="{00000000-0005-0000-0000-0000931D0000}"/>
    <cellStyle name="Millares 7 2 7" xfId="7250" xr:uid="{00000000-0005-0000-0000-0000521C0000}"/>
    <cellStyle name="Millares 7 3" xfId="2038" xr:uid="{00000000-0005-0000-0000-0000F6070000}"/>
    <cellStyle name="Millares 7 3 2" xfId="3812" xr:uid="{00000000-0005-0000-0000-0000E40E0000}"/>
    <cellStyle name="Millares 7 3 2 2" xfId="6805" xr:uid="{00000000-0005-0000-0000-0000951A0000}"/>
    <cellStyle name="Millares 7 3 2 2 2" xfId="7128" xr:uid="{00000000-0005-0000-0000-0000D81B0000}"/>
    <cellStyle name="Millares 7 3 2 2 2 2" xfId="7769" xr:uid="{00000000-0005-0000-0000-0000591E0000}"/>
    <cellStyle name="Millares 7 3 2 2 3" xfId="7446" xr:uid="{00000000-0005-0000-0000-0000161D0000}"/>
    <cellStyle name="Millares 7 3 2 3" xfId="6964" xr:uid="{00000000-0005-0000-0000-0000341B0000}"/>
    <cellStyle name="Millares 7 3 2 3 2" xfId="7605" xr:uid="{00000000-0005-0000-0000-0000B51D0000}"/>
    <cellStyle name="Millares 7 3 2 4" xfId="7284" xr:uid="{00000000-0005-0000-0000-0000741C0000}"/>
    <cellStyle name="Millares 7 3 3" xfId="6764" xr:uid="{00000000-0005-0000-0000-00006C1A0000}"/>
    <cellStyle name="Millares 7 3 3 2" xfId="7087" xr:uid="{00000000-0005-0000-0000-0000AF1B0000}"/>
    <cellStyle name="Millares 7 3 3 2 2" xfId="7728" xr:uid="{00000000-0005-0000-0000-0000301E0000}"/>
    <cellStyle name="Millares 7 3 3 3" xfId="7405" xr:uid="{00000000-0005-0000-0000-0000ED1C0000}"/>
    <cellStyle name="Millares 7 3 4" xfId="6933" xr:uid="{00000000-0005-0000-0000-0000151B0000}"/>
    <cellStyle name="Millares 7 3 4 2" xfId="7574" xr:uid="{00000000-0005-0000-0000-0000961D0000}"/>
    <cellStyle name="Millares 7 3 5" xfId="7253" xr:uid="{00000000-0005-0000-0000-0000551C0000}"/>
    <cellStyle name="Millares 7 4" xfId="2039" xr:uid="{00000000-0005-0000-0000-0000F7070000}"/>
    <cellStyle name="Millares 7 4 2" xfId="3813" xr:uid="{00000000-0005-0000-0000-0000E50E0000}"/>
    <cellStyle name="Millares 7 4 2 2" xfId="6806" xr:uid="{00000000-0005-0000-0000-0000961A0000}"/>
    <cellStyle name="Millares 7 4 2 2 2" xfId="7129" xr:uid="{00000000-0005-0000-0000-0000D91B0000}"/>
    <cellStyle name="Millares 7 4 2 2 2 2" xfId="7770" xr:uid="{00000000-0005-0000-0000-00005A1E0000}"/>
    <cellStyle name="Millares 7 4 2 2 3" xfId="7447" xr:uid="{00000000-0005-0000-0000-0000171D0000}"/>
    <cellStyle name="Millares 7 4 2 3" xfId="6965" xr:uid="{00000000-0005-0000-0000-0000351B0000}"/>
    <cellStyle name="Millares 7 4 2 3 2" xfId="7606" xr:uid="{00000000-0005-0000-0000-0000B61D0000}"/>
    <cellStyle name="Millares 7 4 2 4" xfId="7285" xr:uid="{00000000-0005-0000-0000-0000751C0000}"/>
    <cellStyle name="Millares 7 4 3" xfId="6765" xr:uid="{00000000-0005-0000-0000-00006D1A0000}"/>
    <cellStyle name="Millares 7 4 3 2" xfId="7088" xr:uid="{00000000-0005-0000-0000-0000B01B0000}"/>
    <cellStyle name="Millares 7 4 3 2 2" xfId="7729" xr:uid="{00000000-0005-0000-0000-0000311E0000}"/>
    <cellStyle name="Millares 7 4 3 3" xfId="7406" xr:uid="{00000000-0005-0000-0000-0000EE1C0000}"/>
    <cellStyle name="Millares 7 4 4" xfId="6934" xr:uid="{00000000-0005-0000-0000-0000161B0000}"/>
    <cellStyle name="Millares 7 4 4 2" xfId="7575" xr:uid="{00000000-0005-0000-0000-0000971D0000}"/>
    <cellStyle name="Millares 7 4 5" xfId="7254" xr:uid="{00000000-0005-0000-0000-0000561C0000}"/>
    <cellStyle name="Millares 7 5" xfId="3808" xr:uid="{00000000-0005-0000-0000-0000E00E0000}"/>
    <cellStyle name="Millares 7 5 2" xfId="6801" xr:uid="{00000000-0005-0000-0000-0000911A0000}"/>
    <cellStyle name="Millares 7 5 2 2" xfId="7124" xr:uid="{00000000-0005-0000-0000-0000D41B0000}"/>
    <cellStyle name="Millares 7 5 2 2 2" xfId="7765" xr:uid="{00000000-0005-0000-0000-0000551E0000}"/>
    <cellStyle name="Millares 7 5 2 3" xfId="7442" xr:uid="{00000000-0005-0000-0000-0000121D0000}"/>
    <cellStyle name="Millares 7 5 3" xfId="6960" xr:uid="{00000000-0005-0000-0000-0000301B0000}"/>
    <cellStyle name="Millares 7 5 3 2" xfId="7601" xr:uid="{00000000-0005-0000-0000-0000B11D0000}"/>
    <cellStyle name="Millares 7 5 4" xfId="7280" xr:uid="{00000000-0005-0000-0000-0000701C0000}"/>
    <cellStyle name="Millares 7 6" xfId="6760" xr:uid="{00000000-0005-0000-0000-0000681A0000}"/>
    <cellStyle name="Millares 7 6 2" xfId="7083" xr:uid="{00000000-0005-0000-0000-0000AB1B0000}"/>
    <cellStyle name="Millares 7 6 2 2" xfId="7724" xr:uid="{00000000-0005-0000-0000-00002C1E0000}"/>
    <cellStyle name="Millares 7 6 3" xfId="7401" xr:uid="{00000000-0005-0000-0000-0000E91C0000}"/>
    <cellStyle name="Millares 7 7" xfId="6929" xr:uid="{00000000-0005-0000-0000-0000111B0000}"/>
    <cellStyle name="Millares 7 7 2" xfId="7570" xr:uid="{00000000-0005-0000-0000-0000921D0000}"/>
    <cellStyle name="Millares 7 8" xfId="7249" xr:uid="{00000000-0005-0000-0000-0000511C0000}"/>
    <cellStyle name="Millares 8" xfId="2040" xr:uid="{00000000-0005-0000-0000-0000F8070000}"/>
    <cellStyle name="Millares 8 2" xfId="2041" xr:uid="{00000000-0005-0000-0000-0000F9070000}"/>
    <cellStyle name="Millares 8 2 2" xfId="3815" xr:uid="{00000000-0005-0000-0000-0000E70E0000}"/>
    <cellStyle name="Millares 8 2 2 2" xfId="6808" xr:uid="{00000000-0005-0000-0000-0000981A0000}"/>
    <cellStyle name="Millares 8 2 2 2 2" xfId="7131" xr:uid="{00000000-0005-0000-0000-0000DB1B0000}"/>
    <cellStyle name="Millares 8 2 2 2 2 2" xfId="7772" xr:uid="{00000000-0005-0000-0000-00005C1E0000}"/>
    <cellStyle name="Millares 8 2 2 2 3" xfId="7449" xr:uid="{00000000-0005-0000-0000-0000191D0000}"/>
    <cellStyle name="Millares 8 2 2 3" xfId="6967" xr:uid="{00000000-0005-0000-0000-0000371B0000}"/>
    <cellStyle name="Millares 8 2 2 3 2" xfId="7608" xr:uid="{00000000-0005-0000-0000-0000B81D0000}"/>
    <cellStyle name="Millares 8 2 2 4" xfId="7287" xr:uid="{00000000-0005-0000-0000-0000771C0000}"/>
    <cellStyle name="Millares 8 2 3" xfId="6767" xr:uid="{00000000-0005-0000-0000-00006F1A0000}"/>
    <cellStyle name="Millares 8 2 3 2" xfId="7090" xr:uid="{00000000-0005-0000-0000-0000B21B0000}"/>
    <cellStyle name="Millares 8 2 3 2 2" xfId="7731" xr:uid="{00000000-0005-0000-0000-0000331E0000}"/>
    <cellStyle name="Millares 8 2 3 3" xfId="7408" xr:uid="{00000000-0005-0000-0000-0000F01C0000}"/>
    <cellStyle name="Millares 8 2 4" xfId="6936" xr:uid="{00000000-0005-0000-0000-0000181B0000}"/>
    <cellStyle name="Millares 8 2 4 2" xfId="7577" xr:uid="{00000000-0005-0000-0000-0000991D0000}"/>
    <cellStyle name="Millares 8 2 5" xfId="7256" xr:uid="{00000000-0005-0000-0000-0000581C0000}"/>
    <cellStyle name="Millares 8 3" xfId="5185" xr:uid="{00000000-0005-0000-0000-000041140000}"/>
    <cellStyle name="Millares 8 3 2" xfId="6862" xr:uid="{00000000-0005-0000-0000-0000CE1A0000}"/>
    <cellStyle name="Millares 8 3 2 2" xfId="7185" xr:uid="{00000000-0005-0000-0000-0000111C0000}"/>
    <cellStyle name="Millares 8 3 2 2 2" xfId="7826" xr:uid="{00000000-0005-0000-0000-0000921E0000}"/>
    <cellStyle name="Millares 8 3 2 3" xfId="7503" xr:uid="{00000000-0005-0000-0000-00004F1D0000}"/>
    <cellStyle name="Millares 8 3 3" xfId="7021" xr:uid="{00000000-0005-0000-0000-00006D1B0000}"/>
    <cellStyle name="Millares 8 3 3 2" xfId="7662" xr:uid="{00000000-0005-0000-0000-0000EE1D0000}"/>
    <cellStyle name="Millares 8 3 4" xfId="7339" xr:uid="{00000000-0005-0000-0000-0000AB1C0000}"/>
    <cellStyle name="Millares 8 4" xfId="5186" xr:uid="{00000000-0005-0000-0000-000042140000}"/>
    <cellStyle name="Millares 8 4 2" xfId="6863" xr:uid="{00000000-0005-0000-0000-0000CF1A0000}"/>
    <cellStyle name="Millares 8 4 2 2" xfId="7186" xr:uid="{00000000-0005-0000-0000-0000121C0000}"/>
    <cellStyle name="Millares 8 4 2 2 2" xfId="7827" xr:uid="{00000000-0005-0000-0000-0000931E0000}"/>
    <cellStyle name="Millares 8 4 2 3" xfId="7504" xr:uid="{00000000-0005-0000-0000-0000501D0000}"/>
    <cellStyle name="Millares 8 4 3" xfId="7022" xr:uid="{00000000-0005-0000-0000-00006E1B0000}"/>
    <cellStyle name="Millares 8 4 3 2" xfId="7663" xr:uid="{00000000-0005-0000-0000-0000EF1D0000}"/>
    <cellStyle name="Millares 8 4 4" xfId="7340" xr:uid="{00000000-0005-0000-0000-0000AC1C0000}"/>
    <cellStyle name="Millares 8 5" xfId="3814" xr:uid="{00000000-0005-0000-0000-0000E60E0000}"/>
    <cellStyle name="Millares 8 5 2" xfId="6807" xr:uid="{00000000-0005-0000-0000-0000971A0000}"/>
    <cellStyle name="Millares 8 5 2 2" xfId="7130" xr:uid="{00000000-0005-0000-0000-0000DA1B0000}"/>
    <cellStyle name="Millares 8 5 2 2 2" xfId="7771" xr:uid="{00000000-0005-0000-0000-00005B1E0000}"/>
    <cellStyle name="Millares 8 5 2 3" xfId="7448" xr:uid="{00000000-0005-0000-0000-0000181D0000}"/>
    <cellStyle name="Millares 8 5 3" xfId="6966" xr:uid="{00000000-0005-0000-0000-0000361B0000}"/>
    <cellStyle name="Millares 8 5 3 2" xfId="7607" xr:uid="{00000000-0005-0000-0000-0000B71D0000}"/>
    <cellStyle name="Millares 8 5 4" xfId="7286" xr:uid="{00000000-0005-0000-0000-0000761C0000}"/>
    <cellStyle name="Millares 8 6" xfId="6766" xr:uid="{00000000-0005-0000-0000-00006E1A0000}"/>
    <cellStyle name="Millares 8 6 2" xfId="7089" xr:uid="{00000000-0005-0000-0000-0000B11B0000}"/>
    <cellStyle name="Millares 8 6 2 2" xfId="7730" xr:uid="{00000000-0005-0000-0000-0000321E0000}"/>
    <cellStyle name="Millares 8 6 3" xfId="7407" xr:uid="{00000000-0005-0000-0000-0000EF1C0000}"/>
    <cellStyle name="Millares 8 7" xfId="6935" xr:uid="{00000000-0005-0000-0000-0000171B0000}"/>
    <cellStyle name="Millares 8 7 2" xfId="7576" xr:uid="{00000000-0005-0000-0000-0000981D0000}"/>
    <cellStyle name="Millares 8 8" xfId="7255" xr:uid="{00000000-0005-0000-0000-0000571C0000}"/>
    <cellStyle name="Millares 9" xfId="2042" xr:uid="{00000000-0005-0000-0000-0000FA070000}"/>
    <cellStyle name="Millares 9 2" xfId="2043" xr:uid="{00000000-0005-0000-0000-0000FB070000}"/>
    <cellStyle name="Millares 9 2 2" xfId="3817" xr:uid="{00000000-0005-0000-0000-0000E90E0000}"/>
    <cellStyle name="Millares 9 2 2 2" xfId="6810" xr:uid="{00000000-0005-0000-0000-00009A1A0000}"/>
    <cellStyle name="Millares 9 2 2 2 2" xfId="7133" xr:uid="{00000000-0005-0000-0000-0000DD1B0000}"/>
    <cellStyle name="Millares 9 2 2 2 2 2" xfId="7774" xr:uid="{00000000-0005-0000-0000-00005E1E0000}"/>
    <cellStyle name="Millares 9 2 2 2 3" xfId="7451" xr:uid="{00000000-0005-0000-0000-00001B1D0000}"/>
    <cellStyle name="Millares 9 2 2 3" xfId="6969" xr:uid="{00000000-0005-0000-0000-0000391B0000}"/>
    <cellStyle name="Millares 9 2 2 3 2" xfId="7610" xr:uid="{00000000-0005-0000-0000-0000BA1D0000}"/>
    <cellStyle name="Millares 9 2 2 4" xfId="7289" xr:uid="{00000000-0005-0000-0000-0000791C0000}"/>
    <cellStyle name="Millares 9 2 3" xfId="6769" xr:uid="{00000000-0005-0000-0000-0000711A0000}"/>
    <cellStyle name="Millares 9 2 3 2" xfId="7092" xr:uid="{00000000-0005-0000-0000-0000B41B0000}"/>
    <cellStyle name="Millares 9 2 3 2 2" xfId="7733" xr:uid="{00000000-0005-0000-0000-0000351E0000}"/>
    <cellStyle name="Millares 9 2 3 3" xfId="7410" xr:uid="{00000000-0005-0000-0000-0000F21C0000}"/>
    <cellStyle name="Millares 9 2 4" xfId="6938" xr:uid="{00000000-0005-0000-0000-00001A1B0000}"/>
    <cellStyle name="Millares 9 2 4 2" xfId="7579" xr:uid="{00000000-0005-0000-0000-00009B1D0000}"/>
    <cellStyle name="Millares 9 2 5" xfId="7258" xr:uid="{00000000-0005-0000-0000-00005A1C0000}"/>
    <cellStyle name="Millares 9 3" xfId="5187" xr:uid="{00000000-0005-0000-0000-000043140000}"/>
    <cellStyle name="Millares 9 3 2" xfId="6864" xr:uid="{00000000-0005-0000-0000-0000D01A0000}"/>
    <cellStyle name="Millares 9 3 2 2" xfId="7187" xr:uid="{00000000-0005-0000-0000-0000131C0000}"/>
    <cellStyle name="Millares 9 3 2 2 2" xfId="7828" xr:uid="{00000000-0005-0000-0000-0000941E0000}"/>
    <cellStyle name="Millares 9 3 2 3" xfId="7505" xr:uid="{00000000-0005-0000-0000-0000511D0000}"/>
    <cellStyle name="Millares 9 3 3" xfId="7023" xr:uid="{00000000-0005-0000-0000-00006F1B0000}"/>
    <cellStyle name="Millares 9 3 3 2" xfId="7664" xr:uid="{00000000-0005-0000-0000-0000F01D0000}"/>
    <cellStyle name="Millares 9 3 4" xfId="7341" xr:uid="{00000000-0005-0000-0000-0000AD1C0000}"/>
    <cellStyle name="Millares 9 4" xfId="5188" xr:uid="{00000000-0005-0000-0000-000044140000}"/>
    <cellStyle name="Millares 9 4 2" xfId="6865" xr:uid="{00000000-0005-0000-0000-0000D11A0000}"/>
    <cellStyle name="Millares 9 4 2 2" xfId="7188" xr:uid="{00000000-0005-0000-0000-0000141C0000}"/>
    <cellStyle name="Millares 9 4 2 2 2" xfId="7829" xr:uid="{00000000-0005-0000-0000-0000951E0000}"/>
    <cellStyle name="Millares 9 4 2 3" xfId="7506" xr:uid="{00000000-0005-0000-0000-0000521D0000}"/>
    <cellStyle name="Millares 9 4 3" xfId="7024" xr:uid="{00000000-0005-0000-0000-0000701B0000}"/>
    <cellStyle name="Millares 9 4 3 2" xfId="7665" xr:uid="{00000000-0005-0000-0000-0000F11D0000}"/>
    <cellStyle name="Millares 9 4 4" xfId="7342" xr:uid="{00000000-0005-0000-0000-0000AE1C0000}"/>
    <cellStyle name="Millares 9 5" xfId="3816" xr:uid="{00000000-0005-0000-0000-0000E80E0000}"/>
    <cellStyle name="Millares 9 5 2" xfId="6809" xr:uid="{00000000-0005-0000-0000-0000991A0000}"/>
    <cellStyle name="Millares 9 5 2 2" xfId="7132" xr:uid="{00000000-0005-0000-0000-0000DC1B0000}"/>
    <cellStyle name="Millares 9 5 2 2 2" xfId="7773" xr:uid="{00000000-0005-0000-0000-00005D1E0000}"/>
    <cellStyle name="Millares 9 5 2 3" xfId="7450" xr:uid="{00000000-0005-0000-0000-00001A1D0000}"/>
    <cellStyle name="Millares 9 5 3" xfId="6968" xr:uid="{00000000-0005-0000-0000-0000381B0000}"/>
    <cellStyle name="Millares 9 5 3 2" xfId="7609" xr:uid="{00000000-0005-0000-0000-0000B91D0000}"/>
    <cellStyle name="Millares 9 5 4" xfId="7288" xr:uid="{00000000-0005-0000-0000-0000781C0000}"/>
    <cellStyle name="Millares 9 6" xfId="6768" xr:uid="{00000000-0005-0000-0000-0000701A0000}"/>
    <cellStyle name="Millares 9 6 2" xfId="7091" xr:uid="{00000000-0005-0000-0000-0000B31B0000}"/>
    <cellStyle name="Millares 9 6 2 2" xfId="7732" xr:uid="{00000000-0005-0000-0000-0000341E0000}"/>
    <cellStyle name="Millares 9 6 3" xfId="7409" xr:uid="{00000000-0005-0000-0000-0000F11C0000}"/>
    <cellStyle name="Millares 9 7" xfId="6937" xr:uid="{00000000-0005-0000-0000-0000191B0000}"/>
    <cellStyle name="Millares 9 7 2" xfId="7578" xr:uid="{00000000-0005-0000-0000-00009A1D0000}"/>
    <cellStyle name="Millares 9 8" xfId="7257" xr:uid="{00000000-0005-0000-0000-0000591C0000}"/>
    <cellStyle name="Millares(0)" xfId="2044" xr:uid="{00000000-0005-0000-0000-0000FC070000}"/>
    <cellStyle name="Millares(0) 2" xfId="2045" xr:uid="{00000000-0005-0000-0000-0000FD070000}"/>
    <cellStyle name="Millares(0) 2 2" xfId="2046" xr:uid="{00000000-0005-0000-0000-0000FE070000}"/>
    <cellStyle name="Millares(0) 2 3" xfId="2047" xr:uid="{00000000-0005-0000-0000-0000FF070000}"/>
    <cellStyle name="Millares(0) 3" xfId="2048" xr:uid="{00000000-0005-0000-0000-000000080000}"/>
    <cellStyle name="Millares(0) 3 2" xfId="2049" xr:uid="{00000000-0005-0000-0000-000001080000}"/>
    <cellStyle name="Millares(0) 4" xfId="2050" xr:uid="{00000000-0005-0000-0000-000002080000}"/>
    <cellStyle name="Millares(0) 4 2" xfId="2051" xr:uid="{00000000-0005-0000-0000-000003080000}"/>
    <cellStyle name="Millares(0) 5" xfId="2052" xr:uid="{00000000-0005-0000-0000-000004080000}"/>
    <cellStyle name="Millares(0) 6" xfId="2053" xr:uid="{00000000-0005-0000-0000-000005080000}"/>
    <cellStyle name="Millares(0)_Cuadros Excel  kilometros 2008" xfId="2054" xr:uid="{00000000-0005-0000-0000-000006080000}"/>
    <cellStyle name="Millares(1)" xfId="2055" xr:uid="{00000000-0005-0000-0000-000007080000}"/>
    <cellStyle name="Millares(1) 2" xfId="2056" xr:uid="{00000000-0005-0000-0000-000008080000}"/>
    <cellStyle name="Millares(1) 2 2" xfId="2057" xr:uid="{00000000-0005-0000-0000-000009080000}"/>
    <cellStyle name="Millares(1) 2 3" xfId="2058" xr:uid="{00000000-0005-0000-0000-00000A080000}"/>
    <cellStyle name="Millares(1) 3" xfId="2059" xr:uid="{00000000-0005-0000-0000-00000B080000}"/>
    <cellStyle name="Millares(1) 3 2" xfId="2060" xr:uid="{00000000-0005-0000-0000-00000C080000}"/>
    <cellStyle name="Millares(1) 4" xfId="2061" xr:uid="{00000000-0005-0000-0000-00000D080000}"/>
    <cellStyle name="Millares(1) 4 2" xfId="2062" xr:uid="{00000000-0005-0000-0000-00000E080000}"/>
    <cellStyle name="Millares(1) 5" xfId="2063" xr:uid="{00000000-0005-0000-0000-00000F080000}"/>
    <cellStyle name="Millares(1) 6" xfId="2064" xr:uid="{00000000-0005-0000-0000-000010080000}"/>
    <cellStyle name="Millares(1)_Cuadros Excel  kilometros 2008" xfId="2065" xr:uid="{00000000-0005-0000-0000-000011080000}"/>
    <cellStyle name="Millares[1]" xfId="2066" xr:uid="{00000000-0005-0000-0000-000012080000}"/>
    <cellStyle name="Millares[1] 2" xfId="2067" xr:uid="{00000000-0005-0000-0000-000013080000}"/>
    <cellStyle name="Millares[1] 2 2" xfId="2068" xr:uid="{00000000-0005-0000-0000-000014080000}"/>
    <cellStyle name="Millares[1] 2 3" xfId="2069" xr:uid="{00000000-0005-0000-0000-000015080000}"/>
    <cellStyle name="Millares[1] 3" xfId="2070" xr:uid="{00000000-0005-0000-0000-000016080000}"/>
    <cellStyle name="Millares[1] 3 2" xfId="2071" xr:uid="{00000000-0005-0000-0000-000017080000}"/>
    <cellStyle name="Millares[1] 4" xfId="2072" xr:uid="{00000000-0005-0000-0000-000018080000}"/>
    <cellStyle name="Millares[1] 4 2" xfId="2073" xr:uid="{00000000-0005-0000-0000-000019080000}"/>
    <cellStyle name="Millares[1] 5" xfId="2074" xr:uid="{00000000-0005-0000-0000-00001A080000}"/>
    <cellStyle name="Millares[1] 6" xfId="2075" xr:uid="{00000000-0005-0000-0000-00001B080000}"/>
    <cellStyle name="Millares[1]_Cuadros Excel  kilometros 2008" xfId="2076" xr:uid="{00000000-0005-0000-0000-00001C080000}"/>
    <cellStyle name="Moeda [0]" xfId="2077" xr:uid="{00000000-0005-0000-0000-00001D080000}"/>
    <cellStyle name="Moeda [0] 2" xfId="5189" xr:uid="{00000000-0005-0000-0000-000045140000}"/>
    <cellStyle name="Moeda_01-08_RESULTADO" xfId="3436" xr:uid="{00000000-0005-0000-0000-00006C0D0000}"/>
    <cellStyle name="Moneda [0] 2" xfId="15" xr:uid="{00000000-0005-0000-0000-00000F000000}"/>
    <cellStyle name="Moneda 10" xfId="5190" xr:uid="{00000000-0005-0000-0000-000046140000}"/>
    <cellStyle name="Moneda 11" xfId="3822" xr:uid="{00000000-0005-0000-0000-0000EE0E0000}"/>
    <cellStyle name="Moneda 2" xfId="5191" xr:uid="{00000000-0005-0000-0000-000047140000}"/>
    <cellStyle name="Moneda 2 2" xfId="5192" xr:uid="{00000000-0005-0000-0000-000048140000}"/>
    <cellStyle name="Moneda 3" xfId="5193" xr:uid="{00000000-0005-0000-0000-000049140000}"/>
    <cellStyle name="Moneda 4" xfId="5194" xr:uid="{00000000-0005-0000-0000-00004A140000}"/>
    <cellStyle name="Moneda 5" xfId="5195" xr:uid="{00000000-0005-0000-0000-00004B140000}"/>
    <cellStyle name="Moneda 6" xfId="5196" xr:uid="{00000000-0005-0000-0000-00004C140000}"/>
    <cellStyle name="Moneda 7" xfId="5197" xr:uid="{00000000-0005-0000-0000-00004D140000}"/>
    <cellStyle name="Moneda 8" xfId="5198" xr:uid="{00000000-0005-0000-0000-00004E140000}"/>
    <cellStyle name="Moneda 9" xfId="5199" xr:uid="{00000000-0005-0000-0000-00004F140000}"/>
    <cellStyle name="Monetario" xfId="3437" xr:uid="{00000000-0005-0000-0000-00006D0D0000}"/>
    <cellStyle name="Monetario0" xfId="3438" xr:uid="{00000000-0005-0000-0000-00006E0D0000}"/>
    <cellStyle name="Neutra" xfId="2078" xr:uid="{00000000-0005-0000-0000-00001E080000}"/>
    <cellStyle name="Neutral 10" xfId="5200" xr:uid="{00000000-0005-0000-0000-000050140000}"/>
    <cellStyle name="Neutral 11" xfId="5201" xr:uid="{00000000-0005-0000-0000-000051140000}"/>
    <cellStyle name="Neutral 12" xfId="5202" xr:uid="{00000000-0005-0000-0000-000052140000}"/>
    <cellStyle name="Neutral 13" xfId="5203" xr:uid="{00000000-0005-0000-0000-000053140000}"/>
    <cellStyle name="Neutral 14" xfId="5204" xr:uid="{00000000-0005-0000-0000-000054140000}"/>
    <cellStyle name="Neutral 14 2" xfId="5205" xr:uid="{00000000-0005-0000-0000-000055140000}"/>
    <cellStyle name="Neutral 15" xfId="5206" xr:uid="{00000000-0005-0000-0000-000056140000}"/>
    <cellStyle name="Neutral 2" xfId="3439" xr:uid="{00000000-0005-0000-0000-00006F0D0000}"/>
    <cellStyle name="Neutral 2 2" xfId="5207" xr:uid="{00000000-0005-0000-0000-000057140000}"/>
    <cellStyle name="Neutral 2 3" xfId="5208" xr:uid="{00000000-0005-0000-0000-000058140000}"/>
    <cellStyle name="Neutral 2 4" xfId="5209" xr:uid="{00000000-0005-0000-0000-000059140000}"/>
    <cellStyle name="Neutral 3" xfId="3440" xr:uid="{00000000-0005-0000-0000-0000700D0000}"/>
    <cellStyle name="Neutral 3 2" xfId="5210" xr:uid="{00000000-0005-0000-0000-00005A140000}"/>
    <cellStyle name="Neutral 3 3" xfId="5211" xr:uid="{00000000-0005-0000-0000-00005B140000}"/>
    <cellStyle name="Neutral 4" xfId="5212" xr:uid="{00000000-0005-0000-0000-00005C140000}"/>
    <cellStyle name="Neutral 4 2" xfId="5213" xr:uid="{00000000-0005-0000-0000-00005D140000}"/>
    <cellStyle name="Neutral 4 3" xfId="5214" xr:uid="{00000000-0005-0000-0000-00005E140000}"/>
    <cellStyle name="Neutral 5" xfId="5215" xr:uid="{00000000-0005-0000-0000-00005F140000}"/>
    <cellStyle name="Neutral 6" xfId="5216" xr:uid="{00000000-0005-0000-0000-000060140000}"/>
    <cellStyle name="Neutral 7" xfId="5217" xr:uid="{00000000-0005-0000-0000-000061140000}"/>
    <cellStyle name="Neutral 8" xfId="5218" xr:uid="{00000000-0005-0000-0000-000062140000}"/>
    <cellStyle name="Neutral 9" xfId="5219" xr:uid="{00000000-0005-0000-0000-000063140000}"/>
    <cellStyle name="no dec" xfId="2079" xr:uid="{00000000-0005-0000-0000-00001F080000}"/>
    <cellStyle name="no dec 2" xfId="2080" xr:uid="{00000000-0005-0000-0000-000020080000}"/>
    <cellStyle name="no dec 2 2" xfId="2081" xr:uid="{00000000-0005-0000-0000-000021080000}"/>
    <cellStyle name="no dec 2 3" xfId="2082" xr:uid="{00000000-0005-0000-0000-000022080000}"/>
    <cellStyle name="no dec 2 4" xfId="2083" xr:uid="{00000000-0005-0000-0000-000023080000}"/>
    <cellStyle name="no dec 2 5" xfId="2084" xr:uid="{00000000-0005-0000-0000-000024080000}"/>
    <cellStyle name="no dec 2 6" xfId="2085" xr:uid="{00000000-0005-0000-0000-000025080000}"/>
    <cellStyle name="no dec 2 7" xfId="2086" xr:uid="{00000000-0005-0000-0000-000026080000}"/>
    <cellStyle name="no dec 2 8" xfId="2087" xr:uid="{00000000-0005-0000-0000-000027080000}"/>
    <cellStyle name="no dec 2_ActiFijos" xfId="2088" xr:uid="{00000000-0005-0000-0000-000028080000}"/>
    <cellStyle name="no dec 3" xfId="2089" xr:uid="{00000000-0005-0000-0000-000029080000}"/>
    <cellStyle name="no dec 3 2" xfId="2090" xr:uid="{00000000-0005-0000-0000-00002A080000}"/>
    <cellStyle name="no dec 3 3" xfId="2091" xr:uid="{00000000-0005-0000-0000-00002B080000}"/>
    <cellStyle name="no dec 3 4" xfId="2092" xr:uid="{00000000-0005-0000-0000-00002C080000}"/>
    <cellStyle name="no dec 3 5" xfId="2093" xr:uid="{00000000-0005-0000-0000-00002D080000}"/>
    <cellStyle name="no dec 3 6" xfId="2094" xr:uid="{00000000-0005-0000-0000-00002E080000}"/>
    <cellStyle name="no dec 3 7" xfId="2095" xr:uid="{00000000-0005-0000-0000-00002F080000}"/>
    <cellStyle name="no dec 3 8" xfId="2096" xr:uid="{00000000-0005-0000-0000-000030080000}"/>
    <cellStyle name="no dec 3_ActiFijos" xfId="2097" xr:uid="{00000000-0005-0000-0000-000031080000}"/>
    <cellStyle name="no dec 4" xfId="2098" xr:uid="{00000000-0005-0000-0000-000032080000}"/>
    <cellStyle name="no dec 4 2" xfId="2099" xr:uid="{00000000-0005-0000-0000-000033080000}"/>
    <cellStyle name="no dec 4 3" xfId="2100" xr:uid="{00000000-0005-0000-0000-000034080000}"/>
    <cellStyle name="no dec 4 4" xfId="2101" xr:uid="{00000000-0005-0000-0000-000035080000}"/>
    <cellStyle name="no dec 4 5" xfId="2102" xr:uid="{00000000-0005-0000-0000-000036080000}"/>
    <cellStyle name="no dec 4 6" xfId="2103" xr:uid="{00000000-0005-0000-0000-000037080000}"/>
    <cellStyle name="no dec 4 7" xfId="2104" xr:uid="{00000000-0005-0000-0000-000038080000}"/>
    <cellStyle name="no dec 4 8" xfId="2105" xr:uid="{00000000-0005-0000-0000-000039080000}"/>
    <cellStyle name="no dec 4_ActiFijos" xfId="2106" xr:uid="{00000000-0005-0000-0000-00003A080000}"/>
    <cellStyle name="no dec_Bases_Generales" xfId="2107" xr:uid="{00000000-0005-0000-0000-00003B080000}"/>
    <cellStyle name="Normal" xfId="0" builtinId="0"/>
    <cellStyle name="Normal - Style1" xfId="2108" xr:uid="{00000000-0005-0000-0000-00003C080000}"/>
    <cellStyle name="Normal (%)" xfId="3441" xr:uid="{00000000-0005-0000-0000-0000710D0000}"/>
    <cellStyle name="Normal (£m)" xfId="3442" xr:uid="{00000000-0005-0000-0000-0000720D0000}"/>
    <cellStyle name="Normal (x)" xfId="3443" xr:uid="{00000000-0005-0000-0000-0000730D0000}"/>
    <cellStyle name="Normal 10" xfId="2109" xr:uid="{00000000-0005-0000-0000-00003D080000}"/>
    <cellStyle name="Normal 10 2" xfId="5220" xr:uid="{00000000-0005-0000-0000-000064140000}"/>
    <cellStyle name="Normal 11" xfId="2110" xr:uid="{00000000-0005-0000-0000-00003E080000}"/>
    <cellStyle name="Normal 11 2" xfId="92" xr:uid="{00000000-0005-0000-0000-00005C000000}"/>
    <cellStyle name="Normal 11 3" xfId="27" xr:uid="{00000000-0005-0000-0000-00001B000000}"/>
    <cellStyle name="Normal 12" xfId="3302" xr:uid="{00000000-0005-0000-0000-0000E60C0000}"/>
    <cellStyle name="Normal 12 2" xfId="5221" xr:uid="{00000000-0005-0000-0000-000065140000}"/>
    <cellStyle name="Normal 12 3" xfId="5222" xr:uid="{00000000-0005-0000-0000-000066140000}"/>
    <cellStyle name="Normal 12 4" xfId="3818" xr:uid="{00000000-0005-0000-0000-0000EA0E0000}"/>
    <cellStyle name="Normal 13" xfId="3303" xr:uid="{00000000-0005-0000-0000-0000E70C0000}"/>
    <cellStyle name="Normal 13 2" xfId="3667" xr:uid="{00000000-0005-0000-0000-0000530E0000}"/>
    <cellStyle name="Normal 14" xfId="3668" xr:uid="{00000000-0005-0000-0000-0000540E0000}"/>
    <cellStyle name="Normal 14 2" xfId="3669" xr:uid="{00000000-0005-0000-0000-0000550E0000}"/>
    <cellStyle name="Normal 14 2 2" xfId="5223" xr:uid="{00000000-0005-0000-0000-000067140000}"/>
    <cellStyle name="Normal 14 3" xfId="3670" xr:uid="{00000000-0005-0000-0000-0000560E0000}"/>
    <cellStyle name="Normal 14 3 2" xfId="5224" xr:uid="{00000000-0005-0000-0000-000068140000}"/>
    <cellStyle name="Normal 14 4" xfId="5225" xr:uid="{00000000-0005-0000-0000-000069140000}"/>
    <cellStyle name="Normal 14 4 2" xfId="5226" xr:uid="{00000000-0005-0000-0000-00006A140000}"/>
    <cellStyle name="Normal 14 5" xfId="5227" xr:uid="{00000000-0005-0000-0000-00006B140000}"/>
    <cellStyle name="Normal 14 5 2" xfId="5228" xr:uid="{00000000-0005-0000-0000-00006C140000}"/>
    <cellStyle name="Normal 14 6" xfId="5229" xr:uid="{00000000-0005-0000-0000-00006D140000}"/>
    <cellStyle name="Normal 14 6 2" xfId="5230" xr:uid="{00000000-0005-0000-0000-00006E140000}"/>
    <cellStyle name="Normal 14 7" xfId="5231" xr:uid="{00000000-0005-0000-0000-00006F140000}"/>
    <cellStyle name="Normal 14 7 2" xfId="5232" xr:uid="{00000000-0005-0000-0000-000070140000}"/>
    <cellStyle name="Normal 15" xfId="5233" xr:uid="{00000000-0005-0000-0000-000071140000}"/>
    <cellStyle name="Normal 16" xfId="3740" xr:uid="{00000000-0005-0000-0000-00009C0E0000}"/>
    <cellStyle name="Normal 16 2" xfId="3671" xr:uid="{00000000-0005-0000-0000-0000570E0000}"/>
    <cellStyle name="Normal 16 2 2" xfId="5234" xr:uid="{00000000-0005-0000-0000-000072140000}"/>
    <cellStyle name="Normal 16 3" xfId="3672" xr:uid="{00000000-0005-0000-0000-0000580E0000}"/>
    <cellStyle name="Normal 16 3 2" xfId="5235" xr:uid="{00000000-0005-0000-0000-000073140000}"/>
    <cellStyle name="Normal 16 4" xfId="5236" xr:uid="{00000000-0005-0000-0000-000074140000}"/>
    <cellStyle name="Normal 16 4 2" xfId="5237" xr:uid="{00000000-0005-0000-0000-000075140000}"/>
    <cellStyle name="Normal 16 5" xfId="5238" xr:uid="{00000000-0005-0000-0000-000076140000}"/>
    <cellStyle name="Normal 16 5 2" xfId="5239" xr:uid="{00000000-0005-0000-0000-000077140000}"/>
    <cellStyle name="Normal 17" xfId="3741" xr:uid="{00000000-0005-0000-0000-00009D0E0000}"/>
    <cellStyle name="Normal 170 2" xfId="11" xr:uid="{00000000-0005-0000-0000-00000B000000}"/>
    <cellStyle name="Normal 172" xfId="9" xr:uid="{00000000-0005-0000-0000-000009000000}"/>
    <cellStyle name="Normal 18" xfId="5240" xr:uid="{00000000-0005-0000-0000-000078140000}"/>
    <cellStyle name="Normal 18 2" xfId="5241" xr:uid="{00000000-0005-0000-0000-000079140000}"/>
    <cellStyle name="Normal 19" xfId="5242" xr:uid="{00000000-0005-0000-0000-00007A140000}"/>
    <cellStyle name="Normal 19 2" xfId="5243" xr:uid="{00000000-0005-0000-0000-00007B140000}"/>
    <cellStyle name="Normal 19 4" xfId="22" xr:uid="{00000000-0005-0000-0000-000016000000}"/>
    <cellStyle name="Normal 2" xfId="7" xr:uid="{00000000-0005-0000-0000-000007000000}"/>
    <cellStyle name="Normal 2 10" xfId="5244" xr:uid="{00000000-0005-0000-0000-00007C140000}"/>
    <cellStyle name="Normal 2 10 2" xfId="5245" xr:uid="{00000000-0005-0000-0000-00007D140000}"/>
    <cellStyle name="Normal 2 10 3" xfId="5246" xr:uid="{00000000-0005-0000-0000-00007E140000}"/>
    <cellStyle name="Normal 2 11" xfId="5247" xr:uid="{00000000-0005-0000-0000-00007F140000}"/>
    <cellStyle name="Normal 2 11 2" xfId="5248" xr:uid="{00000000-0005-0000-0000-000080140000}"/>
    <cellStyle name="Normal 2 11 3" xfId="5249" xr:uid="{00000000-0005-0000-0000-000081140000}"/>
    <cellStyle name="Normal 2 12" xfId="5250" xr:uid="{00000000-0005-0000-0000-000082140000}"/>
    <cellStyle name="Normal 2 12 2" xfId="5251" xr:uid="{00000000-0005-0000-0000-000083140000}"/>
    <cellStyle name="Normal 2 12 3" xfId="5252" xr:uid="{00000000-0005-0000-0000-000084140000}"/>
    <cellStyle name="Normal 2 13" xfId="5253" xr:uid="{00000000-0005-0000-0000-000085140000}"/>
    <cellStyle name="Normal 2 13 2" xfId="5254" xr:uid="{00000000-0005-0000-0000-000086140000}"/>
    <cellStyle name="Normal 2 13 3" xfId="5255" xr:uid="{00000000-0005-0000-0000-000087140000}"/>
    <cellStyle name="Normal 2 14" xfId="5256" xr:uid="{00000000-0005-0000-0000-000088140000}"/>
    <cellStyle name="Normal 2 14 2" xfId="5257" xr:uid="{00000000-0005-0000-0000-000089140000}"/>
    <cellStyle name="Normal 2 14 3" xfId="5258" xr:uid="{00000000-0005-0000-0000-00008A140000}"/>
    <cellStyle name="Normal 2 15" xfId="5259" xr:uid="{00000000-0005-0000-0000-00008B140000}"/>
    <cellStyle name="Normal 2 15 2" xfId="5260" xr:uid="{00000000-0005-0000-0000-00008C140000}"/>
    <cellStyle name="Normal 2 15 3" xfId="5261" xr:uid="{00000000-0005-0000-0000-00008D140000}"/>
    <cellStyle name="Normal 2 16" xfId="5262" xr:uid="{00000000-0005-0000-0000-00008E140000}"/>
    <cellStyle name="Normal 2 16 2" xfId="5263" xr:uid="{00000000-0005-0000-0000-00008F140000}"/>
    <cellStyle name="Normal 2 16 3" xfId="5264" xr:uid="{00000000-0005-0000-0000-000090140000}"/>
    <cellStyle name="Normal 2 17" xfId="13" xr:uid="{00000000-0005-0000-0000-00000D000000}"/>
    <cellStyle name="Normal 2 17 2" xfId="2111" xr:uid="{00000000-0005-0000-0000-00003F080000}"/>
    <cellStyle name="Normal 2 2" xfId="70" xr:uid="{00000000-0005-0000-0000-000046000000}"/>
    <cellStyle name="Normal 2 2 10" xfId="5265" xr:uid="{00000000-0005-0000-0000-000091140000}"/>
    <cellStyle name="Normal 2 2 11" xfId="5266" xr:uid="{00000000-0005-0000-0000-000092140000}"/>
    <cellStyle name="Normal 2 2 12" xfId="5267" xr:uid="{00000000-0005-0000-0000-000093140000}"/>
    <cellStyle name="Normal 2 2 12 2" xfId="5268" xr:uid="{00000000-0005-0000-0000-000094140000}"/>
    <cellStyle name="Normal 2 2 12 3" xfId="5269" xr:uid="{00000000-0005-0000-0000-000095140000}"/>
    <cellStyle name="Normal 2 2 13" xfId="2112" xr:uid="{00000000-0005-0000-0000-000040080000}"/>
    <cellStyle name="Normal 2 2 2" xfId="88" xr:uid="{00000000-0005-0000-0000-000058000000}"/>
    <cellStyle name="Normal 2 2 2 2" xfId="5270" xr:uid="{00000000-0005-0000-0000-000096140000}"/>
    <cellStyle name="Normal 2 2 2 3" xfId="5271" xr:uid="{00000000-0005-0000-0000-000097140000}"/>
    <cellStyle name="Normal 2 2 2 4" xfId="5272" xr:uid="{00000000-0005-0000-0000-000098140000}"/>
    <cellStyle name="Normal 2 2 2 5" xfId="5273" xr:uid="{00000000-0005-0000-0000-000099140000}"/>
    <cellStyle name="Normal 2 2 2 6" xfId="5274" xr:uid="{00000000-0005-0000-0000-00009A140000}"/>
    <cellStyle name="Normal 2 2 2 7" xfId="6717" xr:uid="{00000000-0005-0000-0000-00003D1A0000}"/>
    <cellStyle name="Normal 2 2 2 8" xfId="3743" xr:uid="{00000000-0005-0000-0000-00009F0E0000}"/>
    <cellStyle name="Normal 2 2 3" xfId="5275" xr:uid="{00000000-0005-0000-0000-00009B140000}"/>
    <cellStyle name="Normal 2 2 4" xfId="5276" xr:uid="{00000000-0005-0000-0000-00009C140000}"/>
    <cellStyle name="Normal 2 2 4 2" xfId="5277" xr:uid="{00000000-0005-0000-0000-00009D140000}"/>
    <cellStyle name="Normal 2 2 5" xfId="5278" xr:uid="{00000000-0005-0000-0000-00009E140000}"/>
    <cellStyle name="Normal 2 2 6" xfId="5279" xr:uid="{00000000-0005-0000-0000-00009F140000}"/>
    <cellStyle name="Normal 2 2 7" xfId="5280" xr:uid="{00000000-0005-0000-0000-0000A0140000}"/>
    <cellStyle name="Normal 2 2 8" xfId="5281" xr:uid="{00000000-0005-0000-0000-0000A1140000}"/>
    <cellStyle name="Normal 2 2 9" xfId="5282" xr:uid="{00000000-0005-0000-0000-0000A2140000}"/>
    <cellStyle name="Normal 2 3" xfId="3734" xr:uid="{00000000-0005-0000-0000-0000960E0000}"/>
    <cellStyle name="Normal 2 3 2" xfId="5283" xr:uid="{00000000-0005-0000-0000-0000A3140000}"/>
    <cellStyle name="Normal 2 4" xfId="3735" xr:uid="{00000000-0005-0000-0000-0000970E0000}"/>
    <cellStyle name="Normal 2 4 2" xfId="5284" xr:uid="{00000000-0005-0000-0000-0000A4140000}"/>
    <cellStyle name="Normal 2 47" xfId="7863" xr:uid="{00000000-0005-0000-0000-0000B71E0000}"/>
    <cellStyle name="Normal 2 5" xfId="3736" xr:uid="{00000000-0005-0000-0000-0000980E0000}"/>
    <cellStyle name="Normal 2 6" xfId="3737" xr:uid="{00000000-0005-0000-0000-0000990E0000}"/>
    <cellStyle name="Normal 2 7" xfId="3738" xr:uid="{00000000-0005-0000-0000-00009A0E0000}"/>
    <cellStyle name="Normal 2 8" xfId="5285" xr:uid="{00000000-0005-0000-0000-0000A5140000}"/>
    <cellStyle name="Normal 2 8 2" xfId="5286" xr:uid="{00000000-0005-0000-0000-0000A6140000}"/>
    <cellStyle name="Normal 2 8 3" xfId="5287" xr:uid="{00000000-0005-0000-0000-0000A7140000}"/>
    <cellStyle name="Normal 2 9" xfId="5288" xr:uid="{00000000-0005-0000-0000-0000A8140000}"/>
    <cellStyle name="Normal 2 9 2" xfId="5289" xr:uid="{00000000-0005-0000-0000-0000A9140000}"/>
    <cellStyle name="Normal 2 9 3" xfId="5290" xr:uid="{00000000-0005-0000-0000-0000AA140000}"/>
    <cellStyle name="Normal 20" xfId="5291" xr:uid="{00000000-0005-0000-0000-0000AB140000}"/>
    <cellStyle name="Normal 21" xfId="5292" xr:uid="{00000000-0005-0000-0000-0000AC140000}"/>
    <cellStyle name="Normal 22" xfId="5293" xr:uid="{00000000-0005-0000-0000-0000AD140000}"/>
    <cellStyle name="Normal 23" xfId="5294" xr:uid="{00000000-0005-0000-0000-0000AE140000}"/>
    <cellStyle name="Normal 24" xfId="5295" xr:uid="{00000000-0005-0000-0000-0000AF140000}"/>
    <cellStyle name="Normal 25" xfId="5296" xr:uid="{00000000-0005-0000-0000-0000B0140000}"/>
    <cellStyle name="Normal 26" xfId="5297" xr:uid="{00000000-0005-0000-0000-0000B1140000}"/>
    <cellStyle name="Normal 27" xfId="5298" xr:uid="{00000000-0005-0000-0000-0000B2140000}"/>
    <cellStyle name="Normal 28" xfId="5299" xr:uid="{00000000-0005-0000-0000-0000B3140000}"/>
    <cellStyle name="Normal 29" xfId="5300" xr:uid="{00000000-0005-0000-0000-0000B4140000}"/>
    <cellStyle name="Normal 3" xfId="72" xr:uid="{00000000-0005-0000-0000-000048000000}"/>
    <cellStyle name="Normal 3 10" xfId="5301" xr:uid="{00000000-0005-0000-0000-0000B5140000}"/>
    <cellStyle name="Normal 3 104 2" xfId="7868" xr:uid="{00000000-0005-0000-0000-0000BC1E0000}"/>
    <cellStyle name="Normal 3 11" xfId="6710" xr:uid="{00000000-0005-0000-0000-0000361A0000}"/>
    <cellStyle name="Normal 3 12" xfId="2113" xr:uid="{00000000-0005-0000-0000-000041080000}"/>
    <cellStyle name="Normal 3 2" xfId="3673" xr:uid="{00000000-0005-0000-0000-0000590E0000}"/>
    <cellStyle name="Normal 3 2 2" xfId="5302" xr:uid="{00000000-0005-0000-0000-0000B6140000}"/>
    <cellStyle name="Normal 3 2 3" xfId="5303" xr:uid="{00000000-0005-0000-0000-0000B7140000}"/>
    <cellStyle name="Normal 3 3" xfId="3674" xr:uid="{00000000-0005-0000-0000-00005A0E0000}"/>
    <cellStyle name="Normal 3 3 2" xfId="5304" xr:uid="{00000000-0005-0000-0000-0000B8140000}"/>
    <cellStyle name="Normal 3 4" xfId="3675" xr:uid="{00000000-0005-0000-0000-00005B0E0000}"/>
    <cellStyle name="Normal 3 4 2" xfId="5305" xr:uid="{00000000-0005-0000-0000-0000B9140000}"/>
    <cellStyle name="Normal 3 4 3" xfId="5306" xr:uid="{00000000-0005-0000-0000-0000BA140000}"/>
    <cellStyle name="Normal 3 5" xfId="3676" xr:uid="{00000000-0005-0000-0000-00005C0E0000}"/>
    <cellStyle name="Normal 3 5 2" xfId="5307" xr:uid="{00000000-0005-0000-0000-0000BB140000}"/>
    <cellStyle name="Normal 3 5 3" xfId="5308" xr:uid="{00000000-0005-0000-0000-0000BC140000}"/>
    <cellStyle name="Normal 3 6" xfId="3677" xr:uid="{00000000-0005-0000-0000-00005D0E0000}"/>
    <cellStyle name="Normal 3 6 2" xfId="5309" xr:uid="{00000000-0005-0000-0000-0000BD140000}"/>
    <cellStyle name="Normal 3 7" xfId="3678" xr:uid="{00000000-0005-0000-0000-00005E0E0000}"/>
    <cellStyle name="Normal 3 7 2" xfId="5310" xr:uid="{00000000-0005-0000-0000-0000BE140000}"/>
    <cellStyle name="Normal 3 8" xfId="5311" xr:uid="{00000000-0005-0000-0000-0000BF140000}"/>
    <cellStyle name="Normal 3 9" xfId="5312" xr:uid="{00000000-0005-0000-0000-0000C0140000}"/>
    <cellStyle name="Normal 30" xfId="5313" xr:uid="{00000000-0005-0000-0000-0000C1140000}"/>
    <cellStyle name="Normal 31" xfId="5314" xr:uid="{00000000-0005-0000-0000-0000C2140000}"/>
    <cellStyle name="Normal 32" xfId="5315" xr:uid="{00000000-0005-0000-0000-0000C3140000}"/>
    <cellStyle name="Normal 33" xfId="5316" xr:uid="{00000000-0005-0000-0000-0000C4140000}"/>
    <cellStyle name="Normal 34" xfId="5317" xr:uid="{00000000-0005-0000-0000-0000C5140000}"/>
    <cellStyle name="Normal 35" xfId="5318" xr:uid="{00000000-0005-0000-0000-0000C6140000}"/>
    <cellStyle name="Normal 36" xfId="5319" xr:uid="{00000000-0005-0000-0000-0000C7140000}"/>
    <cellStyle name="Normal 37" xfId="2114" xr:uid="{00000000-0005-0000-0000-000042080000}"/>
    <cellStyle name="Normal 38" xfId="5320" xr:uid="{00000000-0005-0000-0000-0000C8140000}"/>
    <cellStyle name="Normal 39" xfId="5321" xr:uid="{00000000-0005-0000-0000-0000C9140000}"/>
    <cellStyle name="Normal 4" xfId="2115" xr:uid="{00000000-0005-0000-0000-000043080000}"/>
    <cellStyle name="Normal 4 2" xfId="2116" xr:uid="{00000000-0005-0000-0000-000044080000}"/>
    <cellStyle name="Normal 4 2 10" xfId="5322" xr:uid="{00000000-0005-0000-0000-0000CA140000}"/>
    <cellStyle name="Normal 4 2 10 2" xfId="5323" xr:uid="{00000000-0005-0000-0000-0000CB140000}"/>
    <cellStyle name="Normal 4 2 10 3" xfId="5324" xr:uid="{00000000-0005-0000-0000-0000CC140000}"/>
    <cellStyle name="Normal 4 2 10 4" xfId="5325" xr:uid="{00000000-0005-0000-0000-0000CD140000}"/>
    <cellStyle name="Normal 4 2 11" xfId="5326" xr:uid="{00000000-0005-0000-0000-0000CE140000}"/>
    <cellStyle name="Normal 4 2 11 2" xfId="5327" xr:uid="{00000000-0005-0000-0000-0000CF140000}"/>
    <cellStyle name="Normal 4 2 12" xfId="5328" xr:uid="{00000000-0005-0000-0000-0000D0140000}"/>
    <cellStyle name="Normal 4 2 2" xfId="2117" xr:uid="{00000000-0005-0000-0000-000045080000}"/>
    <cellStyle name="Normal 4 2 2 2" xfId="5329" xr:uid="{00000000-0005-0000-0000-0000D1140000}"/>
    <cellStyle name="Normal 4 2 2 3" xfId="5330" xr:uid="{00000000-0005-0000-0000-0000D2140000}"/>
    <cellStyle name="Normal 4 2 2 4" xfId="5331" xr:uid="{00000000-0005-0000-0000-0000D3140000}"/>
    <cellStyle name="Normal 4 2 3" xfId="2118" xr:uid="{00000000-0005-0000-0000-000046080000}"/>
    <cellStyle name="Normal 4 2 3 2" xfId="5332" xr:uid="{00000000-0005-0000-0000-0000D4140000}"/>
    <cellStyle name="Normal 4 2 4" xfId="3679" xr:uid="{00000000-0005-0000-0000-00005F0E0000}"/>
    <cellStyle name="Normal 4 2 4 2" xfId="5333" xr:uid="{00000000-0005-0000-0000-0000D5140000}"/>
    <cellStyle name="Normal 4 2 5" xfId="3680" xr:uid="{00000000-0005-0000-0000-0000600E0000}"/>
    <cellStyle name="Normal 4 2 5 2" xfId="5334" xr:uid="{00000000-0005-0000-0000-0000D6140000}"/>
    <cellStyle name="Normal 4 2 6" xfId="3681" xr:uid="{00000000-0005-0000-0000-0000610E0000}"/>
    <cellStyle name="Normal 4 2 6 2" xfId="5335" xr:uid="{00000000-0005-0000-0000-0000D7140000}"/>
    <cellStyle name="Normal 4 2 7" xfId="3682" xr:uid="{00000000-0005-0000-0000-0000620E0000}"/>
    <cellStyle name="Normal 4 2 7 2" xfId="5336" xr:uid="{00000000-0005-0000-0000-0000D8140000}"/>
    <cellStyle name="Normal 4 2 8" xfId="5337" xr:uid="{00000000-0005-0000-0000-0000D9140000}"/>
    <cellStyle name="Normal 4 2 8 2" xfId="5338" xr:uid="{00000000-0005-0000-0000-0000DA140000}"/>
    <cellStyle name="Normal 4 2 9" xfId="5339" xr:uid="{00000000-0005-0000-0000-0000DB140000}"/>
    <cellStyle name="Normal 4 2 9 2" xfId="5340" xr:uid="{00000000-0005-0000-0000-0000DC140000}"/>
    <cellStyle name="Normal 4 2_Deuda septiembre_marcos" xfId="2119" xr:uid="{00000000-0005-0000-0000-000047080000}"/>
    <cellStyle name="Normal 4 3" xfId="2120" xr:uid="{00000000-0005-0000-0000-000048080000}"/>
    <cellStyle name="Normal 4 3 2" xfId="5341" xr:uid="{00000000-0005-0000-0000-0000DD140000}"/>
    <cellStyle name="Normal 4 4" xfId="2121" xr:uid="{00000000-0005-0000-0000-000049080000}"/>
    <cellStyle name="Normal 4 4 2" xfId="5342" xr:uid="{00000000-0005-0000-0000-0000DE140000}"/>
    <cellStyle name="Normal 4 4 3" xfId="5343" xr:uid="{00000000-0005-0000-0000-0000DF140000}"/>
    <cellStyle name="Normal 4 4 4" xfId="5344" xr:uid="{00000000-0005-0000-0000-0000E0140000}"/>
    <cellStyle name="Normal 4 5" xfId="93" xr:uid="{00000000-0005-0000-0000-00005D000000}"/>
    <cellStyle name="Normal 4 5 2" xfId="21" xr:uid="{00000000-0005-0000-0000-000015000000}"/>
    <cellStyle name="Normal 4 5 2 2" xfId="5345" xr:uid="{00000000-0005-0000-0000-0000E1140000}"/>
    <cellStyle name="Normal 4 6" xfId="3683" xr:uid="{00000000-0005-0000-0000-0000630E0000}"/>
    <cellStyle name="Normal 4 6 2" xfId="5346" xr:uid="{00000000-0005-0000-0000-0000E2140000}"/>
    <cellStyle name="Normal 4 7" xfId="3684" xr:uid="{00000000-0005-0000-0000-0000640E0000}"/>
    <cellStyle name="Normal 4 7 2" xfId="5347" xr:uid="{00000000-0005-0000-0000-0000E3140000}"/>
    <cellStyle name="Normal 4 8" xfId="5348" xr:uid="{00000000-0005-0000-0000-0000E4140000}"/>
    <cellStyle name="Normal 4_Deuda septiembre_marcos" xfId="2122" xr:uid="{00000000-0005-0000-0000-00004A080000}"/>
    <cellStyle name="Normal 40" xfId="5349" xr:uid="{00000000-0005-0000-0000-0000E5140000}"/>
    <cellStyle name="Normal 41" xfId="2123" xr:uid="{00000000-0005-0000-0000-00004B080000}"/>
    <cellStyle name="Normal 42" xfId="5350" xr:uid="{00000000-0005-0000-0000-0000E6140000}"/>
    <cellStyle name="Normal 43" xfId="5351" xr:uid="{00000000-0005-0000-0000-0000E7140000}"/>
    <cellStyle name="Normal 44" xfId="3744" xr:uid="{00000000-0005-0000-0000-0000A00E0000}"/>
    <cellStyle name="Normal 44 2" xfId="5352" xr:uid="{00000000-0005-0000-0000-0000E8140000}"/>
    <cellStyle name="Normal 45" xfId="5353" xr:uid="{00000000-0005-0000-0000-0000E9140000}"/>
    <cellStyle name="Normal 46" xfId="5354" xr:uid="{00000000-0005-0000-0000-0000EA140000}"/>
    <cellStyle name="Normal 47" xfId="5355" xr:uid="{00000000-0005-0000-0000-0000EB140000}"/>
    <cellStyle name="Normal 48" xfId="5356" xr:uid="{00000000-0005-0000-0000-0000EC140000}"/>
    <cellStyle name="Normal 49" xfId="2124" xr:uid="{00000000-0005-0000-0000-00004C080000}"/>
    <cellStyle name="Normal 5" xfId="2125" xr:uid="{00000000-0005-0000-0000-00004D080000}"/>
    <cellStyle name="Normal 5 2" xfId="3685" xr:uid="{00000000-0005-0000-0000-0000650E0000}"/>
    <cellStyle name="Normal 5 2 2" xfId="5357" xr:uid="{00000000-0005-0000-0000-0000ED140000}"/>
    <cellStyle name="Normal 5 3" xfId="3686" xr:uid="{00000000-0005-0000-0000-0000660E0000}"/>
    <cellStyle name="Normal 5 3 2" xfId="5358" xr:uid="{00000000-0005-0000-0000-0000EE140000}"/>
    <cellStyle name="Normal 5 4" xfId="3687" xr:uid="{00000000-0005-0000-0000-0000670E0000}"/>
    <cellStyle name="Normal 5 4 2" xfId="5359" xr:uid="{00000000-0005-0000-0000-0000EF140000}"/>
    <cellStyle name="Normal 5 5" xfId="5360" xr:uid="{00000000-0005-0000-0000-0000F0140000}"/>
    <cellStyle name="Normal 5 6" xfId="5361" xr:uid="{00000000-0005-0000-0000-0000F1140000}"/>
    <cellStyle name="Normal 50" xfId="5362" xr:uid="{00000000-0005-0000-0000-0000F2140000}"/>
    <cellStyle name="Normal 51" xfId="5363" xr:uid="{00000000-0005-0000-0000-0000F3140000}"/>
    <cellStyle name="Normal 52" xfId="5364" xr:uid="{00000000-0005-0000-0000-0000F4140000}"/>
    <cellStyle name="Normal 53" xfId="5365" xr:uid="{00000000-0005-0000-0000-0000F5140000}"/>
    <cellStyle name="Normal 54" xfId="5366" xr:uid="{00000000-0005-0000-0000-0000F6140000}"/>
    <cellStyle name="Normal 55" xfId="5367" xr:uid="{00000000-0005-0000-0000-0000F7140000}"/>
    <cellStyle name="Normal 56" xfId="5368" xr:uid="{00000000-0005-0000-0000-0000F8140000}"/>
    <cellStyle name="Normal 57" xfId="5369" xr:uid="{00000000-0005-0000-0000-0000F9140000}"/>
    <cellStyle name="Normal 58" xfId="5370" xr:uid="{00000000-0005-0000-0000-0000FA140000}"/>
    <cellStyle name="Normal 59" xfId="6701" xr:uid="{00000000-0005-0000-0000-00002D1A0000}"/>
    <cellStyle name="Normal 6" xfId="2126" xr:uid="{00000000-0005-0000-0000-00004E080000}"/>
    <cellStyle name="Normal 6 2" xfId="2127" xr:uid="{00000000-0005-0000-0000-00004F080000}"/>
    <cellStyle name="Normal 6 2 10" xfId="5371" xr:uid="{00000000-0005-0000-0000-0000FB140000}"/>
    <cellStyle name="Normal 6 2 2" xfId="2128" xr:uid="{00000000-0005-0000-0000-000050080000}"/>
    <cellStyle name="Normal 6 2 2 2" xfId="5372" xr:uid="{00000000-0005-0000-0000-0000FC140000}"/>
    <cellStyle name="Normal 6 2 2 3" xfId="5373" xr:uid="{00000000-0005-0000-0000-0000FD140000}"/>
    <cellStyle name="Normal 6 2 2 4" xfId="5374" xr:uid="{00000000-0005-0000-0000-0000FE140000}"/>
    <cellStyle name="Normal 6 2 3" xfId="3688" xr:uid="{00000000-0005-0000-0000-0000680E0000}"/>
    <cellStyle name="Normal 6 2 3 2" xfId="5375" xr:uid="{00000000-0005-0000-0000-0000FF140000}"/>
    <cellStyle name="Normal 6 2 4" xfId="3689" xr:uid="{00000000-0005-0000-0000-0000690E0000}"/>
    <cellStyle name="Normal 6 2 4 2" xfId="5376" xr:uid="{00000000-0005-0000-0000-000000150000}"/>
    <cellStyle name="Normal 6 2 5" xfId="3690" xr:uid="{00000000-0005-0000-0000-00006A0E0000}"/>
    <cellStyle name="Normal 6 2 5 2" xfId="5377" xr:uid="{00000000-0005-0000-0000-000001150000}"/>
    <cellStyle name="Normal 6 2 6" xfId="5378" xr:uid="{00000000-0005-0000-0000-000002150000}"/>
    <cellStyle name="Normal 6 2 6 2" xfId="5379" xr:uid="{00000000-0005-0000-0000-000003150000}"/>
    <cellStyle name="Normal 6 2 7" xfId="5380" xr:uid="{00000000-0005-0000-0000-000004150000}"/>
    <cellStyle name="Normal 6 2 7 2" xfId="5381" xr:uid="{00000000-0005-0000-0000-000005150000}"/>
    <cellStyle name="Normal 6 2 8" xfId="5382" xr:uid="{00000000-0005-0000-0000-000006150000}"/>
    <cellStyle name="Normal 6 2 8 2" xfId="5383" xr:uid="{00000000-0005-0000-0000-000007150000}"/>
    <cellStyle name="Normal 6 2 8 3" xfId="5384" xr:uid="{00000000-0005-0000-0000-000008150000}"/>
    <cellStyle name="Normal 6 2 8 4" xfId="5385" xr:uid="{00000000-0005-0000-0000-000009150000}"/>
    <cellStyle name="Normal 6 2 9" xfId="5386" xr:uid="{00000000-0005-0000-0000-00000A150000}"/>
    <cellStyle name="Normal 6 2 9 2" xfId="5387" xr:uid="{00000000-0005-0000-0000-00000B150000}"/>
    <cellStyle name="Normal 6 2_Deuda septiembre_marcos" xfId="2129" xr:uid="{00000000-0005-0000-0000-000051080000}"/>
    <cellStyle name="Normal 6 3" xfId="2130" xr:uid="{00000000-0005-0000-0000-000052080000}"/>
    <cellStyle name="Normal 6 4" xfId="5388" xr:uid="{00000000-0005-0000-0000-00000C150000}"/>
    <cellStyle name="Normal 6 5" xfId="5389" xr:uid="{00000000-0005-0000-0000-00000D150000}"/>
    <cellStyle name="Normal 6_Deuda septiembre_marcos" xfId="2131" xr:uid="{00000000-0005-0000-0000-000053080000}"/>
    <cellStyle name="Normal 7" xfId="2132" xr:uid="{00000000-0005-0000-0000-000054080000}"/>
    <cellStyle name="Normal 7 2" xfId="2133" xr:uid="{00000000-0005-0000-0000-000055080000}"/>
    <cellStyle name="Normal 7 3" xfId="5390" xr:uid="{00000000-0005-0000-0000-00000E150000}"/>
    <cellStyle name="Normal 7_Deuda septiembre_marcos" xfId="2134" xr:uid="{00000000-0005-0000-0000-000056080000}"/>
    <cellStyle name="Normal 73" xfId="5391" xr:uid="{00000000-0005-0000-0000-00000F150000}"/>
    <cellStyle name="Normal 8" xfId="2135" xr:uid="{00000000-0005-0000-0000-000057080000}"/>
    <cellStyle name="Normal 8 2" xfId="5392" xr:uid="{00000000-0005-0000-0000-000010150000}"/>
    <cellStyle name="Normal 8 3" xfId="5393" xr:uid="{00000000-0005-0000-0000-000011150000}"/>
    <cellStyle name="Normal 9" xfId="2136" xr:uid="{00000000-0005-0000-0000-000058080000}"/>
    <cellStyle name="Normal 9 2" xfId="3691" xr:uid="{00000000-0005-0000-0000-00006B0E0000}"/>
    <cellStyle name="Normal 9 2 2" xfId="5394" xr:uid="{00000000-0005-0000-0000-000012150000}"/>
    <cellStyle name="Normal 9 3" xfId="3692" xr:uid="{00000000-0005-0000-0000-00006C0E0000}"/>
    <cellStyle name="Normal 9 3 2" xfId="5395" xr:uid="{00000000-0005-0000-0000-000013150000}"/>
    <cellStyle name="Normal 9 4" xfId="5396" xr:uid="{00000000-0005-0000-0000-000014150000}"/>
    <cellStyle name="Normal 9 4 2" xfId="5397" xr:uid="{00000000-0005-0000-0000-000015150000}"/>
    <cellStyle name="Normal 9 5" xfId="5398" xr:uid="{00000000-0005-0000-0000-000016150000}"/>
    <cellStyle name="Normal 9 5 2" xfId="5399" xr:uid="{00000000-0005-0000-0000-000017150000}"/>
    <cellStyle name="Normal 9 6" xfId="5400" xr:uid="{00000000-0005-0000-0000-000018150000}"/>
    <cellStyle name="Normal 9 6 2" xfId="5401" xr:uid="{00000000-0005-0000-0000-000019150000}"/>
    <cellStyle name="Normal 9 7" xfId="5402" xr:uid="{00000000-0005-0000-0000-00001A150000}"/>
    <cellStyle name="Normal 9 7 2" xfId="5403" xr:uid="{00000000-0005-0000-0000-00001B150000}"/>
    <cellStyle name="Normal 9 8" xfId="5404" xr:uid="{00000000-0005-0000-0000-00001C150000}"/>
    <cellStyle name="Normal_Renta 2002 KCC Ltda" xfId="19" xr:uid="{00000000-0005-0000-0000-000013000000}"/>
    <cellStyle name="Nota" xfId="2137" xr:uid="{00000000-0005-0000-0000-000059080000}"/>
    <cellStyle name="Notas 10" xfId="3444" xr:uid="{00000000-0005-0000-0000-0000740D0000}"/>
    <cellStyle name="Notas 2" xfId="2138" xr:uid="{00000000-0005-0000-0000-00005A080000}"/>
    <cellStyle name="Notas 2 10" xfId="3693" xr:uid="{00000000-0005-0000-0000-00006D0E0000}"/>
    <cellStyle name="Notas 2 10 2" xfId="3694" xr:uid="{00000000-0005-0000-0000-00006E0E0000}"/>
    <cellStyle name="Notas 2 10 2 2" xfId="5405" xr:uid="{00000000-0005-0000-0000-00001D150000}"/>
    <cellStyle name="Notas 2 10 2 2 2" xfId="5406" xr:uid="{00000000-0005-0000-0000-00001E150000}"/>
    <cellStyle name="Notas 2 10 2 3" xfId="5407" xr:uid="{00000000-0005-0000-0000-00001F150000}"/>
    <cellStyle name="Notas 2 10 2 3 2" xfId="5408" xr:uid="{00000000-0005-0000-0000-000020150000}"/>
    <cellStyle name="Notas 2 10 2 4" xfId="5409" xr:uid="{00000000-0005-0000-0000-000021150000}"/>
    <cellStyle name="Notas 2 10 2 5" xfId="5410" xr:uid="{00000000-0005-0000-0000-000022150000}"/>
    <cellStyle name="Notas 2 10 2 6" xfId="5411" xr:uid="{00000000-0005-0000-0000-000023150000}"/>
    <cellStyle name="Notas 2 10 3" xfId="3695" xr:uid="{00000000-0005-0000-0000-00006F0E0000}"/>
    <cellStyle name="Notas 2 10 3 2" xfId="5412" xr:uid="{00000000-0005-0000-0000-000024150000}"/>
    <cellStyle name="Notas 2 10 3 3" xfId="5413" xr:uid="{00000000-0005-0000-0000-000025150000}"/>
    <cellStyle name="Notas 2 10 3 4" xfId="5414" xr:uid="{00000000-0005-0000-0000-000026150000}"/>
    <cellStyle name="Notas 2 10 3 5" xfId="5415" xr:uid="{00000000-0005-0000-0000-000027150000}"/>
    <cellStyle name="Notas 2 10 3 6" xfId="5416" xr:uid="{00000000-0005-0000-0000-000028150000}"/>
    <cellStyle name="Notas 2 10 4" xfId="5417" xr:uid="{00000000-0005-0000-0000-000029150000}"/>
    <cellStyle name="Notas 2 10 4 2" xfId="5418" xr:uid="{00000000-0005-0000-0000-00002A150000}"/>
    <cellStyle name="Notas 2 10 4 3" xfId="5419" xr:uid="{00000000-0005-0000-0000-00002B150000}"/>
    <cellStyle name="Notas 2 10 4 4" xfId="5420" xr:uid="{00000000-0005-0000-0000-00002C150000}"/>
    <cellStyle name="Notas 2 10 4 5" xfId="5421" xr:uid="{00000000-0005-0000-0000-00002D150000}"/>
    <cellStyle name="Notas 2 10 5" xfId="5422" xr:uid="{00000000-0005-0000-0000-00002E150000}"/>
    <cellStyle name="Notas 2 10 5 2" xfId="5423" xr:uid="{00000000-0005-0000-0000-00002F150000}"/>
    <cellStyle name="Notas 2 10 5 3" xfId="5424" xr:uid="{00000000-0005-0000-0000-000030150000}"/>
    <cellStyle name="Notas 2 10 5 4" xfId="5425" xr:uid="{00000000-0005-0000-0000-000031150000}"/>
    <cellStyle name="Notas 2 10 5 5" xfId="5426" xr:uid="{00000000-0005-0000-0000-000032150000}"/>
    <cellStyle name="Notas 2 10 6" xfId="5427" xr:uid="{00000000-0005-0000-0000-000033150000}"/>
    <cellStyle name="Notas 2 10 6 2" xfId="5428" xr:uid="{00000000-0005-0000-0000-000034150000}"/>
    <cellStyle name="Notas 2 10 6 3" xfId="5429" xr:uid="{00000000-0005-0000-0000-000035150000}"/>
    <cellStyle name="Notas 2 10 6 4" xfId="5430" xr:uid="{00000000-0005-0000-0000-000036150000}"/>
    <cellStyle name="Notas 2 10 6 5" xfId="5431" xr:uid="{00000000-0005-0000-0000-000037150000}"/>
    <cellStyle name="Notas 2 10 7" xfId="5432" xr:uid="{00000000-0005-0000-0000-000038150000}"/>
    <cellStyle name="Notas 2 10 7 2" xfId="5433" xr:uid="{00000000-0005-0000-0000-000039150000}"/>
    <cellStyle name="Notas 2 10 7 3" xfId="5434" xr:uid="{00000000-0005-0000-0000-00003A150000}"/>
    <cellStyle name="Notas 2 10 7 4" xfId="5435" xr:uid="{00000000-0005-0000-0000-00003B150000}"/>
    <cellStyle name="Notas 2 10 7 5" xfId="5436" xr:uid="{00000000-0005-0000-0000-00003C150000}"/>
    <cellStyle name="Notas 2 11" xfId="3696" xr:uid="{00000000-0005-0000-0000-0000700E0000}"/>
    <cellStyle name="Notas 2 11 2" xfId="3697" xr:uid="{00000000-0005-0000-0000-0000710E0000}"/>
    <cellStyle name="Notas 2 11 2 2" xfId="5437" xr:uid="{00000000-0005-0000-0000-00003D150000}"/>
    <cellStyle name="Notas 2 11 2 2 2" xfId="5438" xr:uid="{00000000-0005-0000-0000-00003E150000}"/>
    <cellStyle name="Notas 2 11 2 3" xfId="5439" xr:uid="{00000000-0005-0000-0000-00003F150000}"/>
    <cellStyle name="Notas 2 11 2 3 2" xfId="5440" xr:uid="{00000000-0005-0000-0000-000040150000}"/>
    <cellStyle name="Notas 2 11 2 4" xfId="5441" xr:uid="{00000000-0005-0000-0000-000041150000}"/>
    <cellStyle name="Notas 2 11 2 5" xfId="5442" xr:uid="{00000000-0005-0000-0000-000042150000}"/>
    <cellStyle name="Notas 2 11 2 6" xfId="5443" xr:uid="{00000000-0005-0000-0000-000043150000}"/>
    <cellStyle name="Notas 2 11 3" xfId="3698" xr:uid="{00000000-0005-0000-0000-0000720E0000}"/>
    <cellStyle name="Notas 2 11 3 2" xfId="5444" xr:uid="{00000000-0005-0000-0000-000044150000}"/>
    <cellStyle name="Notas 2 11 3 3" xfId="5445" xr:uid="{00000000-0005-0000-0000-000045150000}"/>
    <cellStyle name="Notas 2 11 3 4" xfId="5446" xr:uid="{00000000-0005-0000-0000-000046150000}"/>
    <cellStyle name="Notas 2 11 3 5" xfId="5447" xr:uid="{00000000-0005-0000-0000-000047150000}"/>
    <cellStyle name="Notas 2 11 3 6" xfId="5448" xr:uid="{00000000-0005-0000-0000-000048150000}"/>
    <cellStyle name="Notas 2 11 4" xfId="5449" xr:uid="{00000000-0005-0000-0000-000049150000}"/>
    <cellStyle name="Notas 2 11 4 2" xfId="5450" xr:uid="{00000000-0005-0000-0000-00004A150000}"/>
    <cellStyle name="Notas 2 11 4 3" xfId="5451" xr:uid="{00000000-0005-0000-0000-00004B150000}"/>
    <cellStyle name="Notas 2 11 4 4" xfId="5452" xr:uid="{00000000-0005-0000-0000-00004C150000}"/>
    <cellStyle name="Notas 2 11 4 5" xfId="5453" xr:uid="{00000000-0005-0000-0000-00004D150000}"/>
    <cellStyle name="Notas 2 11 5" xfId="5454" xr:uid="{00000000-0005-0000-0000-00004E150000}"/>
    <cellStyle name="Notas 2 11 5 2" xfId="5455" xr:uid="{00000000-0005-0000-0000-00004F150000}"/>
    <cellStyle name="Notas 2 11 5 3" xfId="5456" xr:uid="{00000000-0005-0000-0000-000050150000}"/>
    <cellStyle name="Notas 2 11 5 4" xfId="5457" xr:uid="{00000000-0005-0000-0000-000051150000}"/>
    <cellStyle name="Notas 2 11 5 5" xfId="5458" xr:uid="{00000000-0005-0000-0000-000052150000}"/>
    <cellStyle name="Notas 2 11 6" xfId="5459" xr:uid="{00000000-0005-0000-0000-000053150000}"/>
    <cellStyle name="Notas 2 11 6 2" xfId="5460" xr:uid="{00000000-0005-0000-0000-000054150000}"/>
    <cellStyle name="Notas 2 11 6 3" xfId="5461" xr:uid="{00000000-0005-0000-0000-000055150000}"/>
    <cellStyle name="Notas 2 11 6 4" xfId="5462" xr:uid="{00000000-0005-0000-0000-000056150000}"/>
    <cellStyle name="Notas 2 11 6 5" xfId="5463" xr:uid="{00000000-0005-0000-0000-000057150000}"/>
    <cellStyle name="Notas 2 11 7" xfId="5464" xr:uid="{00000000-0005-0000-0000-000058150000}"/>
    <cellStyle name="Notas 2 11 7 2" xfId="5465" xr:uid="{00000000-0005-0000-0000-000059150000}"/>
    <cellStyle name="Notas 2 11 7 3" xfId="5466" xr:uid="{00000000-0005-0000-0000-00005A150000}"/>
    <cellStyle name="Notas 2 11 7 4" xfId="5467" xr:uid="{00000000-0005-0000-0000-00005B150000}"/>
    <cellStyle name="Notas 2 11 7 5" xfId="5468" xr:uid="{00000000-0005-0000-0000-00005C150000}"/>
    <cellStyle name="Notas 2 12" xfId="3699" xr:uid="{00000000-0005-0000-0000-0000730E0000}"/>
    <cellStyle name="Notas 2 12 2" xfId="3700" xr:uid="{00000000-0005-0000-0000-0000740E0000}"/>
    <cellStyle name="Notas 2 12 2 2" xfId="5469" xr:uid="{00000000-0005-0000-0000-00005D150000}"/>
    <cellStyle name="Notas 2 12 2 2 2" xfId="5470" xr:uid="{00000000-0005-0000-0000-00005E150000}"/>
    <cellStyle name="Notas 2 12 2 3" xfId="5471" xr:uid="{00000000-0005-0000-0000-00005F150000}"/>
    <cellStyle name="Notas 2 12 2 3 2" xfId="5472" xr:uid="{00000000-0005-0000-0000-000060150000}"/>
    <cellStyle name="Notas 2 12 2 4" xfId="5473" xr:uid="{00000000-0005-0000-0000-000061150000}"/>
    <cellStyle name="Notas 2 12 2 5" xfId="5474" xr:uid="{00000000-0005-0000-0000-000062150000}"/>
    <cellStyle name="Notas 2 12 2 6" xfId="5475" xr:uid="{00000000-0005-0000-0000-000063150000}"/>
    <cellStyle name="Notas 2 12 3" xfId="3701" xr:uid="{00000000-0005-0000-0000-0000750E0000}"/>
    <cellStyle name="Notas 2 12 3 2" xfId="5476" xr:uid="{00000000-0005-0000-0000-000064150000}"/>
    <cellStyle name="Notas 2 12 3 3" xfId="5477" xr:uid="{00000000-0005-0000-0000-000065150000}"/>
    <cellStyle name="Notas 2 12 3 4" xfId="5478" xr:uid="{00000000-0005-0000-0000-000066150000}"/>
    <cellStyle name="Notas 2 12 3 5" xfId="5479" xr:uid="{00000000-0005-0000-0000-000067150000}"/>
    <cellStyle name="Notas 2 12 3 6" xfId="5480" xr:uid="{00000000-0005-0000-0000-000068150000}"/>
    <cellStyle name="Notas 2 12 4" xfId="5481" xr:uid="{00000000-0005-0000-0000-000069150000}"/>
    <cellStyle name="Notas 2 12 4 2" xfId="5482" xr:uid="{00000000-0005-0000-0000-00006A150000}"/>
    <cellStyle name="Notas 2 12 4 3" xfId="5483" xr:uid="{00000000-0005-0000-0000-00006B150000}"/>
    <cellStyle name="Notas 2 12 4 4" xfId="5484" xr:uid="{00000000-0005-0000-0000-00006C150000}"/>
    <cellStyle name="Notas 2 12 4 5" xfId="5485" xr:uid="{00000000-0005-0000-0000-00006D150000}"/>
    <cellStyle name="Notas 2 12 5" xfId="5486" xr:uid="{00000000-0005-0000-0000-00006E150000}"/>
    <cellStyle name="Notas 2 12 5 2" xfId="5487" xr:uid="{00000000-0005-0000-0000-00006F150000}"/>
    <cellStyle name="Notas 2 12 5 3" xfId="5488" xr:uid="{00000000-0005-0000-0000-000070150000}"/>
    <cellStyle name="Notas 2 12 5 4" xfId="5489" xr:uid="{00000000-0005-0000-0000-000071150000}"/>
    <cellStyle name="Notas 2 12 5 5" xfId="5490" xr:uid="{00000000-0005-0000-0000-000072150000}"/>
    <cellStyle name="Notas 2 12 6" xfId="5491" xr:uid="{00000000-0005-0000-0000-000073150000}"/>
    <cellStyle name="Notas 2 12 6 2" xfId="5492" xr:uid="{00000000-0005-0000-0000-000074150000}"/>
    <cellStyle name="Notas 2 12 6 3" xfId="5493" xr:uid="{00000000-0005-0000-0000-000075150000}"/>
    <cellStyle name="Notas 2 12 6 4" xfId="5494" xr:uid="{00000000-0005-0000-0000-000076150000}"/>
    <cellStyle name="Notas 2 12 6 5" xfId="5495" xr:uid="{00000000-0005-0000-0000-000077150000}"/>
    <cellStyle name="Notas 2 12 7" xfId="5496" xr:uid="{00000000-0005-0000-0000-000078150000}"/>
    <cellStyle name="Notas 2 12 7 2" xfId="5497" xr:uid="{00000000-0005-0000-0000-000079150000}"/>
    <cellStyle name="Notas 2 12 7 3" xfId="5498" xr:uid="{00000000-0005-0000-0000-00007A150000}"/>
    <cellStyle name="Notas 2 12 7 4" xfId="5499" xr:uid="{00000000-0005-0000-0000-00007B150000}"/>
    <cellStyle name="Notas 2 12 7 5" xfId="5500" xr:uid="{00000000-0005-0000-0000-00007C150000}"/>
    <cellStyle name="Notas 2 13" xfId="3702" xr:uid="{00000000-0005-0000-0000-0000760E0000}"/>
    <cellStyle name="Notas 2 13 2" xfId="5501" xr:uid="{00000000-0005-0000-0000-00007D150000}"/>
    <cellStyle name="Notas 2 13 3" xfId="5502" xr:uid="{00000000-0005-0000-0000-00007E150000}"/>
    <cellStyle name="Notas 2 13 4" xfId="5503" xr:uid="{00000000-0005-0000-0000-00007F150000}"/>
    <cellStyle name="Notas 2 13 5" xfId="5504" xr:uid="{00000000-0005-0000-0000-000080150000}"/>
    <cellStyle name="Notas 2 13 6" xfId="5505" xr:uid="{00000000-0005-0000-0000-000081150000}"/>
    <cellStyle name="Notas 2 14" xfId="3703" xr:uid="{00000000-0005-0000-0000-0000770E0000}"/>
    <cellStyle name="Notas 2 14 2" xfId="5506" xr:uid="{00000000-0005-0000-0000-000082150000}"/>
    <cellStyle name="Notas 2 14 3" xfId="5507" xr:uid="{00000000-0005-0000-0000-000083150000}"/>
    <cellStyle name="Notas 2 14 4" xfId="5508" xr:uid="{00000000-0005-0000-0000-000084150000}"/>
    <cellStyle name="Notas 2 14 5" xfId="5509" xr:uid="{00000000-0005-0000-0000-000085150000}"/>
    <cellStyle name="Notas 2 14 6" xfId="5510" xr:uid="{00000000-0005-0000-0000-000086150000}"/>
    <cellStyle name="Notas 2 15" xfId="3704" xr:uid="{00000000-0005-0000-0000-0000780E0000}"/>
    <cellStyle name="Notas 2 15 2" xfId="5511" xr:uid="{00000000-0005-0000-0000-000087150000}"/>
    <cellStyle name="Notas 2 15 3" xfId="5512" xr:uid="{00000000-0005-0000-0000-000088150000}"/>
    <cellStyle name="Notas 2 15 4" xfId="5513" xr:uid="{00000000-0005-0000-0000-000089150000}"/>
    <cellStyle name="Notas 2 15 5" xfId="5514" xr:uid="{00000000-0005-0000-0000-00008A150000}"/>
    <cellStyle name="Notas 2 15 6" xfId="5515" xr:uid="{00000000-0005-0000-0000-00008B150000}"/>
    <cellStyle name="Notas 2 16" xfId="5516" xr:uid="{00000000-0005-0000-0000-00008C150000}"/>
    <cellStyle name="Notas 2 16 2" xfId="5517" xr:uid="{00000000-0005-0000-0000-00008D150000}"/>
    <cellStyle name="Notas 2 16 3" xfId="5518" xr:uid="{00000000-0005-0000-0000-00008E150000}"/>
    <cellStyle name="Notas 2 16 4" xfId="5519" xr:uid="{00000000-0005-0000-0000-00008F150000}"/>
    <cellStyle name="Notas 2 16 5" xfId="5520" xr:uid="{00000000-0005-0000-0000-000090150000}"/>
    <cellStyle name="Notas 2 17" xfId="5521" xr:uid="{00000000-0005-0000-0000-000091150000}"/>
    <cellStyle name="Notas 2 17 2" xfId="5522" xr:uid="{00000000-0005-0000-0000-000092150000}"/>
    <cellStyle name="Notas 2 17 3" xfId="5523" xr:uid="{00000000-0005-0000-0000-000093150000}"/>
    <cellStyle name="Notas 2 17 4" xfId="5524" xr:uid="{00000000-0005-0000-0000-000094150000}"/>
    <cellStyle name="Notas 2 17 5" xfId="5525" xr:uid="{00000000-0005-0000-0000-000095150000}"/>
    <cellStyle name="Notas 2 18" xfId="5526" xr:uid="{00000000-0005-0000-0000-000096150000}"/>
    <cellStyle name="Notas 2 18 2" xfId="5527" xr:uid="{00000000-0005-0000-0000-000097150000}"/>
    <cellStyle name="Notas 2 18 3" xfId="5528" xr:uid="{00000000-0005-0000-0000-000098150000}"/>
    <cellStyle name="Notas 2 18 4" xfId="5529" xr:uid="{00000000-0005-0000-0000-000099150000}"/>
    <cellStyle name="Notas 2 18 5" xfId="5530" xr:uid="{00000000-0005-0000-0000-00009A150000}"/>
    <cellStyle name="Notas 2 19" xfId="5531" xr:uid="{00000000-0005-0000-0000-00009B150000}"/>
    <cellStyle name="Notas 2 19 2" xfId="5532" xr:uid="{00000000-0005-0000-0000-00009C150000}"/>
    <cellStyle name="Notas 2 19 2 2" xfId="5533" xr:uid="{00000000-0005-0000-0000-00009D150000}"/>
    <cellStyle name="Notas 2 19 3" xfId="5534" xr:uid="{00000000-0005-0000-0000-00009E150000}"/>
    <cellStyle name="Notas 2 19 4" xfId="5535" xr:uid="{00000000-0005-0000-0000-00009F150000}"/>
    <cellStyle name="Notas 2 19 5" xfId="5536" xr:uid="{00000000-0005-0000-0000-0000A0150000}"/>
    <cellStyle name="Notas 2 19 6" xfId="5537" xr:uid="{00000000-0005-0000-0000-0000A1150000}"/>
    <cellStyle name="Notas 2 2" xfId="2139" xr:uid="{00000000-0005-0000-0000-00005B080000}"/>
    <cellStyle name="Notas 2 2 2" xfId="3705" xr:uid="{00000000-0005-0000-0000-0000790E0000}"/>
    <cellStyle name="Notas 2 2 2 2" xfId="5538" xr:uid="{00000000-0005-0000-0000-0000A2150000}"/>
    <cellStyle name="Notas 2 2 2 2 2" xfId="5539" xr:uid="{00000000-0005-0000-0000-0000A3150000}"/>
    <cellStyle name="Notas 2 2 2 3" xfId="5540" xr:uid="{00000000-0005-0000-0000-0000A4150000}"/>
    <cellStyle name="Notas 2 2 2 3 2" xfId="5541" xr:uid="{00000000-0005-0000-0000-0000A5150000}"/>
    <cellStyle name="Notas 2 2 2 4" xfId="5542" xr:uid="{00000000-0005-0000-0000-0000A6150000}"/>
    <cellStyle name="Notas 2 2 2 5" xfId="5543" xr:uid="{00000000-0005-0000-0000-0000A7150000}"/>
    <cellStyle name="Notas 2 2 2 6" xfId="5544" xr:uid="{00000000-0005-0000-0000-0000A8150000}"/>
    <cellStyle name="Notas 2 2 2 7" xfId="5545" xr:uid="{00000000-0005-0000-0000-0000A9150000}"/>
    <cellStyle name="Notas 2 2 3" xfId="3706" xr:uid="{00000000-0005-0000-0000-00007A0E0000}"/>
    <cellStyle name="Notas 2 2 3 2" xfId="5546" xr:uid="{00000000-0005-0000-0000-0000AA150000}"/>
    <cellStyle name="Notas 2 2 3 3" xfId="5547" xr:uid="{00000000-0005-0000-0000-0000AB150000}"/>
    <cellStyle name="Notas 2 2 3 4" xfId="5548" xr:uid="{00000000-0005-0000-0000-0000AC150000}"/>
    <cellStyle name="Notas 2 2 3 5" xfId="5549" xr:uid="{00000000-0005-0000-0000-0000AD150000}"/>
    <cellStyle name="Notas 2 2 3 6" xfId="5550" xr:uid="{00000000-0005-0000-0000-0000AE150000}"/>
    <cellStyle name="Notas 2 2 4" xfId="5551" xr:uid="{00000000-0005-0000-0000-0000AF150000}"/>
    <cellStyle name="Notas 2 2 4 2" xfId="5552" xr:uid="{00000000-0005-0000-0000-0000B0150000}"/>
    <cellStyle name="Notas 2 2 4 3" xfId="5553" xr:uid="{00000000-0005-0000-0000-0000B1150000}"/>
    <cellStyle name="Notas 2 2 4 4" xfId="5554" xr:uid="{00000000-0005-0000-0000-0000B2150000}"/>
    <cellStyle name="Notas 2 2 4 5" xfId="5555" xr:uid="{00000000-0005-0000-0000-0000B3150000}"/>
    <cellStyle name="Notas 2 2 5" xfId="5556" xr:uid="{00000000-0005-0000-0000-0000B4150000}"/>
    <cellStyle name="Notas 2 2 5 2" xfId="5557" xr:uid="{00000000-0005-0000-0000-0000B5150000}"/>
    <cellStyle name="Notas 2 2 5 3" xfId="5558" xr:uid="{00000000-0005-0000-0000-0000B6150000}"/>
    <cellStyle name="Notas 2 2 5 4" xfId="5559" xr:uid="{00000000-0005-0000-0000-0000B7150000}"/>
    <cellStyle name="Notas 2 2 5 5" xfId="5560" xr:uid="{00000000-0005-0000-0000-0000B8150000}"/>
    <cellStyle name="Notas 2 2 6" xfId="5561" xr:uid="{00000000-0005-0000-0000-0000B9150000}"/>
    <cellStyle name="Notas 2 2 6 2" xfId="5562" xr:uid="{00000000-0005-0000-0000-0000BA150000}"/>
    <cellStyle name="Notas 2 2 6 3" xfId="5563" xr:uid="{00000000-0005-0000-0000-0000BB150000}"/>
    <cellStyle name="Notas 2 2 6 4" xfId="5564" xr:uid="{00000000-0005-0000-0000-0000BC150000}"/>
    <cellStyle name="Notas 2 2 6 5" xfId="5565" xr:uid="{00000000-0005-0000-0000-0000BD150000}"/>
    <cellStyle name="Notas 2 2 7" xfId="5566" xr:uid="{00000000-0005-0000-0000-0000BE150000}"/>
    <cellStyle name="Notas 2 2 7 2" xfId="5567" xr:uid="{00000000-0005-0000-0000-0000BF150000}"/>
    <cellStyle name="Notas 2 2 7 3" xfId="5568" xr:uid="{00000000-0005-0000-0000-0000C0150000}"/>
    <cellStyle name="Notas 2 2 7 4" xfId="5569" xr:uid="{00000000-0005-0000-0000-0000C1150000}"/>
    <cellStyle name="Notas 2 2 7 5" xfId="5570" xr:uid="{00000000-0005-0000-0000-0000C2150000}"/>
    <cellStyle name="Notas 2 2 8" xfId="5571" xr:uid="{00000000-0005-0000-0000-0000C3150000}"/>
    <cellStyle name="Notas 2 20" xfId="5572" xr:uid="{00000000-0005-0000-0000-0000C4150000}"/>
    <cellStyle name="Notas 2 21" xfId="5573" xr:uid="{00000000-0005-0000-0000-0000C5150000}"/>
    <cellStyle name="Notas 2 22" xfId="5574" xr:uid="{00000000-0005-0000-0000-0000C6150000}"/>
    <cellStyle name="Notas 2 3" xfId="3707" xr:uid="{00000000-0005-0000-0000-00007B0E0000}"/>
    <cellStyle name="Notas 2 3 2" xfId="3708" xr:uid="{00000000-0005-0000-0000-00007C0E0000}"/>
    <cellStyle name="Notas 2 3 2 2" xfId="5575" xr:uid="{00000000-0005-0000-0000-0000C7150000}"/>
    <cellStyle name="Notas 2 3 2 2 2" xfId="5576" xr:uid="{00000000-0005-0000-0000-0000C8150000}"/>
    <cellStyle name="Notas 2 3 2 3" xfId="5577" xr:uid="{00000000-0005-0000-0000-0000C9150000}"/>
    <cellStyle name="Notas 2 3 2 3 2" xfId="5578" xr:uid="{00000000-0005-0000-0000-0000CA150000}"/>
    <cellStyle name="Notas 2 3 2 4" xfId="5579" xr:uid="{00000000-0005-0000-0000-0000CB150000}"/>
    <cellStyle name="Notas 2 3 2 5" xfId="5580" xr:uid="{00000000-0005-0000-0000-0000CC150000}"/>
    <cellStyle name="Notas 2 3 2 6" xfId="5581" xr:uid="{00000000-0005-0000-0000-0000CD150000}"/>
    <cellStyle name="Notas 2 3 2 7" xfId="5582" xr:uid="{00000000-0005-0000-0000-0000CE150000}"/>
    <cellStyle name="Notas 2 3 3" xfId="3709" xr:uid="{00000000-0005-0000-0000-00007D0E0000}"/>
    <cellStyle name="Notas 2 3 3 2" xfId="5583" xr:uid="{00000000-0005-0000-0000-0000CF150000}"/>
    <cellStyle name="Notas 2 3 3 3" xfId="5584" xr:uid="{00000000-0005-0000-0000-0000D0150000}"/>
    <cellStyle name="Notas 2 3 3 4" xfId="5585" xr:uid="{00000000-0005-0000-0000-0000D1150000}"/>
    <cellStyle name="Notas 2 3 3 5" xfId="5586" xr:uid="{00000000-0005-0000-0000-0000D2150000}"/>
    <cellStyle name="Notas 2 3 3 6" xfId="5587" xr:uid="{00000000-0005-0000-0000-0000D3150000}"/>
    <cellStyle name="Notas 2 3 4" xfId="5588" xr:uid="{00000000-0005-0000-0000-0000D4150000}"/>
    <cellStyle name="Notas 2 3 4 2" xfId="5589" xr:uid="{00000000-0005-0000-0000-0000D5150000}"/>
    <cellStyle name="Notas 2 3 4 3" xfId="5590" xr:uid="{00000000-0005-0000-0000-0000D6150000}"/>
    <cellStyle name="Notas 2 3 4 4" xfId="5591" xr:uid="{00000000-0005-0000-0000-0000D7150000}"/>
    <cellStyle name="Notas 2 3 4 5" xfId="5592" xr:uid="{00000000-0005-0000-0000-0000D8150000}"/>
    <cellStyle name="Notas 2 3 5" xfId="5593" xr:uid="{00000000-0005-0000-0000-0000D9150000}"/>
    <cellStyle name="Notas 2 3 5 2" xfId="5594" xr:uid="{00000000-0005-0000-0000-0000DA150000}"/>
    <cellStyle name="Notas 2 3 5 3" xfId="5595" xr:uid="{00000000-0005-0000-0000-0000DB150000}"/>
    <cellStyle name="Notas 2 3 5 4" xfId="5596" xr:uid="{00000000-0005-0000-0000-0000DC150000}"/>
    <cellStyle name="Notas 2 3 5 5" xfId="5597" xr:uid="{00000000-0005-0000-0000-0000DD150000}"/>
    <cellStyle name="Notas 2 3 6" xfId="5598" xr:uid="{00000000-0005-0000-0000-0000DE150000}"/>
    <cellStyle name="Notas 2 3 6 2" xfId="5599" xr:uid="{00000000-0005-0000-0000-0000DF150000}"/>
    <cellStyle name="Notas 2 3 6 3" xfId="5600" xr:uid="{00000000-0005-0000-0000-0000E0150000}"/>
    <cellStyle name="Notas 2 3 6 4" xfId="5601" xr:uid="{00000000-0005-0000-0000-0000E1150000}"/>
    <cellStyle name="Notas 2 3 6 5" xfId="5602" xr:uid="{00000000-0005-0000-0000-0000E2150000}"/>
    <cellStyle name="Notas 2 3 7" xfId="5603" xr:uid="{00000000-0005-0000-0000-0000E3150000}"/>
    <cellStyle name="Notas 2 3 7 2" xfId="5604" xr:uid="{00000000-0005-0000-0000-0000E4150000}"/>
    <cellStyle name="Notas 2 3 7 3" xfId="5605" xr:uid="{00000000-0005-0000-0000-0000E5150000}"/>
    <cellStyle name="Notas 2 3 7 4" xfId="5606" xr:uid="{00000000-0005-0000-0000-0000E6150000}"/>
    <cellStyle name="Notas 2 3 7 5" xfId="5607" xr:uid="{00000000-0005-0000-0000-0000E7150000}"/>
    <cellStyle name="Notas 2 3 8" xfId="5608" xr:uid="{00000000-0005-0000-0000-0000E8150000}"/>
    <cellStyle name="Notas 2 4" xfId="3710" xr:uid="{00000000-0005-0000-0000-00007E0E0000}"/>
    <cellStyle name="Notas 2 4 2" xfId="3711" xr:uid="{00000000-0005-0000-0000-00007F0E0000}"/>
    <cellStyle name="Notas 2 4 2 2" xfId="5609" xr:uid="{00000000-0005-0000-0000-0000E9150000}"/>
    <cellStyle name="Notas 2 4 2 2 2" xfId="5610" xr:uid="{00000000-0005-0000-0000-0000EA150000}"/>
    <cellStyle name="Notas 2 4 2 3" xfId="5611" xr:uid="{00000000-0005-0000-0000-0000EB150000}"/>
    <cellStyle name="Notas 2 4 2 3 2" xfId="5612" xr:uid="{00000000-0005-0000-0000-0000EC150000}"/>
    <cellStyle name="Notas 2 4 2 4" xfId="5613" xr:uid="{00000000-0005-0000-0000-0000ED150000}"/>
    <cellStyle name="Notas 2 4 2 5" xfId="5614" xr:uid="{00000000-0005-0000-0000-0000EE150000}"/>
    <cellStyle name="Notas 2 4 2 6" xfId="5615" xr:uid="{00000000-0005-0000-0000-0000EF150000}"/>
    <cellStyle name="Notas 2 4 2 7" xfId="5616" xr:uid="{00000000-0005-0000-0000-0000F0150000}"/>
    <cellStyle name="Notas 2 4 3" xfId="3712" xr:uid="{00000000-0005-0000-0000-0000800E0000}"/>
    <cellStyle name="Notas 2 4 3 2" xfId="5617" xr:uid="{00000000-0005-0000-0000-0000F1150000}"/>
    <cellStyle name="Notas 2 4 3 3" xfId="5618" xr:uid="{00000000-0005-0000-0000-0000F2150000}"/>
    <cellStyle name="Notas 2 4 3 4" xfId="5619" xr:uid="{00000000-0005-0000-0000-0000F3150000}"/>
    <cellStyle name="Notas 2 4 3 5" xfId="5620" xr:uid="{00000000-0005-0000-0000-0000F4150000}"/>
    <cellStyle name="Notas 2 4 3 6" xfId="5621" xr:uid="{00000000-0005-0000-0000-0000F5150000}"/>
    <cellStyle name="Notas 2 4 4" xfId="5622" xr:uid="{00000000-0005-0000-0000-0000F6150000}"/>
    <cellStyle name="Notas 2 4 4 2" xfId="5623" xr:uid="{00000000-0005-0000-0000-0000F7150000}"/>
    <cellStyle name="Notas 2 4 4 3" xfId="5624" xr:uid="{00000000-0005-0000-0000-0000F8150000}"/>
    <cellStyle name="Notas 2 4 4 4" xfId="5625" xr:uid="{00000000-0005-0000-0000-0000F9150000}"/>
    <cellStyle name="Notas 2 4 4 5" xfId="5626" xr:uid="{00000000-0005-0000-0000-0000FA150000}"/>
    <cellStyle name="Notas 2 4 5" xfId="5627" xr:uid="{00000000-0005-0000-0000-0000FB150000}"/>
    <cellStyle name="Notas 2 4 5 2" xfId="5628" xr:uid="{00000000-0005-0000-0000-0000FC150000}"/>
    <cellStyle name="Notas 2 4 5 3" xfId="5629" xr:uid="{00000000-0005-0000-0000-0000FD150000}"/>
    <cellStyle name="Notas 2 4 5 4" xfId="5630" xr:uid="{00000000-0005-0000-0000-0000FE150000}"/>
    <cellStyle name="Notas 2 4 5 5" xfId="5631" xr:uid="{00000000-0005-0000-0000-0000FF150000}"/>
    <cellStyle name="Notas 2 4 6" xfId="5632" xr:uid="{00000000-0005-0000-0000-000000160000}"/>
    <cellStyle name="Notas 2 4 6 2" xfId="5633" xr:uid="{00000000-0005-0000-0000-000001160000}"/>
    <cellStyle name="Notas 2 4 6 3" xfId="5634" xr:uid="{00000000-0005-0000-0000-000002160000}"/>
    <cellStyle name="Notas 2 4 6 4" xfId="5635" xr:uid="{00000000-0005-0000-0000-000003160000}"/>
    <cellStyle name="Notas 2 4 6 5" xfId="5636" xr:uid="{00000000-0005-0000-0000-000004160000}"/>
    <cellStyle name="Notas 2 4 7" xfId="5637" xr:uid="{00000000-0005-0000-0000-000005160000}"/>
    <cellStyle name="Notas 2 4 7 2" xfId="5638" xr:uid="{00000000-0005-0000-0000-000006160000}"/>
    <cellStyle name="Notas 2 4 7 3" xfId="5639" xr:uid="{00000000-0005-0000-0000-000007160000}"/>
    <cellStyle name="Notas 2 4 7 4" xfId="5640" xr:uid="{00000000-0005-0000-0000-000008160000}"/>
    <cellStyle name="Notas 2 4 7 5" xfId="5641" xr:uid="{00000000-0005-0000-0000-000009160000}"/>
    <cellStyle name="Notas 2 4 8" xfId="5642" xr:uid="{00000000-0005-0000-0000-00000A160000}"/>
    <cellStyle name="Notas 2 5" xfId="3713" xr:uid="{00000000-0005-0000-0000-0000810E0000}"/>
    <cellStyle name="Notas 2 5 2" xfId="3714" xr:uid="{00000000-0005-0000-0000-0000820E0000}"/>
    <cellStyle name="Notas 2 5 2 2" xfId="5643" xr:uid="{00000000-0005-0000-0000-00000B160000}"/>
    <cellStyle name="Notas 2 5 2 2 2" xfId="5644" xr:uid="{00000000-0005-0000-0000-00000C160000}"/>
    <cellStyle name="Notas 2 5 2 3" xfId="5645" xr:uid="{00000000-0005-0000-0000-00000D160000}"/>
    <cellStyle name="Notas 2 5 2 3 2" xfId="5646" xr:uid="{00000000-0005-0000-0000-00000E160000}"/>
    <cellStyle name="Notas 2 5 2 4" xfId="5647" xr:uid="{00000000-0005-0000-0000-00000F160000}"/>
    <cellStyle name="Notas 2 5 2 5" xfId="5648" xr:uid="{00000000-0005-0000-0000-000010160000}"/>
    <cellStyle name="Notas 2 5 2 6" xfId="5649" xr:uid="{00000000-0005-0000-0000-000011160000}"/>
    <cellStyle name="Notas 2 5 3" xfId="3715" xr:uid="{00000000-0005-0000-0000-0000830E0000}"/>
    <cellStyle name="Notas 2 5 3 2" xfId="5650" xr:uid="{00000000-0005-0000-0000-000012160000}"/>
    <cellStyle name="Notas 2 5 3 3" xfId="5651" xr:uid="{00000000-0005-0000-0000-000013160000}"/>
    <cellStyle name="Notas 2 5 3 4" xfId="5652" xr:uid="{00000000-0005-0000-0000-000014160000}"/>
    <cellStyle name="Notas 2 5 3 5" xfId="5653" xr:uid="{00000000-0005-0000-0000-000015160000}"/>
    <cellStyle name="Notas 2 5 3 6" xfId="5654" xr:uid="{00000000-0005-0000-0000-000016160000}"/>
    <cellStyle name="Notas 2 5 4" xfId="5655" xr:uid="{00000000-0005-0000-0000-000017160000}"/>
    <cellStyle name="Notas 2 5 4 2" xfId="5656" xr:uid="{00000000-0005-0000-0000-000018160000}"/>
    <cellStyle name="Notas 2 5 4 3" xfId="5657" xr:uid="{00000000-0005-0000-0000-000019160000}"/>
    <cellStyle name="Notas 2 5 4 4" xfId="5658" xr:uid="{00000000-0005-0000-0000-00001A160000}"/>
    <cellStyle name="Notas 2 5 4 5" xfId="5659" xr:uid="{00000000-0005-0000-0000-00001B160000}"/>
    <cellStyle name="Notas 2 5 5" xfId="5660" xr:uid="{00000000-0005-0000-0000-00001C160000}"/>
    <cellStyle name="Notas 2 5 5 2" xfId="5661" xr:uid="{00000000-0005-0000-0000-00001D160000}"/>
    <cellStyle name="Notas 2 5 5 3" xfId="5662" xr:uid="{00000000-0005-0000-0000-00001E160000}"/>
    <cellStyle name="Notas 2 5 5 4" xfId="5663" xr:uid="{00000000-0005-0000-0000-00001F160000}"/>
    <cellStyle name="Notas 2 5 5 5" xfId="5664" xr:uid="{00000000-0005-0000-0000-000020160000}"/>
    <cellStyle name="Notas 2 5 6" xfId="5665" xr:uid="{00000000-0005-0000-0000-000021160000}"/>
    <cellStyle name="Notas 2 5 6 2" xfId="5666" xr:uid="{00000000-0005-0000-0000-000022160000}"/>
    <cellStyle name="Notas 2 5 6 3" xfId="5667" xr:uid="{00000000-0005-0000-0000-000023160000}"/>
    <cellStyle name="Notas 2 5 6 4" xfId="5668" xr:uid="{00000000-0005-0000-0000-000024160000}"/>
    <cellStyle name="Notas 2 5 6 5" xfId="5669" xr:uid="{00000000-0005-0000-0000-000025160000}"/>
    <cellStyle name="Notas 2 5 7" xfId="5670" xr:uid="{00000000-0005-0000-0000-000026160000}"/>
    <cellStyle name="Notas 2 5 7 2" xfId="5671" xr:uid="{00000000-0005-0000-0000-000027160000}"/>
    <cellStyle name="Notas 2 5 7 3" xfId="5672" xr:uid="{00000000-0005-0000-0000-000028160000}"/>
    <cellStyle name="Notas 2 5 7 4" xfId="5673" xr:uid="{00000000-0005-0000-0000-000029160000}"/>
    <cellStyle name="Notas 2 5 7 5" xfId="5674" xr:uid="{00000000-0005-0000-0000-00002A160000}"/>
    <cellStyle name="Notas 2 6" xfId="3716" xr:uid="{00000000-0005-0000-0000-0000840E0000}"/>
    <cellStyle name="Notas 2 6 2" xfId="3717" xr:uid="{00000000-0005-0000-0000-0000850E0000}"/>
    <cellStyle name="Notas 2 6 2 2" xfId="5675" xr:uid="{00000000-0005-0000-0000-00002B160000}"/>
    <cellStyle name="Notas 2 6 2 2 2" xfId="5676" xr:uid="{00000000-0005-0000-0000-00002C160000}"/>
    <cellStyle name="Notas 2 6 2 3" xfId="5677" xr:uid="{00000000-0005-0000-0000-00002D160000}"/>
    <cellStyle name="Notas 2 6 2 3 2" xfId="5678" xr:uid="{00000000-0005-0000-0000-00002E160000}"/>
    <cellStyle name="Notas 2 6 2 4" xfId="5679" xr:uid="{00000000-0005-0000-0000-00002F160000}"/>
    <cellStyle name="Notas 2 6 2 5" xfId="5680" xr:uid="{00000000-0005-0000-0000-000030160000}"/>
    <cellStyle name="Notas 2 6 2 6" xfId="5681" xr:uid="{00000000-0005-0000-0000-000031160000}"/>
    <cellStyle name="Notas 2 6 3" xfId="3718" xr:uid="{00000000-0005-0000-0000-0000860E0000}"/>
    <cellStyle name="Notas 2 6 3 2" xfId="5682" xr:uid="{00000000-0005-0000-0000-000032160000}"/>
    <cellStyle name="Notas 2 6 3 3" xfId="5683" xr:uid="{00000000-0005-0000-0000-000033160000}"/>
    <cellStyle name="Notas 2 6 3 4" xfId="5684" xr:uid="{00000000-0005-0000-0000-000034160000}"/>
    <cellStyle name="Notas 2 6 3 5" xfId="5685" xr:uid="{00000000-0005-0000-0000-000035160000}"/>
    <cellStyle name="Notas 2 6 3 6" xfId="5686" xr:uid="{00000000-0005-0000-0000-000036160000}"/>
    <cellStyle name="Notas 2 6 4" xfId="5687" xr:uid="{00000000-0005-0000-0000-000037160000}"/>
    <cellStyle name="Notas 2 6 4 2" xfId="5688" xr:uid="{00000000-0005-0000-0000-000038160000}"/>
    <cellStyle name="Notas 2 6 4 3" xfId="5689" xr:uid="{00000000-0005-0000-0000-000039160000}"/>
    <cellStyle name="Notas 2 6 4 4" xfId="5690" xr:uid="{00000000-0005-0000-0000-00003A160000}"/>
    <cellStyle name="Notas 2 6 4 5" xfId="5691" xr:uid="{00000000-0005-0000-0000-00003B160000}"/>
    <cellStyle name="Notas 2 6 5" xfId="5692" xr:uid="{00000000-0005-0000-0000-00003C160000}"/>
    <cellStyle name="Notas 2 6 5 2" xfId="5693" xr:uid="{00000000-0005-0000-0000-00003D160000}"/>
    <cellStyle name="Notas 2 6 5 3" xfId="5694" xr:uid="{00000000-0005-0000-0000-00003E160000}"/>
    <cellStyle name="Notas 2 6 5 4" xfId="5695" xr:uid="{00000000-0005-0000-0000-00003F160000}"/>
    <cellStyle name="Notas 2 6 5 5" xfId="5696" xr:uid="{00000000-0005-0000-0000-000040160000}"/>
    <cellStyle name="Notas 2 6 6" xfId="5697" xr:uid="{00000000-0005-0000-0000-000041160000}"/>
    <cellStyle name="Notas 2 6 6 2" xfId="5698" xr:uid="{00000000-0005-0000-0000-000042160000}"/>
    <cellStyle name="Notas 2 6 6 3" xfId="5699" xr:uid="{00000000-0005-0000-0000-000043160000}"/>
    <cellStyle name="Notas 2 6 6 4" xfId="5700" xr:uid="{00000000-0005-0000-0000-000044160000}"/>
    <cellStyle name="Notas 2 6 6 5" xfId="5701" xr:uid="{00000000-0005-0000-0000-000045160000}"/>
    <cellStyle name="Notas 2 6 7" xfId="5702" xr:uid="{00000000-0005-0000-0000-000046160000}"/>
    <cellStyle name="Notas 2 6 7 2" xfId="5703" xr:uid="{00000000-0005-0000-0000-000047160000}"/>
    <cellStyle name="Notas 2 6 7 3" xfId="5704" xr:uid="{00000000-0005-0000-0000-000048160000}"/>
    <cellStyle name="Notas 2 6 7 4" xfId="5705" xr:uid="{00000000-0005-0000-0000-000049160000}"/>
    <cellStyle name="Notas 2 6 7 5" xfId="5706" xr:uid="{00000000-0005-0000-0000-00004A160000}"/>
    <cellStyle name="Notas 2 7" xfId="3719" xr:uid="{00000000-0005-0000-0000-0000870E0000}"/>
    <cellStyle name="Notas 2 7 2" xfId="3720" xr:uid="{00000000-0005-0000-0000-0000880E0000}"/>
    <cellStyle name="Notas 2 7 2 2" xfId="5707" xr:uid="{00000000-0005-0000-0000-00004B160000}"/>
    <cellStyle name="Notas 2 7 2 2 2" xfId="5708" xr:uid="{00000000-0005-0000-0000-00004C160000}"/>
    <cellStyle name="Notas 2 7 2 3" xfId="5709" xr:uid="{00000000-0005-0000-0000-00004D160000}"/>
    <cellStyle name="Notas 2 7 2 3 2" xfId="5710" xr:uid="{00000000-0005-0000-0000-00004E160000}"/>
    <cellStyle name="Notas 2 7 2 4" xfId="5711" xr:uid="{00000000-0005-0000-0000-00004F160000}"/>
    <cellStyle name="Notas 2 7 2 5" xfId="5712" xr:uid="{00000000-0005-0000-0000-000050160000}"/>
    <cellStyle name="Notas 2 7 2 6" xfId="5713" xr:uid="{00000000-0005-0000-0000-000051160000}"/>
    <cellStyle name="Notas 2 7 3" xfId="3721" xr:uid="{00000000-0005-0000-0000-0000890E0000}"/>
    <cellStyle name="Notas 2 7 3 2" xfId="5714" xr:uid="{00000000-0005-0000-0000-000052160000}"/>
    <cellStyle name="Notas 2 7 3 3" xfId="5715" xr:uid="{00000000-0005-0000-0000-000053160000}"/>
    <cellStyle name="Notas 2 7 3 4" xfId="5716" xr:uid="{00000000-0005-0000-0000-000054160000}"/>
    <cellStyle name="Notas 2 7 3 5" xfId="5717" xr:uid="{00000000-0005-0000-0000-000055160000}"/>
    <cellStyle name="Notas 2 7 3 6" xfId="5718" xr:uid="{00000000-0005-0000-0000-000056160000}"/>
    <cellStyle name="Notas 2 7 4" xfId="5719" xr:uid="{00000000-0005-0000-0000-000057160000}"/>
    <cellStyle name="Notas 2 7 4 2" xfId="5720" xr:uid="{00000000-0005-0000-0000-000058160000}"/>
    <cellStyle name="Notas 2 7 4 3" xfId="5721" xr:uid="{00000000-0005-0000-0000-000059160000}"/>
    <cellStyle name="Notas 2 7 4 4" xfId="5722" xr:uid="{00000000-0005-0000-0000-00005A160000}"/>
    <cellStyle name="Notas 2 7 4 5" xfId="5723" xr:uid="{00000000-0005-0000-0000-00005B160000}"/>
    <cellStyle name="Notas 2 7 5" xfId="5724" xr:uid="{00000000-0005-0000-0000-00005C160000}"/>
    <cellStyle name="Notas 2 7 5 2" xfId="5725" xr:uid="{00000000-0005-0000-0000-00005D160000}"/>
    <cellStyle name="Notas 2 7 5 3" xfId="5726" xr:uid="{00000000-0005-0000-0000-00005E160000}"/>
    <cellStyle name="Notas 2 7 5 4" xfId="5727" xr:uid="{00000000-0005-0000-0000-00005F160000}"/>
    <cellStyle name="Notas 2 7 5 5" xfId="5728" xr:uid="{00000000-0005-0000-0000-000060160000}"/>
    <cellStyle name="Notas 2 7 6" xfId="5729" xr:uid="{00000000-0005-0000-0000-000061160000}"/>
    <cellStyle name="Notas 2 7 6 2" xfId="5730" xr:uid="{00000000-0005-0000-0000-000062160000}"/>
    <cellStyle name="Notas 2 7 6 3" xfId="5731" xr:uid="{00000000-0005-0000-0000-000063160000}"/>
    <cellStyle name="Notas 2 7 6 4" xfId="5732" xr:uid="{00000000-0005-0000-0000-000064160000}"/>
    <cellStyle name="Notas 2 7 6 5" xfId="5733" xr:uid="{00000000-0005-0000-0000-000065160000}"/>
    <cellStyle name="Notas 2 7 7" xfId="5734" xr:uid="{00000000-0005-0000-0000-000066160000}"/>
    <cellStyle name="Notas 2 7 7 2" xfId="5735" xr:uid="{00000000-0005-0000-0000-000067160000}"/>
    <cellStyle name="Notas 2 7 7 3" xfId="5736" xr:uid="{00000000-0005-0000-0000-000068160000}"/>
    <cellStyle name="Notas 2 7 7 4" xfId="5737" xr:uid="{00000000-0005-0000-0000-000069160000}"/>
    <cellStyle name="Notas 2 7 7 5" xfId="5738" xr:uid="{00000000-0005-0000-0000-00006A160000}"/>
    <cellStyle name="Notas 2 8" xfId="3722" xr:uid="{00000000-0005-0000-0000-00008A0E0000}"/>
    <cellStyle name="Notas 2 8 2" xfId="3723" xr:uid="{00000000-0005-0000-0000-00008B0E0000}"/>
    <cellStyle name="Notas 2 8 2 2" xfId="5739" xr:uid="{00000000-0005-0000-0000-00006B160000}"/>
    <cellStyle name="Notas 2 8 2 2 2" xfId="5740" xr:uid="{00000000-0005-0000-0000-00006C160000}"/>
    <cellStyle name="Notas 2 8 2 3" xfId="5741" xr:uid="{00000000-0005-0000-0000-00006D160000}"/>
    <cellStyle name="Notas 2 8 2 3 2" xfId="5742" xr:uid="{00000000-0005-0000-0000-00006E160000}"/>
    <cellStyle name="Notas 2 8 2 4" xfId="5743" xr:uid="{00000000-0005-0000-0000-00006F160000}"/>
    <cellStyle name="Notas 2 8 2 5" xfId="5744" xr:uid="{00000000-0005-0000-0000-000070160000}"/>
    <cellStyle name="Notas 2 8 2 6" xfId="5745" xr:uid="{00000000-0005-0000-0000-000071160000}"/>
    <cellStyle name="Notas 2 8 3" xfId="3724" xr:uid="{00000000-0005-0000-0000-00008C0E0000}"/>
    <cellStyle name="Notas 2 8 3 2" xfId="5746" xr:uid="{00000000-0005-0000-0000-000072160000}"/>
    <cellStyle name="Notas 2 8 3 3" xfId="5747" xr:uid="{00000000-0005-0000-0000-000073160000}"/>
    <cellStyle name="Notas 2 8 3 4" xfId="5748" xr:uid="{00000000-0005-0000-0000-000074160000}"/>
    <cellStyle name="Notas 2 8 3 5" xfId="5749" xr:uid="{00000000-0005-0000-0000-000075160000}"/>
    <cellStyle name="Notas 2 8 3 6" xfId="5750" xr:uid="{00000000-0005-0000-0000-000076160000}"/>
    <cellStyle name="Notas 2 8 4" xfId="5751" xr:uid="{00000000-0005-0000-0000-000077160000}"/>
    <cellStyle name="Notas 2 8 4 2" xfId="5752" xr:uid="{00000000-0005-0000-0000-000078160000}"/>
    <cellStyle name="Notas 2 8 4 3" xfId="5753" xr:uid="{00000000-0005-0000-0000-000079160000}"/>
    <cellStyle name="Notas 2 8 4 4" xfId="5754" xr:uid="{00000000-0005-0000-0000-00007A160000}"/>
    <cellStyle name="Notas 2 8 4 5" xfId="5755" xr:uid="{00000000-0005-0000-0000-00007B160000}"/>
    <cellStyle name="Notas 2 8 5" xfId="5756" xr:uid="{00000000-0005-0000-0000-00007C160000}"/>
    <cellStyle name="Notas 2 8 5 2" xfId="5757" xr:uid="{00000000-0005-0000-0000-00007D160000}"/>
    <cellStyle name="Notas 2 8 5 3" xfId="5758" xr:uid="{00000000-0005-0000-0000-00007E160000}"/>
    <cellStyle name="Notas 2 8 5 4" xfId="5759" xr:uid="{00000000-0005-0000-0000-00007F160000}"/>
    <cellStyle name="Notas 2 8 5 5" xfId="5760" xr:uid="{00000000-0005-0000-0000-000080160000}"/>
    <cellStyle name="Notas 2 8 6" xfId="5761" xr:uid="{00000000-0005-0000-0000-000081160000}"/>
    <cellStyle name="Notas 2 8 6 2" xfId="5762" xr:uid="{00000000-0005-0000-0000-000082160000}"/>
    <cellStyle name="Notas 2 8 6 3" xfId="5763" xr:uid="{00000000-0005-0000-0000-000083160000}"/>
    <cellStyle name="Notas 2 8 6 4" xfId="5764" xr:uid="{00000000-0005-0000-0000-000084160000}"/>
    <cellStyle name="Notas 2 8 6 5" xfId="5765" xr:uid="{00000000-0005-0000-0000-000085160000}"/>
    <cellStyle name="Notas 2 8 7" xfId="5766" xr:uid="{00000000-0005-0000-0000-000086160000}"/>
    <cellStyle name="Notas 2 8 7 2" xfId="5767" xr:uid="{00000000-0005-0000-0000-000087160000}"/>
    <cellStyle name="Notas 2 8 7 3" xfId="5768" xr:uid="{00000000-0005-0000-0000-000088160000}"/>
    <cellStyle name="Notas 2 8 7 4" xfId="5769" xr:uid="{00000000-0005-0000-0000-000089160000}"/>
    <cellStyle name="Notas 2 8 7 5" xfId="5770" xr:uid="{00000000-0005-0000-0000-00008A160000}"/>
    <cellStyle name="Notas 2 9" xfId="3725" xr:uid="{00000000-0005-0000-0000-00008D0E0000}"/>
    <cellStyle name="Notas 2 9 2" xfId="3726" xr:uid="{00000000-0005-0000-0000-00008E0E0000}"/>
    <cellStyle name="Notas 2 9 2 2" xfId="5771" xr:uid="{00000000-0005-0000-0000-00008B160000}"/>
    <cellStyle name="Notas 2 9 2 2 2" xfId="5772" xr:uid="{00000000-0005-0000-0000-00008C160000}"/>
    <cellStyle name="Notas 2 9 2 3" xfId="5773" xr:uid="{00000000-0005-0000-0000-00008D160000}"/>
    <cellStyle name="Notas 2 9 2 3 2" xfId="5774" xr:uid="{00000000-0005-0000-0000-00008E160000}"/>
    <cellStyle name="Notas 2 9 2 4" xfId="5775" xr:uid="{00000000-0005-0000-0000-00008F160000}"/>
    <cellStyle name="Notas 2 9 2 5" xfId="5776" xr:uid="{00000000-0005-0000-0000-000090160000}"/>
    <cellStyle name="Notas 2 9 2 6" xfId="5777" xr:uid="{00000000-0005-0000-0000-000091160000}"/>
    <cellStyle name="Notas 2 9 3" xfId="3727" xr:uid="{00000000-0005-0000-0000-00008F0E0000}"/>
    <cellStyle name="Notas 2 9 3 2" xfId="5778" xr:uid="{00000000-0005-0000-0000-000092160000}"/>
    <cellStyle name="Notas 2 9 3 3" xfId="5779" xr:uid="{00000000-0005-0000-0000-000093160000}"/>
    <cellStyle name="Notas 2 9 3 4" xfId="5780" xr:uid="{00000000-0005-0000-0000-000094160000}"/>
    <cellStyle name="Notas 2 9 3 5" xfId="5781" xr:uid="{00000000-0005-0000-0000-000095160000}"/>
    <cellStyle name="Notas 2 9 3 6" xfId="5782" xr:uid="{00000000-0005-0000-0000-000096160000}"/>
    <cellStyle name="Notas 2 9 4" xfId="5783" xr:uid="{00000000-0005-0000-0000-000097160000}"/>
    <cellStyle name="Notas 2 9 4 2" xfId="5784" xr:uid="{00000000-0005-0000-0000-000098160000}"/>
    <cellStyle name="Notas 2 9 4 3" xfId="5785" xr:uid="{00000000-0005-0000-0000-000099160000}"/>
    <cellStyle name="Notas 2 9 4 4" xfId="5786" xr:uid="{00000000-0005-0000-0000-00009A160000}"/>
    <cellStyle name="Notas 2 9 4 5" xfId="5787" xr:uid="{00000000-0005-0000-0000-00009B160000}"/>
    <cellStyle name="Notas 2 9 5" xfId="5788" xr:uid="{00000000-0005-0000-0000-00009C160000}"/>
    <cellStyle name="Notas 2 9 5 2" xfId="5789" xr:uid="{00000000-0005-0000-0000-00009D160000}"/>
    <cellStyle name="Notas 2 9 5 3" xfId="5790" xr:uid="{00000000-0005-0000-0000-00009E160000}"/>
    <cellStyle name="Notas 2 9 5 4" xfId="5791" xr:uid="{00000000-0005-0000-0000-00009F160000}"/>
    <cellStyle name="Notas 2 9 5 5" xfId="5792" xr:uid="{00000000-0005-0000-0000-0000A0160000}"/>
    <cellStyle name="Notas 2 9 6" xfId="5793" xr:uid="{00000000-0005-0000-0000-0000A1160000}"/>
    <cellStyle name="Notas 2 9 6 2" xfId="5794" xr:uid="{00000000-0005-0000-0000-0000A2160000}"/>
    <cellStyle name="Notas 2 9 6 3" xfId="5795" xr:uid="{00000000-0005-0000-0000-0000A3160000}"/>
    <cellStyle name="Notas 2 9 6 4" xfId="5796" xr:uid="{00000000-0005-0000-0000-0000A4160000}"/>
    <cellStyle name="Notas 2 9 6 5" xfId="5797" xr:uid="{00000000-0005-0000-0000-0000A5160000}"/>
    <cellStyle name="Notas 2 9 7" xfId="5798" xr:uid="{00000000-0005-0000-0000-0000A6160000}"/>
    <cellStyle name="Notas 2 9 7 2" xfId="5799" xr:uid="{00000000-0005-0000-0000-0000A7160000}"/>
    <cellStyle name="Notas 2 9 7 3" xfId="5800" xr:uid="{00000000-0005-0000-0000-0000A8160000}"/>
    <cellStyle name="Notas 2 9 7 4" xfId="5801" xr:uid="{00000000-0005-0000-0000-0000A9160000}"/>
    <cellStyle name="Notas 2 9 7 5" xfId="5802" xr:uid="{00000000-0005-0000-0000-0000AA160000}"/>
    <cellStyle name="Notas 2_Deuda septiembre_marcos" xfId="2140" xr:uid="{00000000-0005-0000-0000-00005C080000}"/>
    <cellStyle name="Notas 3" xfId="3445" xr:uid="{00000000-0005-0000-0000-0000750D0000}"/>
    <cellStyle name="Notas 3 2" xfId="5803" xr:uid="{00000000-0005-0000-0000-0000AB160000}"/>
    <cellStyle name="Notas 3 3" xfId="5804" xr:uid="{00000000-0005-0000-0000-0000AC160000}"/>
    <cellStyle name="Notas 4" xfId="3446" xr:uid="{00000000-0005-0000-0000-0000760D0000}"/>
    <cellStyle name="Notas 4 2" xfId="5805" xr:uid="{00000000-0005-0000-0000-0000AD160000}"/>
    <cellStyle name="Notas 4 3" xfId="5806" xr:uid="{00000000-0005-0000-0000-0000AE160000}"/>
    <cellStyle name="Notas 5" xfId="3447" xr:uid="{00000000-0005-0000-0000-0000770D0000}"/>
    <cellStyle name="Notas 6" xfId="3448" xr:uid="{00000000-0005-0000-0000-0000780D0000}"/>
    <cellStyle name="Notas 7" xfId="3449" xr:uid="{00000000-0005-0000-0000-0000790D0000}"/>
    <cellStyle name="Notas 8" xfId="3450" xr:uid="{00000000-0005-0000-0000-00007A0D0000}"/>
    <cellStyle name="Notas 9" xfId="3451" xr:uid="{00000000-0005-0000-0000-00007B0D0000}"/>
    <cellStyle name="Percent" xfId="1" xr:uid="{00000000-0005-0000-0000-000001000000}"/>
    <cellStyle name="Percent (0)" xfId="2141" xr:uid="{00000000-0005-0000-0000-00005D080000}"/>
    <cellStyle name="Percent (0) 10" xfId="3452" xr:uid="{00000000-0005-0000-0000-00007C0D0000}"/>
    <cellStyle name="Percent (0) 2" xfId="2142" xr:uid="{00000000-0005-0000-0000-00005E080000}"/>
    <cellStyle name="Percent (0) 2 2" xfId="2143" xr:uid="{00000000-0005-0000-0000-00005F080000}"/>
    <cellStyle name="Percent (0) 2 2 2" xfId="2144" xr:uid="{00000000-0005-0000-0000-000060080000}"/>
    <cellStyle name="Percent (0) 2 2 2 2" xfId="2145" xr:uid="{00000000-0005-0000-0000-000061080000}"/>
    <cellStyle name="Percent (0) 2 2 2 3" xfId="2146" xr:uid="{00000000-0005-0000-0000-000062080000}"/>
    <cellStyle name="Percent (0) 2 2 3" xfId="2147" xr:uid="{00000000-0005-0000-0000-000063080000}"/>
    <cellStyle name="Percent (0) 2 2 4" xfId="2148" xr:uid="{00000000-0005-0000-0000-000064080000}"/>
    <cellStyle name="Percent (0) 2 3" xfId="2149" xr:uid="{00000000-0005-0000-0000-000065080000}"/>
    <cellStyle name="Percent (0) 2 3 2" xfId="2150" xr:uid="{00000000-0005-0000-0000-000066080000}"/>
    <cellStyle name="Percent (0) 2 3 2 2" xfId="2151" xr:uid="{00000000-0005-0000-0000-000067080000}"/>
    <cellStyle name="Percent (0) 2 3 2 3" xfId="2152" xr:uid="{00000000-0005-0000-0000-000068080000}"/>
    <cellStyle name="Percent (0) 2 3 3" xfId="2153" xr:uid="{00000000-0005-0000-0000-000069080000}"/>
    <cellStyle name="Percent (0) 2 3 4" xfId="2154" xr:uid="{00000000-0005-0000-0000-00006A080000}"/>
    <cellStyle name="Percent (0) 2 4" xfId="2155" xr:uid="{00000000-0005-0000-0000-00006B080000}"/>
    <cellStyle name="Percent (0) 2 4 2" xfId="2156" xr:uid="{00000000-0005-0000-0000-00006C080000}"/>
    <cellStyle name="Percent (0) 2 4 2 2" xfId="2157" xr:uid="{00000000-0005-0000-0000-00006D080000}"/>
    <cellStyle name="Percent (0) 2 4 2 3" xfId="2158" xr:uid="{00000000-0005-0000-0000-00006E080000}"/>
    <cellStyle name="Percent (0) 2 4 3" xfId="2159" xr:uid="{00000000-0005-0000-0000-00006F080000}"/>
    <cellStyle name="Percent (0) 2 4 4" xfId="2160" xr:uid="{00000000-0005-0000-0000-000070080000}"/>
    <cellStyle name="Percent (0) 2 5" xfId="2161" xr:uid="{00000000-0005-0000-0000-000071080000}"/>
    <cellStyle name="Percent (0) 2 5 2" xfId="2162" xr:uid="{00000000-0005-0000-0000-000072080000}"/>
    <cellStyle name="Percent (0) 2 5 3" xfId="2163" xr:uid="{00000000-0005-0000-0000-000073080000}"/>
    <cellStyle name="Percent (0) 2 6" xfId="2164" xr:uid="{00000000-0005-0000-0000-000074080000}"/>
    <cellStyle name="Percent (0) 2 6 2" xfId="2165" xr:uid="{00000000-0005-0000-0000-000075080000}"/>
    <cellStyle name="Percent (0) 2 6 3" xfId="2166" xr:uid="{00000000-0005-0000-0000-000076080000}"/>
    <cellStyle name="Percent (0) 2 7" xfId="2167" xr:uid="{00000000-0005-0000-0000-000077080000}"/>
    <cellStyle name="Percent (0) 2 8" xfId="2168" xr:uid="{00000000-0005-0000-0000-000078080000}"/>
    <cellStyle name="Percent (0) 2_ActiFijos" xfId="2169" xr:uid="{00000000-0005-0000-0000-000079080000}"/>
    <cellStyle name="Percent (0) 3" xfId="2170" xr:uid="{00000000-0005-0000-0000-00007A080000}"/>
    <cellStyle name="Percent (0) 3 2" xfId="2171" xr:uid="{00000000-0005-0000-0000-00007B080000}"/>
    <cellStyle name="Percent (0) 3 2 2" xfId="2172" xr:uid="{00000000-0005-0000-0000-00007C080000}"/>
    <cellStyle name="Percent (0) 3 2 2 2" xfId="2173" xr:uid="{00000000-0005-0000-0000-00007D080000}"/>
    <cellStyle name="Percent (0) 3 2 2 3" xfId="2174" xr:uid="{00000000-0005-0000-0000-00007E080000}"/>
    <cellStyle name="Percent (0) 3 2 3" xfId="2175" xr:uid="{00000000-0005-0000-0000-00007F080000}"/>
    <cellStyle name="Percent (0) 3 2 4" xfId="2176" xr:uid="{00000000-0005-0000-0000-000080080000}"/>
    <cellStyle name="Percent (0) 3 3" xfId="2177" xr:uid="{00000000-0005-0000-0000-000081080000}"/>
    <cellStyle name="Percent (0) 3 3 2" xfId="2178" xr:uid="{00000000-0005-0000-0000-000082080000}"/>
    <cellStyle name="Percent (0) 3 3 2 2" xfId="2179" xr:uid="{00000000-0005-0000-0000-000083080000}"/>
    <cellStyle name="Percent (0) 3 3 2 3" xfId="2180" xr:uid="{00000000-0005-0000-0000-000084080000}"/>
    <cellStyle name="Percent (0) 3 3 3" xfId="2181" xr:uid="{00000000-0005-0000-0000-000085080000}"/>
    <cellStyle name="Percent (0) 3 3 4" xfId="2182" xr:uid="{00000000-0005-0000-0000-000086080000}"/>
    <cellStyle name="Percent (0) 3 4" xfId="2183" xr:uid="{00000000-0005-0000-0000-000087080000}"/>
    <cellStyle name="Percent (0) 3 4 2" xfId="2184" xr:uid="{00000000-0005-0000-0000-000088080000}"/>
    <cellStyle name="Percent (0) 3 4 2 2" xfId="2185" xr:uid="{00000000-0005-0000-0000-000089080000}"/>
    <cellStyle name="Percent (0) 3 4 2 3" xfId="2186" xr:uid="{00000000-0005-0000-0000-00008A080000}"/>
    <cellStyle name="Percent (0) 3 4 3" xfId="2187" xr:uid="{00000000-0005-0000-0000-00008B080000}"/>
    <cellStyle name="Percent (0) 3 4 4" xfId="2188" xr:uid="{00000000-0005-0000-0000-00008C080000}"/>
    <cellStyle name="Percent (0) 3 5" xfId="2189" xr:uid="{00000000-0005-0000-0000-00008D080000}"/>
    <cellStyle name="Percent (0) 3 5 2" xfId="2190" xr:uid="{00000000-0005-0000-0000-00008E080000}"/>
    <cellStyle name="Percent (0) 3 5 3" xfId="2191" xr:uid="{00000000-0005-0000-0000-00008F080000}"/>
    <cellStyle name="Percent (0) 3 6" xfId="2192" xr:uid="{00000000-0005-0000-0000-000090080000}"/>
    <cellStyle name="Percent (0) 3 6 2" xfId="2193" xr:uid="{00000000-0005-0000-0000-000091080000}"/>
    <cellStyle name="Percent (0) 3 6 3" xfId="2194" xr:uid="{00000000-0005-0000-0000-000092080000}"/>
    <cellStyle name="Percent (0) 3 7" xfId="2195" xr:uid="{00000000-0005-0000-0000-000093080000}"/>
    <cellStyle name="Percent (0) 3 8" xfId="2196" xr:uid="{00000000-0005-0000-0000-000094080000}"/>
    <cellStyle name="Percent (0) 3_ActiFijos" xfId="2197" xr:uid="{00000000-0005-0000-0000-000095080000}"/>
    <cellStyle name="Percent (0) 4" xfId="2198" xr:uid="{00000000-0005-0000-0000-000096080000}"/>
    <cellStyle name="Percent (0) 4 2" xfId="2199" xr:uid="{00000000-0005-0000-0000-000097080000}"/>
    <cellStyle name="Percent (0) 4 2 2" xfId="2200" xr:uid="{00000000-0005-0000-0000-000098080000}"/>
    <cellStyle name="Percent (0) 4 2 2 2" xfId="2201" xr:uid="{00000000-0005-0000-0000-000099080000}"/>
    <cellStyle name="Percent (0) 4 2 2 3" xfId="2202" xr:uid="{00000000-0005-0000-0000-00009A080000}"/>
    <cellStyle name="Percent (0) 4 2 3" xfId="2203" xr:uid="{00000000-0005-0000-0000-00009B080000}"/>
    <cellStyle name="Percent (0) 4 2 4" xfId="2204" xr:uid="{00000000-0005-0000-0000-00009C080000}"/>
    <cellStyle name="Percent (0) 4 3" xfId="2205" xr:uid="{00000000-0005-0000-0000-00009D080000}"/>
    <cellStyle name="Percent (0) 4 3 2" xfId="2206" xr:uid="{00000000-0005-0000-0000-00009E080000}"/>
    <cellStyle name="Percent (0) 4 3 2 2" xfId="3453" xr:uid="{00000000-0005-0000-0000-00007D0D0000}"/>
    <cellStyle name="Percent (0) 4 3 2 3" xfId="3454" xr:uid="{00000000-0005-0000-0000-00007E0D0000}"/>
    <cellStyle name="Percent (0) 4 3 3" xfId="3455" xr:uid="{00000000-0005-0000-0000-00007F0D0000}"/>
    <cellStyle name="Percent (0) 4 3 4" xfId="3456" xr:uid="{00000000-0005-0000-0000-0000800D0000}"/>
    <cellStyle name="Percent (0) 4 4" xfId="2207" xr:uid="{00000000-0005-0000-0000-00009F080000}"/>
    <cellStyle name="Percent (0) 4 4 2" xfId="2208" xr:uid="{00000000-0005-0000-0000-0000A0080000}"/>
    <cellStyle name="Percent (0) 4 4 2 2" xfId="3457" xr:uid="{00000000-0005-0000-0000-0000810D0000}"/>
    <cellStyle name="Percent (0) 4 4 2 3" xfId="3458" xr:uid="{00000000-0005-0000-0000-0000820D0000}"/>
    <cellStyle name="Percent (0) 4 4 3" xfId="3459" xr:uid="{00000000-0005-0000-0000-0000830D0000}"/>
    <cellStyle name="Percent (0) 4 4 4" xfId="3460" xr:uid="{00000000-0005-0000-0000-0000840D0000}"/>
    <cellStyle name="Percent (0) 4 5" xfId="2209" xr:uid="{00000000-0005-0000-0000-0000A1080000}"/>
    <cellStyle name="Percent (0) 4 5 2" xfId="3461" xr:uid="{00000000-0005-0000-0000-0000850D0000}"/>
    <cellStyle name="Percent (0) 4 5 3" xfId="3462" xr:uid="{00000000-0005-0000-0000-0000860D0000}"/>
    <cellStyle name="Percent (0) 4 6" xfId="2210" xr:uid="{00000000-0005-0000-0000-0000A2080000}"/>
    <cellStyle name="Percent (0) 4 6 2" xfId="3463" xr:uid="{00000000-0005-0000-0000-0000870D0000}"/>
    <cellStyle name="Percent (0) 4 6 3" xfId="3464" xr:uid="{00000000-0005-0000-0000-0000880D0000}"/>
    <cellStyle name="Percent (0) 4 7" xfId="3465" xr:uid="{00000000-0005-0000-0000-0000890D0000}"/>
    <cellStyle name="Percent (0) 4 8" xfId="3466" xr:uid="{00000000-0005-0000-0000-00008A0D0000}"/>
    <cellStyle name="Percent (0) 4_ActiFijos" xfId="2211" xr:uid="{00000000-0005-0000-0000-0000A3080000}"/>
    <cellStyle name="Percent (0) 5" xfId="2212" xr:uid="{00000000-0005-0000-0000-0000A4080000}"/>
    <cellStyle name="Percent (0) 5 2" xfId="3467" xr:uid="{00000000-0005-0000-0000-00008B0D0000}"/>
    <cellStyle name="Percent (0) 5 3" xfId="3468" xr:uid="{00000000-0005-0000-0000-00008C0D0000}"/>
    <cellStyle name="Percent (0) 6" xfId="2213" xr:uid="{00000000-0005-0000-0000-0000A5080000}"/>
    <cellStyle name="Percent (0) 6 2" xfId="3469" xr:uid="{00000000-0005-0000-0000-00008D0D0000}"/>
    <cellStyle name="Percent (0) 7" xfId="2214" xr:uid="{00000000-0005-0000-0000-0000A6080000}"/>
    <cellStyle name="Percent (0) 8" xfId="3470" xr:uid="{00000000-0005-0000-0000-00008E0D0000}"/>
    <cellStyle name="Percent (0) 9" xfId="3471" xr:uid="{00000000-0005-0000-0000-00008F0D0000}"/>
    <cellStyle name="Percent (0)_Bases_Generales" xfId="2215" xr:uid="{00000000-0005-0000-0000-0000A7080000}"/>
    <cellStyle name="Percent [2]" xfId="2216" xr:uid="{00000000-0005-0000-0000-0000A8080000}"/>
    <cellStyle name="Percent [2] 2" xfId="2217" xr:uid="{00000000-0005-0000-0000-0000A9080000}"/>
    <cellStyle name="Percent [2] 2 2" xfId="2218" xr:uid="{00000000-0005-0000-0000-0000AA080000}"/>
    <cellStyle name="Percent [2] 2 2 2" xfId="5807" xr:uid="{00000000-0005-0000-0000-0000AF160000}"/>
    <cellStyle name="Percent [2] 2 3" xfId="2219" xr:uid="{00000000-0005-0000-0000-0000AB080000}"/>
    <cellStyle name="Percent [2] 2 3 2" xfId="5808" xr:uid="{00000000-0005-0000-0000-0000B0160000}"/>
    <cellStyle name="Percent [2] 2 4" xfId="2220" xr:uid="{00000000-0005-0000-0000-0000AC080000}"/>
    <cellStyle name="Percent [2] 2 4 2" xfId="5809" xr:uid="{00000000-0005-0000-0000-0000B1160000}"/>
    <cellStyle name="Percent [2] 2 5" xfId="2221" xr:uid="{00000000-0005-0000-0000-0000AD080000}"/>
    <cellStyle name="Percent [2] 2 5 2" xfId="5810" xr:uid="{00000000-0005-0000-0000-0000B2160000}"/>
    <cellStyle name="Percent [2] 2 6" xfId="2222" xr:uid="{00000000-0005-0000-0000-0000AE080000}"/>
    <cellStyle name="Percent [2] 2 6 2" xfId="5811" xr:uid="{00000000-0005-0000-0000-0000B3160000}"/>
    <cellStyle name="Percent [2] 2 7" xfId="3472" xr:uid="{00000000-0005-0000-0000-0000900D0000}"/>
    <cellStyle name="Percent [2] 2 8" xfId="3473" xr:uid="{00000000-0005-0000-0000-0000910D0000}"/>
    <cellStyle name="Percent [2] 3" xfId="2223" xr:uid="{00000000-0005-0000-0000-0000AF080000}"/>
    <cellStyle name="Percent [2] 3 2" xfId="2224" xr:uid="{00000000-0005-0000-0000-0000B0080000}"/>
    <cellStyle name="Percent [2] 3 2 2" xfId="5812" xr:uid="{00000000-0005-0000-0000-0000B4160000}"/>
    <cellStyle name="Percent [2] 3 3" xfId="2225" xr:uid="{00000000-0005-0000-0000-0000B1080000}"/>
    <cellStyle name="Percent [2] 3 3 2" xfId="5813" xr:uid="{00000000-0005-0000-0000-0000B5160000}"/>
    <cellStyle name="Percent [2] 3 4" xfId="2226" xr:uid="{00000000-0005-0000-0000-0000B2080000}"/>
    <cellStyle name="Percent [2] 3 4 2" xfId="5814" xr:uid="{00000000-0005-0000-0000-0000B6160000}"/>
    <cellStyle name="Percent [2] 3 5" xfId="2227" xr:uid="{00000000-0005-0000-0000-0000B3080000}"/>
    <cellStyle name="Percent [2] 3 5 2" xfId="5815" xr:uid="{00000000-0005-0000-0000-0000B7160000}"/>
    <cellStyle name="Percent [2] 3 6" xfId="2228" xr:uid="{00000000-0005-0000-0000-0000B4080000}"/>
    <cellStyle name="Percent [2] 3 6 2" xfId="5816" xr:uid="{00000000-0005-0000-0000-0000B8160000}"/>
    <cellStyle name="Percent [2] 3 7" xfId="3474" xr:uid="{00000000-0005-0000-0000-0000920D0000}"/>
    <cellStyle name="Percent [2] 3 8" xfId="3475" xr:uid="{00000000-0005-0000-0000-0000930D0000}"/>
    <cellStyle name="Percent [2] 4" xfId="2229" xr:uid="{00000000-0005-0000-0000-0000B5080000}"/>
    <cellStyle name="Percent [2] 4 2" xfId="2230" xr:uid="{00000000-0005-0000-0000-0000B6080000}"/>
    <cellStyle name="Percent [2] 4 2 2" xfId="5817" xr:uid="{00000000-0005-0000-0000-0000B9160000}"/>
    <cellStyle name="Percent [2] 4 3" xfId="2231" xr:uid="{00000000-0005-0000-0000-0000B7080000}"/>
    <cellStyle name="Percent [2] 4 3 2" xfId="5818" xr:uid="{00000000-0005-0000-0000-0000BA160000}"/>
    <cellStyle name="Percent [2] 4 4" xfId="2232" xr:uid="{00000000-0005-0000-0000-0000B8080000}"/>
    <cellStyle name="Percent [2] 4 4 2" xfId="5819" xr:uid="{00000000-0005-0000-0000-0000BB160000}"/>
    <cellStyle name="Percent [2] 4 5" xfId="2233" xr:uid="{00000000-0005-0000-0000-0000B9080000}"/>
    <cellStyle name="Percent [2] 4 5 2" xfId="5820" xr:uid="{00000000-0005-0000-0000-0000BC160000}"/>
    <cellStyle name="Percent [2] 4 6" xfId="2234" xr:uid="{00000000-0005-0000-0000-0000BA080000}"/>
    <cellStyle name="Percent [2] 4 6 2" xfId="5821" xr:uid="{00000000-0005-0000-0000-0000BD160000}"/>
    <cellStyle name="Percent [2] 4 7" xfId="3476" xr:uid="{00000000-0005-0000-0000-0000940D0000}"/>
    <cellStyle name="Percent [2] 4 8" xfId="3477" xr:uid="{00000000-0005-0000-0000-0000950D0000}"/>
    <cellStyle name="Percent [2] 5" xfId="5822" xr:uid="{00000000-0005-0000-0000-0000BE160000}"/>
    <cellStyle name="Percent 2" xfId="2235" xr:uid="{00000000-0005-0000-0000-0000BB080000}"/>
    <cellStyle name="Percent 2 2" xfId="2236" xr:uid="{00000000-0005-0000-0000-0000BC080000}"/>
    <cellStyle name="Percent 2 3" xfId="2237" xr:uid="{00000000-0005-0000-0000-0000BD080000}"/>
    <cellStyle name="Percent 2 4" xfId="2238" xr:uid="{00000000-0005-0000-0000-0000BE080000}"/>
    <cellStyle name="Percent 2 5" xfId="2239" xr:uid="{00000000-0005-0000-0000-0000BF080000}"/>
    <cellStyle name="Percent 2 6" xfId="2240" xr:uid="{00000000-0005-0000-0000-0000C0080000}"/>
    <cellStyle name="Percent 2 7" xfId="3478" xr:uid="{00000000-0005-0000-0000-0000960D0000}"/>
    <cellStyle name="Percent 2 8" xfId="3479" xr:uid="{00000000-0005-0000-0000-0000970D0000}"/>
    <cellStyle name="Percent 2_ActiFijos" xfId="2241" xr:uid="{00000000-0005-0000-0000-0000C1080000}"/>
    <cellStyle name="Percent 3" xfId="2242" xr:uid="{00000000-0005-0000-0000-0000C2080000}"/>
    <cellStyle name="Percent 3 2" xfId="2243" xr:uid="{00000000-0005-0000-0000-0000C3080000}"/>
    <cellStyle name="Percent 3 3" xfId="2244" xr:uid="{00000000-0005-0000-0000-0000C4080000}"/>
    <cellStyle name="Percent 3 4" xfId="2245" xr:uid="{00000000-0005-0000-0000-0000C5080000}"/>
    <cellStyle name="Percent 3 5" xfId="2246" xr:uid="{00000000-0005-0000-0000-0000C6080000}"/>
    <cellStyle name="Percent 3 6" xfId="2247" xr:uid="{00000000-0005-0000-0000-0000C7080000}"/>
    <cellStyle name="Percent 3 7" xfId="3480" xr:uid="{00000000-0005-0000-0000-0000980D0000}"/>
    <cellStyle name="Percent 3 8" xfId="3481" xr:uid="{00000000-0005-0000-0000-0000990D0000}"/>
    <cellStyle name="Percent 3_ActiFijos" xfId="2248" xr:uid="{00000000-0005-0000-0000-0000C8080000}"/>
    <cellStyle name="Percent 4" xfId="2249" xr:uid="{00000000-0005-0000-0000-0000C9080000}"/>
    <cellStyle name="Percent 4 2" xfId="2250" xr:uid="{00000000-0005-0000-0000-0000CA080000}"/>
    <cellStyle name="Percent 4 3" xfId="2251" xr:uid="{00000000-0005-0000-0000-0000CB080000}"/>
    <cellStyle name="Percent 4 4" xfId="2252" xr:uid="{00000000-0005-0000-0000-0000CC080000}"/>
    <cellStyle name="Percent 4 5" xfId="2253" xr:uid="{00000000-0005-0000-0000-0000CD080000}"/>
    <cellStyle name="Percent 4 6" xfId="2254" xr:uid="{00000000-0005-0000-0000-0000CE080000}"/>
    <cellStyle name="Percent 4 7" xfId="3482" xr:uid="{00000000-0005-0000-0000-00009A0D0000}"/>
    <cellStyle name="Percent 4 8" xfId="3483" xr:uid="{00000000-0005-0000-0000-00009B0D0000}"/>
    <cellStyle name="Percent 4_ActiFijos" xfId="2255" xr:uid="{00000000-0005-0000-0000-0000CF080000}"/>
    <cellStyle name="Percent(0)" xfId="2256" xr:uid="{00000000-0005-0000-0000-0000D0080000}"/>
    <cellStyle name="Percent(0) 10" xfId="3484" xr:uid="{00000000-0005-0000-0000-00009C0D0000}"/>
    <cellStyle name="Percent(0) 2" xfId="2257" xr:uid="{00000000-0005-0000-0000-0000D1080000}"/>
    <cellStyle name="Percent(0) 2 2" xfId="2258" xr:uid="{00000000-0005-0000-0000-0000D2080000}"/>
    <cellStyle name="Percent(0) 2 2 2" xfId="2259" xr:uid="{00000000-0005-0000-0000-0000D3080000}"/>
    <cellStyle name="Percent(0) 2 2 2 2" xfId="3485" xr:uid="{00000000-0005-0000-0000-00009D0D0000}"/>
    <cellStyle name="Percent(0) 2 2 2 3" xfId="3486" xr:uid="{00000000-0005-0000-0000-00009E0D0000}"/>
    <cellStyle name="Percent(0) 2 2 3" xfId="3487" xr:uid="{00000000-0005-0000-0000-00009F0D0000}"/>
    <cellStyle name="Percent(0) 2 2 4" xfId="3488" xr:uid="{00000000-0005-0000-0000-0000A00D0000}"/>
    <cellStyle name="Percent(0) 2 3" xfId="2260" xr:uid="{00000000-0005-0000-0000-0000D4080000}"/>
    <cellStyle name="Percent(0) 2 3 2" xfId="2261" xr:uid="{00000000-0005-0000-0000-0000D5080000}"/>
    <cellStyle name="Percent(0) 2 3 2 2" xfId="3489" xr:uid="{00000000-0005-0000-0000-0000A10D0000}"/>
    <cellStyle name="Percent(0) 2 3 2 3" xfId="3490" xr:uid="{00000000-0005-0000-0000-0000A20D0000}"/>
    <cellStyle name="Percent(0) 2 3 3" xfId="3491" xr:uid="{00000000-0005-0000-0000-0000A30D0000}"/>
    <cellStyle name="Percent(0) 2 3 4" xfId="3492" xr:uid="{00000000-0005-0000-0000-0000A40D0000}"/>
    <cellStyle name="Percent(0) 2 4" xfId="2262" xr:uid="{00000000-0005-0000-0000-0000D6080000}"/>
    <cellStyle name="Percent(0) 2 4 2" xfId="2263" xr:uid="{00000000-0005-0000-0000-0000D7080000}"/>
    <cellStyle name="Percent(0) 2 4 2 2" xfId="3493" xr:uid="{00000000-0005-0000-0000-0000A50D0000}"/>
    <cellStyle name="Percent(0) 2 4 2 3" xfId="3494" xr:uid="{00000000-0005-0000-0000-0000A60D0000}"/>
    <cellStyle name="Percent(0) 2 4 3" xfId="3495" xr:uid="{00000000-0005-0000-0000-0000A70D0000}"/>
    <cellStyle name="Percent(0) 2 4 4" xfId="3496" xr:uid="{00000000-0005-0000-0000-0000A80D0000}"/>
    <cellStyle name="Percent(0) 2 5" xfId="2264" xr:uid="{00000000-0005-0000-0000-0000D8080000}"/>
    <cellStyle name="Percent(0) 2 5 2" xfId="3497" xr:uid="{00000000-0005-0000-0000-0000A90D0000}"/>
    <cellStyle name="Percent(0) 2 5 3" xfId="3498" xr:uid="{00000000-0005-0000-0000-0000AA0D0000}"/>
    <cellStyle name="Percent(0) 2 6" xfId="2265" xr:uid="{00000000-0005-0000-0000-0000D9080000}"/>
    <cellStyle name="Percent(0) 2 6 2" xfId="3499" xr:uid="{00000000-0005-0000-0000-0000AB0D0000}"/>
    <cellStyle name="Percent(0) 2 6 3" xfId="3500" xr:uid="{00000000-0005-0000-0000-0000AC0D0000}"/>
    <cellStyle name="Percent(0) 2 7" xfId="3501" xr:uid="{00000000-0005-0000-0000-0000AD0D0000}"/>
    <cellStyle name="Percent(0) 2 8" xfId="3502" xr:uid="{00000000-0005-0000-0000-0000AE0D0000}"/>
    <cellStyle name="Percent(0) 2_ActiFijos" xfId="2266" xr:uid="{00000000-0005-0000-0000-0000DA080000}"/>
    <cellStyle name="Percent(0) 3" xfId="2267" xr:uid="{00000000-0005-0000-0000-0000DB080000}"/>
    <cellStyle name="Percent(0) 3 2" xfId="2268" xr:uid="{00000000-0005-0000-0000-0000DC080000}"/>
    <cellStyle name="Percent(0) 3 2 2" xfId="2269" xr:uid="{00000000-0005-0000-0000-0000DD080000}"/>
    <cellStyle name="Percent(0) 3 2 2 2" xfId="3503" xr:uid="{00000000-0005-0000-0000-0000AF0D0000}"/>
    <cellStyle name="Percent(0) 3 2 2 3" xfId="3504" xr:uid="{00000000-0005-0000-0000-0000B00D0000}"/>
    <cellStyle name="Percent(0) 3 2 3" xfId="3505" xr:uid="{00000000-0005-0000-0000-0000B10D0000}"/>
    <cellStyle name="Percent(0) 3 2 4" xfId="3506" xr:uid="{00000000-0005-0000-0000-0000B20D0000}"/>
    <cellStyle name="Percent(0) 3 3" xfId="2270" xr:uid="{00000000-0005-0000-0000-0000DE080000}"/>
    <cellStyle name="Percent(0) 3 3 2" xfId="2271" xr:uid="{00000000-0005-0000-0000-0000DF080000}"/>
    <cellStyle name="Percent(0) 3 3 2 2" xfId="3507" xr:uid="{00000000-0005-0000-0000-0000B30D0000}"/>
    <cellStyle name="Percent(0) 3 3 2 3" xfId="3508" xr:uid="{00000000-0005-0000-0000-0000B40D0000}"/>
    <cellStyle name="Percent(0) 3 3 3" xfId="3509" xr:uid="{00000000-0005-0000-0000-0000B50D0000}"/>
    <cellStyle name="Percent(0) 3 3 4" xfId="3510" xr:uid="{00000000-0005-0000-0000-0000B60D0000}"/>
    <cellStyle name="Percent(0) 3 4" xfId="2272" xr:uid="{00000000-0005-0000-0000-0000E0080000}"/>
    <cellStyle name="Percent(0) 3 4 2" xfId="2273" xr:uid="{00000000-0005-0000-0000-0000E1080000}"/>
    <cellStyle name="Percent(0) 3 4 2 2" xfId="3511" xr:uid="{00000000-0005-0000-0000-0000B70D0000}"/>
    <cellStyle name="Percent(0) 3 4 2 3" xfId="3512" xr:uid="{00000000-0005-0000-0000-0000B80D0000}"/>
    <cellStyle name="Percent(0) 3 4 3" xfId="3513" xr:uid="{00000000-0005-0000-0000-0000B90D0000}"/>
    <cellStyle name="Percent(0) 3 4 4" xfId="3514" xr:uid="{00000000-0005-0000-0000-0000BA0D0000}"/>
    <cellStyle name="Percent(0) 3 5" xfId="2274" xr:uid="{00000000-0005-0000-0000-0000E2080000}"/>
    <cellStyle name="Percent(0) 3 5 2" xfId="3515" xr:uid="{00000000-0005-0000-0000-0000BB0D0000}"/>
    <cellStyle name="Percent(0) 3 5 3" xfId="3516" xr:uid="{00000000-0005-0000-0000-0000BC0D0000}"/>
    <cellStyle name="Percent(0) 3 6" xfId="2275" xr:uid="{00000000-0005-0000-0000-0000E3080000}"/>
    <cellStyle name="Percent(0) 3 6 2" xfId="3517" xr:uid="{00000000-0005-0000-0000-0000BD0D0000}"/>
    <cellStyle name="Percent(0) 3 6 3" xfId="3518" xr:uid="{00000000-0005-0000-0000-0000BE0D0000}"/>
    <cellStyle name="Percent(0) 3 7" xfId="3519" xr:uid="{00000000-0005-0000-0000-0000BF0D0000}"/>
    <cellStyle name="Percent(0) 3 8" xfId="3520" xr:uid="{00000000-0005-0000-0000-0000C00D0000}"/>
    <cellStyle name="Percent(0) 3_ActiFijos" xfId="2276" xr:uid="{00000000-0005-0000-0000-0000E4080000}"/>
    <cellStyle name="Percent(0) 4" xfId="2277" xr:uid="{00000000-0005-0000-0000-0000E5080000}"/>
    <cellStyle name="Percent(0) 4 2" xfId="2278" xr:uid="{00000000-0005-0000-0000-0000E6080000}"/>
    <cellStyle name="Percent(0) 4 2 2" xfId="2279" xr:uid="{00000000-0005-0000-0000-0000E7080000}"/>
    <cellStyle name="Percent(0) 4 2 2 2" xfId="3521" xr:uid="{00000000-0005-0000-0000-0000C10D0000}"/>
    <cellStyle name="Percent(0) 4 2 2 3" xfId="3522" xr:uid="{00000000-0005-0000-0000-0000C20D0000}"/>
    <cellStyle name="Percent(0) 4 2 3" xfId="3523" xr:uid="{00000000-0005-0000-0000-0000C30D0000}"/>
    <cellStyle name="Percent(0) 4 2 4" xfId="3524" xr:uid="{00000000-0005-0000-0000-0000C40D0000}"/>
    <cellStyle name="Percent(0) 4 3" xfId="2280" xr:uid="{00000000-0005-0000-0000-0000E8080000}"/>
    <cellStyle name="Percent(0) 4 3 2" xfId="2281" xr:uid="{00000000-0005-0000-0000-0000E9080000}"/>
    <cellStyle name="Percent(0) 4 3 2 2" xfId="3525" xr:uid="{00000000-0005-0000-0000-0000C50D0000}"/>
    <cellStyle name="Percent(0) 4 3 2 3" xfId="3526" xr:uid="{00000000-0005-0000-0000-0000C60D0000}"/>
    <cellStyle name="Percent(0) 4 3 3" xfId="3527" xr:uid="{00000000-0005-0000-0000-0000C70D0000}"/>
    <cellStyle name="Percent(0) 4 3 4" xfId="3528" xr:uid="{00000000-0005-0000-0000-0000C80D0000}"/>
    <cellStyle name="Percent(0) 4 4" xfId="2282" xr:uid="{00000000-0005-0000-0000-0000EA080000}"/>
    <cellStyle name="Percent(0) 4 4 2" xfId="2283" xr:uid="{00000000-0005-0000-0000-0000EB080000}"/>
    <cellStyle name="Percent(0) 4 4 2 2" xfId="3529" xr:uid="{00000000-0005-0000-0000-0000C90D0000}"/>
    <cellStyle name="Percent(0) 4 4 2 3" xfId="3530" xr:uid="{00000000-0005-0000-0000-0000CA0D0000}"/>
    <cellStyle name="Percent(0) 4 4 3" xfId="3531" xr:uid="{00000000-0005-0000-0000-0000CB0D0000}"/>
    <cellStyle name="Percent(0) 4 4 4" xfId="3532" xr:uid="{00000000-0005-0000-0000-0000CC0D0000}"/>
    <cellStyle name="Percent(0) 4 5" xfId="2284" xr:uid="{00000000-0005-0000-0000-0000EC080000}"/>
    <cellStyle name="Percent(0) 4 5 2" xfId="3533" xr:uid="{00000000-0005-0000-0000-0000CD0D0000}"/>
    <cellStyle name="Percent(0) 4 5 3" xfId="3534" xr:uid="{00000000-0005-0000-0000-0000CE0D0000}"/>
    <cellStyle name="Percent(0) 4 6" xfId="2285" xr:uid="{00000000-0005-0000-0000-0000ED080000}"/>
    <cellStyle name="Percent(0) 4 6 2" xfId="3535" xr:uid="{00000000-0005-0000-0000-0000CF0D0000}"/>
    <cellStyle name="Percent(0) 4 6 3" xfId="3536" xr:uid="{00000000-0005-0000-0000-0000D00D0000}"/>
    <cellStyle name="Percent(0) 4 7" xfId="3537" xr:uid="{00000000-0005-0000-0000-0000D10D0000}"/>
    <cellStyle name="Percent(0) 4 8" xfId="3538" xr:uid="{00000000-0005-0000-0000-0000D20D0000}"/>
    <cellStyle name="Percent(0) 4_ActiFijos" xfId="2286" xr:uid="{00000000-0005-0000-0000-0000EE080000}"/>
    <cellStyle name="Percent(0) 5" xfId="2287" xr:uid="{00000000-0005-0000-0000-0000EF080000}"/>
    <cellStyle name="Percent(0) 5 2" xfId="3539" xr:uid="{00000000-0005-0000-0000-0000D30D0000}"/>
    <cellStyle name="Percent(0) 5 3" xfId="3540" xr:uid="{00000000-0005-0000-0000-0000D40D0000}"/>
    <cellStyle name="Percent(0) 6" xfId="2288" xr:uid="{00000000-0005-0000-0000-0000F0080000}"/>
    <cellStyle name="Percent(0) 6 2" xfId="3541" xr:uid="{00000000-0005-0000-0000-0000D50D0000}"/>
    <cellStyle name="Percent(0) 7" xfId="2289" xr:uid="{00000000-0005-0000-0000-0000F1080000}"/>
    <cellStyle name="Percent(0) 8" xfId="3542" xr:uid="{00000000-0005-0000-0000-0000D60D0000}"/>
    <cellStyle name="Percent(0) 9" xfId="3543" xr:uid="{00000000-0005-0000-0000-0000D70D0000}"/>
    <cellStyle name="Percent(0)_Bases_Generales" xfId="2290" xr:uid="{00000000-0005-0000-0000-0000F2080000}"/>
    <cellStyle name="Percent_Balanc" xfId="2291" xr:uid="{00000000-0005-0000-0000-0000F3080000}"/>
    <cellStyle name="Porcentaje 2" xfId="91" xr:uid="{00000000-0005-0000-0000-00005B000000}"/>
    <cellStyle name="Porcentaje 2 2" xfId="3729" xr:uid="{00000000-0005-0000-0000-0000910E0000}"/>
    <cellStyle name="Porcentaje 3" xfId="3730" xr:uid="{00000000-0005-0000-0000-0000920E0000}"/>
    <cellStyle name="Porcentaje 4" xfId="71" xr:uid="{00000000-0005-0000-0000-000047000000}"/>
    <cellStyle name="Porcentaje 7" xfId="24" xr:uid="{00000000-0005-0000-0000-000018000000}"/>
    <cellStyle name="Porcentual 2" xfId="2292" xr:uid="{00000000-0005-0000-0000-0000F4080000}"/>
    <cellStyle name="Porcentual 2 2" xfId="2293" xr:uid="{00000000-0005-0000-0000-0000F5080000}"/>
    <cellStyle name="Porcentual 2 2 2" xfId="5823" xr:uid="{00000000-0005-0000-0000-0000BF160000}"/>
    <cellStyle name="Porcentual 2 2 3" xfId="5824" xr:uid="{00000000-0005-0000-0000-0000C0160000}"/>
    <cellStyle name="Porcentual 2 2 4" xfId="5825" xr:uid="{00000000-0005-0000-0000-0000C1160000}"/>
    <cellStyle name="Porcentual 2 2 4 2" xfId="5826" xr:uid="{00000000-0005-0000-0000-0000C2160000}"/>
    <cellStyle name="Porcentual 2 2 5" xfId="5827" xr:uid="{00000000-0005-0000-0000-0000C3160000}"/>
    <cellStyle name="Porcentual 2 3" xfId="3728" xr:uid="{00000000-0005-0000-0000-0000900E0000}"/>
    <cellStyle name="Porcentual 2 3 2" xfId="5828" xr:uid="{00000000-0005-0000-0000-0000C4160000}"/>
    <cellStyle name="Porcentual 2 3 3" xfId="5829" xr:uid="{00000000-0005-0000-0000-0000C5160000}"/>
    <cellStyle name="Porcentual 2 4" xfId="5830" xr:uid="{00000000-0005-0000-0000-0000C6160000}"/>
    <cellStyle name="Porcentual 2 4 2" xfId="5831" xr:uid="{00000000-0005-0000-0000-0000C7160000}"/>
    <cellStyle name="Porcentual 2 4 3" xfId="5832" xr:uid="{00000000-0005-0000-0000-0000C8160000}"/>
    <cellStyle name="Porcentual 2 5" xfId="5833" xr:uid="{00000000-0005-0000-0000-0000C9160000}"/>
    <cellStyle name="Porcentual 2 6" xfId="5834" xr:uid="{00000000-0005-0000-0000-0000CA160000}"/>
    <cellStyle name="Porcentual 23" xfId="5835" xr:uid="{00000000-0005-0000-0000-0000CB160000}"/>
    <cellStyle name="Porcentual 23 2" xfId="5836" xr:uid="{00000000-0005-0000-0000-0000CC160000}"/>
    <cellStyle name="Porcentual 3" xfId="2294" xr:uid="{00000000-0005-0000-0000-0000F6080000}"/>
    <cellStyle name="Porcentual 3 2" xfId="2295" xr:uid="{00000000-0005-0000-0000-0000F7080000}"/>
    <cellStyle name="Porcentual 3 2 2" xfId="5837" xr:uid="{00000000-0005-0000-0000-0000CD160000}"/>
    <cellStyle name="Porcentual 3 2 3" xfId="5838" xr:uid="{00000000-0005-0000-0000-0000CE160000}"/>
    <cellStyle name="Porcentual 3 3" xfId="2296" xr:uid="{00000000-0005-0000-0000-0000F8080000}"/>
    <cellStyle name="Porcentual 3 3 2" xfId="5839" xr:uid="{00000000-0005-0000-0000-0000CF160000}"/>
    <cellStyle name="Porcentual 3 4" xfId="2297" xr:uid="{00000000-0005-0000-0000-0000F9080000}"/>
    <cellStyle name="Porcentual 3 4 2" xfId="5840" xr:uid="{00000000-0005-0000-0000-0000D0160000}"/>
    <cellStyle name="Porcentual 3 5" xfId="2298" xr:uid="{00000000-0005-0000-0000-0000FA080000}"/>
    <cellStyle name="Porcentual 3 5 2" xfId="5841" xr:uid="{00000000-0005-0000-0000-0000D1160000}"/>
    <cellStyle name="Porcentual 3 6" xfId="2299" xr:uid="{00000000-0005-0000-0000-0000FB080000}"/>
    <cellStyle name="Porcentual 3 6 2" xfId="5842" xr:uid="{00000000-0005-0000-0000-0000D2160000}"/>
    <cellStyle name="Porcentual 3 7" xfId="3544" xr:uid="{00000000-0005-0000-0000-0000D80D0000}"/>
    <cellStyle name="Porcentual 3 8" xfId="3545" xr:uid="{00000000-0005-0000-0000-0000D90D0000}"/>
    <cellStyle name="Porcentual 4" xfId="2300" xr:uid="{00000000-0005-0000-0000-0000FC080000}"/>
    <cellStyle name="Porcentual 4 2" xfId="5843" xr:uid="{00000000-0005-0000-0000-0000D3160000}"/>
    <cellStyle name="Porcentual 4 3" xfId="5844" xr:uid="{00000000-0005-0000-0000-0000D4160000}"/>
    <cellStyle name="Porcentual 5" xfId="2301" xr:uid="{00000000-0005-0000-0000-0000FD080000}"/>
    <cellStyle name="Porcentual 5 2" xfId="5845" xr:uid="{00000000-0005-0000-0000-0000D5160000}"/>
    <cellStyle name="Porcentual 5 3" xfId="5846" xr:uid="{00000000-0005-0000-0000-0000D6160000}"/>
    <cellStyle name="Porcentual 6" xfId="2302" xr:uid="{00000000-0005-0000-0000-0000FE080000}"/>
    <cellStyle name="Porcentual 6 2" xfId="94" xr:uid="{00000000-0005-0000-0000-00005E000000}"/>
    <cellStyle name="Porcentual 7" xfId="5847" xr:uid="{00000000-0005-0000-0000-0000D7160000}"/>
    <cellStyle name="Porcentual 7 2" xfId="5848" xr:uid="{00000000-0005-0000-0000-0000D8160000}"/>
    <cellStyle name="Porcentual 8" xfId="5849" xr:uid="{00000000-0005-0000-0000-0000D9160000}"/>
    <cellStyle name="Porcentual 8 2" xfId="5850" xr:uid="{00000000-0005-0000-0000-0000DA160000}"/>
    <cellStyle name="Porcentual 9" xfId="5851" xr:uid="{00000000-0005-0000-0000-0000DB160000}"/>
    <cellStyle name="propio" xfId="2303" xr:uid="{00000000-0005-0000-0000-0000FF080000}"/>
    <cellStyle name="propio 10" xfId="3546" xr:uid="{00000000-0005-0000-0000-0000DA0D0000}"/>
    <cellStyle name="propio 2" xfId="2304" xr:uid="{00000000-0005-0000-0000-000000090000}"/>
    <cellStyle name="propio 2 2" xfId="2305" xr:uid="{00000000-0005-0000-0000-000001090000}"/>
    <cellStyle name="propio 2 3" xfId="2306" xr:uid="{00000000-0005-0000-0000-000002090000}"/>
    <cellStyle name="propio 2 4" xfId="2307" xr:uid="{00000000-0005-0000-0000-000003090000}"/>
    <cellStyle name="propio 2 5" xfId="2308" xr:uid="{00000000-0005-0000-0000-000004090000}"/>
    <cellStyle name="propio 2 6" xfId="2309" xr:uid="{00000000-0005-0000-0000-000005090000}"/>
    <cellStyle name="propio 2 7" xfId="3547" xr:uid="{00000000-0005-0000-0000-0000DB0D0000}"/>
    <cellStyle name="propio 2 8" xfId="3548" xr:uid="{00000000-0005-0000-0000-0000DC0D0000}"/>
    <cellStyle name="propio 2_ActiFijos" xfId="2310" xr:uid="{00000000-0005-0000-0000-000006090000}"/>
    <cellStyle name="propio 3" xfId="2311" xr:uid="{00000000-0005-0000-0000-000007090000}"/>
    <cellStyle name="propio 3 2" xfId="2312" xr:uid="{00000000-0005-0000-0000-000008090000}"/>
    <cellStyle name="propio 3 3" xfId="2313" xr:uid="{00000000-0005-0000-0000-000009090000}"/>
    <cellStyle name="propio 3 4" xfId="2314" xr:uid="{00000000-0005-0000-0000-00000A090000}"/>
    <cellStyle name="propio 3 5" xfId="2315" xr:uid="{00000000-0005-0000-0000-00000B090000}"/>
    <cellStyle name="propio 3 6" xfId="2316" xr:uid="{00000000-0005-0000-0000-00000C090000}"/>
    <cellStyle name="propio 3 7" xfId="3549" xr:uid="{00000000-0005-0000-0000-0000DD0D0000}"/>
    <cellStyle name="propio 3 8" xfId="3550" xr:uid="{00000000-0005-0000-0000-0000DE0D0000}"/>
    <cellStyle name="propio 3_ActiFijos" xfId="2317" xr:uid="{00000000-0005-0000-0000-00000D090000}"/>
    <cellStyle name="propio 4" xfId="2318" xr:uid="{00000000-0005-0000-0000-00000E090000}"/>
    <cellStyle name="propio 4 2" xfId="2319" xr:uid="{00000000-0005-0000-0000-00000F090000}"/>
    <cellStyle name="propio 4 3" xfId="2320" xr:uid="{00000000-0005-0000-0000-000010090000}"/>
    <cellStyle name="propio 4 4" xfId="2321" xr:uid="{00000000-0005-0000-0000-000011090000}"/>
    <cellStyle name="propio 4 5" xfId="2322" xr:uid="{00000000-0005-0000-0000-000012090000}"/>
    <cellStyle name="propio 4 6" xfId="2323" xr:uid="{00000000-0005-0000-0000-000013090000}"/>
    <cellStyle name="propio 4 7" xfId="3551" xr:uid="{00000000-0005-0000-0000-0000DF0D0000}"/>
    <cellStyle name="propio 4 8" xfId="3552" xr:uid="{00000000-0005-0000-0000-0000E00D0000}"/>
    <cellStyle name="propio 4_ActiFijos" xfId="2324" xr:uid="{00000000-0005-0000-0000-000014090000}"/>
    <cellStyle name="propio 5" xfId="3553" xr:uid="{00000000-0005-0000-0000-0000E10D0000}"/>
    <cellStyle name="propio 6" xfId="3554" xr:uid="{00000000-0005-0000-0000-0000E20D0000}"/>
    <cellStyle name="propio 7" xfId="3555" xr:uid="{00000000-0005-0000-0000-0000E30D0000}"/>
    <cellStyle name="propio 8" xfId="3556" xr:uid="{00000000-0005-0000-0000-0000E40D0000}"/>
    <cellStyle name="propio 9" xfId="3557" xr:uid="{00000000-0005-0000-0000-0000E50D0000}"/>
    <cellStyle name="propio_Bases_Generales" xfId="2325" xr:uid="{00000000-0005-0000-0000-000015090000}"/>
    <cellStyle name="PSChar" xfId="2326" xr:uid="{00000000-0005-0000-0000-000016090000}"/>
    <cellStyle name="PSChar 2" xfId="2327" xr:uid="{00000000-0005-0000-0000-000017090000}"/>
    <cellStyle name="PSChar 2 2" xfId="2328" xr:uid="{00000000-0005-0000-0000-000018090000}"/>
    <cellStyle name="PSChar 2 3" xfId="2329" xr:uid="{00000000-0005-0000-0000-000019090000}"/>
    <cellStyle name="PSChar 2 4" xfId="2330" xr:uid="{00000000-0005-0000-0000-00001A090000}"/>
    <cellStyle name="PSChar 2 5" xfId="2331" xr:uid="{00000000-0005-0000-0000-00001B090000}"/>
    <cellStyle name="PSChar 2 6" xfId="2332" xr:uid="{00000000-0005-0000-0000-00001C090000}"/>
    <cellStyle name="PSChar 2 7" xfId="3558" xr:uid="{00000000-0005-0000-0000-0000E60D0000}"/>
    <cellStyle name="PSChar 2 8" xfId="3559" xr:uid="{00000000-0005-0000-0000-0000E70D0000}"/>
    <cellStyle name="PSChar 3" xfId="2333" xr:uid="{00000000-0005-0000-0000-00001D090000}"/>
    <cellStyle name="PSChar 3 2" xfId="2334" xr:uid="{00000000-0005-0000-0000-00001E090000}"/>
    <cellStyle name="PSChar 3 3" xfId="2335" xr:uid="{00000000-0005-0000-0000-00001F090000}"/>
    <cellStyle name="PSChar 3 4" xfId="2336" xr:uid="{00000000-0005-0000-0000-000020090000}"/>
    <cellStyle name="PSChar 3 5" xfId="2337" xr:uid="{00000000-0005-0000-0000-000021090000}"/>
    <cellStyle name="PSChar 3 6" xfId="2338" xr:uid="{00000000-0005-0000-0000-000022090000}"/>
    <cellStyle name="PSChar 3 7" xfId="3560" xr:uid="{00000000-0005-0000-0000-0000E80D0000}"/>
    <cellStyle name="PSChar 3 8" xfId="3561" xr:uid="{00000000-0005-0000-0000-0000E90D0000}"/>
    <cellStyle name="PSChar 4" xfId="2339" xr:uid="{00000000-0005-0000-0000-000023090000}"/>
    <cellStyle name="PSChar 4 2" xfId="2340" xr:uid="{00000000-0005-0000-0000-000024090000}"/>
    <cellStyle name="PSChar 4 3" xfId="2341" xr:uid="{00000000-0005-0000-0000-000025090000}"/>
    <cellStyle name="PSChar 4 4" xfId="2342" xr:uid="{00000000-0005-0000-0000-000026090000}"/>
    <cellStyle name="PSChar 4 5" xfId="2343" xr:uid="{00000000-0005-0000-0000-000027090000}"/>
    <cellStyle name="PSChar 4 6" xfId="2344" xr:uid="{00000000-0005-0000-0000-000028090000}"/>
    <cellStyle name="PSChar 4 7" xfId="3562" xr:uid="{00000000-0005-0000-0000-0000EA0D0000}"/>
    <cellStyle name="PSChar 4 8" xfId="3563" xr:uid="{00000000-0005-0000-0000-0000EB0D0000}"/>
    <cellStyle name="Punto0" xfId="3564" xr:uid="{00000000-0005-0000-0000-0000EC0D0000}"/>
    <cellStyle name="puntos" xfId="2345" xr:uid="{00000000-0005-0000-0000-000029090000}"/>
    <cellStyle name="puntos 2" xfId="2346" xr:uid="{00000000-0005-0000-0000-00002A090000}"/>
    <cellStyle name="puntos 2 2" xfId="2347" xr:uid="{00000000-0005-0000-0000-00002B090000}"/>
    <cellStyle name="puntos 2 2 2" xfId="5852" xr:uid="{00000000-0005-0000-0000-0000DC160000}"/>
    <cellStyle name="puntos 2 3" xfId="2348" xr:uid="{00000000-0005-0000-0000-00002C090000}"/>
    <cellStyle name="puntos 2 3 2" xfId="5853" xr:uid="{00000000-0005-0000-0000-0000DD160000}"/>
    <cellStyle name="puntos 2 4" xfId="2349" xr:uid="{00000000-0005-0000-0000-00002D090000}"/>
    <cellStyle name="puntos 2 4 2" xfId="5854" xr:uid="{00000000-0005-0000-0000-0000DE160000}"/>
    <cellStyle name="puntos 2 5" xfId="2350" xr:uid="{00000000-0005-0000-0000-00002E090000}"/>
    <cellStyle name="puntos 2 5 2" xfId="5855" xr:uid="{00000000-0005-0000-0000-0000DF160000}"/>
    <cellStyle name="puntos 2 6" xfId="2351" xr:uid="{00000000-0005-0000-0000-00002F090000}"/>
    <cellStyle name="puntos 2 6 2" xfId="5856" xr:uid="{00000000-0005-0000-0000-0000E0160000}"/>
    <cellStyle name="puntos 2 7" xfId="3565" xr:uid="{00000000-0005-0000-0000-0000ED0D0000}"/>
    <cellStyle name="puntos 2 8" xfId="3566" xr:uid="{00000000-0005-0000-0000-0000EE0D0000}"/>
    <cellStyle name="puntos 3" xfId="2352" xr:uid="{00000000-0005-0000-0000-000030090000}"/>
    <cellStyle name="puntos 3 2" xfId="2353" xr:uid="{00000000-0005-0000-0000-000031090000}"/>
    <cellStyle name="puntos 3 2 2" xfId="5857" xr:uid="{00000000-0005-0000-0000-0000E1160000}"/>
    <cellStyle name="puntos 3 3" xfId="2354" xr:uid="{00000000-0005-0000-0000-000032090000}"/>
    <cellStyle name="puntos 3 3 2" xfId="5858" xr:uid="{00000000-0005-0000-0000-0000E2160000}"/>
    <cellStyle name="puntos 3 4" xfId="2355" xr:uid="{00000000-0005-0000-0000-000033090000}"/>
    <cellStyle name="puntos 3 4 2" xfId="5859" xr:uid="{00000000-0005-0000-0000-0000E3160000}"/>
    <cellStyle name="puntos 3 5" xfId="2356" xr:uid="{00000000-0005-0000-0000-000034090000}"/>
    <cellStyle name="puntos 3 5 2" xfId="5860" xr:uid="{00000000-0005-0000-0000-0000E4160000}"/>
    <cellStyle name="puntos 3 6" xfId="2357" xr:uid="{00000000-0005-0000-0000-000035090000}"/>
    <cellStyle name="puntos 3 6 2" xfId="5861" xr:uid="{00000000-0005-0000-0000-0000E5160000}"/>
    <cellStyle name="puntos 3 7" xfId="3567" xr:uid="{00000000-0005-0000-0000-0000EF0D0000}"/>
    <cellStyle name="puntos 3 8" xfId="3568" xr:uid="{00000000-0005-0000-0000-0000F00D0000}"/>
    <cellStyle name="puntos 4" xfId="2358" xr:uid="{00000000-0005-0000-0000-000036090000}"/>
    <cellStyle name="puntos 4 2" xfId="2359" xr:uid="{00000000-0005-0000-0000-000037090000}"/>
    <cellStyle name="puntos 4 2 2" xfId="5862" xr:uid="{00000000-0005-0000-0000-0000E6160000}"/>
    <cellStyle name="puntos 4 3" xfId="2360" xr:uid="{00000000-0005-0000-0000-000038090000}"/>
    <cellStyle name="puntos 4 3 2" xfId="5863" xr:uid="{00000000-0005-0000-0000-0000E7160000}"/>
    <cellStyle name="puntos 4 4" xfId="2361" xr:uid="{00000000-0005-0000-0000-000039090000}"/>
    <cellStyle name="puntos 4 4 2" xfId="5864" xr:uid="{00000000-0005-0000-0000-0000E8160000}"/>
    <cellStyle name="puntos 4 5" xfId="2362" xr:uid="{00000000-0005-0000-0000-00003A090000}"/>
    <cellStyle name="puntos 4 5 2" xfId="5865" xr:uid="{00000000-0005-0000-0000-0000E9160000}"/>
    <cellStyle name="puntos 4 6" xfId="2363" xr:uid="{00000000-0005-0000-0000-00003B090000}"/>
    <cellStyle name="puntos 4 6 2" xfId="5866" xr:uid="{00000000-0005-0000-0000-0000EA160000}"/>
    <cellStyle name="puntos 4 7" xfId="3569" xr:uid="{00000000-0005-0000-0000-0000F10D0000}"/>
    <cellStyle name="puntos 4 8" xfId="3570" xr:uid="{00000000-0005-0000-0000-0000F20D0000}"/>
    <cellStyle name="puntos 5" xfId="5867" xr:uid="{00000000-0005-0000-0000-0000EB160000}"/>
    <cellStyle name="Resaltar" xfId="2364" xr:uid="{00000000-0005-0000-0000-00003C090000}"/>
    <cellStyle name="Resaltar 10" xfId="3571" xr:uid="{00000000-0005-0000-0000-0000F30D0000}"/>
    <cellStyle name="Resaltar 2" xfId="2365" xr:uid="{00000000-0005-0000-0000-00003D090000}"/>
    <cellStyle name="Resaltar 2 2" xfId="2366" xr:uid="{00000000-0005-0000-0000-00003E090000}"/>
    <cellStyle name="Resaltar 2 3" xfId="2367" xr:uid="{00000000-0005-0000-0000-00003F090000}"/>
    <cellStyle name="Resaltar 2 4" xfId="2368" xr:uid="{00000000-0005-0000-0000-000040090000}"/>
    <cellStyle name="Resaltar 2 5" xfId="2369" xr:uid="{00000000-0005-0000-0000-000041090000}"/>
    <cellStyle name="Resaltar 2 6" xfId="2370" xr:uid="{00000000-0005-0000-0000-000042090000}"/>
    <cellStyle name="Resaltar 2 7" xfId="3572" xr:uid="{00000000-0005-0000-0000-0000F40D0000}"/>
    <cellStyle name="Resaltar 2 8" xfId="3573" xr:uid="{00000000-0005-0000-0000-0000F50D0000}"/>
    <cellStyle name="Resaltar 2_ActiFijos" xfId="2371" xr:uid="{00000000-0005-0000-0000-000043090000}"/>
    <cellStyle name="Resaltar 3" xfId="2372" xr:uid="{00000000-0005-0000-0000-000044090000}"/>
    <cellStyle name="Resaltar 3 2" xfId="2373" xr:uid="{00000000-0005-0000-0000-000045090000}"/>
    <cellStyle name="Resaltar 3 3" xfId="2374" xr:uid="{00000000-0005-0000-0000-000046090000}"/>
    <cellStyle name="Resaltar 3 4" xfId="2375" xr:uid="{00000000-0005-0000-0000-000047090000}"/>
    <cellStyle name="Resaltar 3 5" xfId="2376" xr:uid="{00000000-0005-0000-0000-000048090000}"/>
    <cellStyle name="Resaltar 3 6" xfId="2377" xr:uid="{00000000-0005-0000-0000-000049090000}"/>
    <cellStyle name="Resaltar 3 7" xfId="3574" xr:uid="{00000000-0005-0000-0000-0000F60D0000}"/>
    <cellStyle name="Resaltar 3 8" xfId="3575" xr:uid="{00000000-0005-0000-0000-0000F70D0000}"/>
    <cellStyle name="Resaltar 3_ActiFijos" xfId="2378" xr:uid="{00000000-0005-0000-0000-00004A090000}"/>
    <cellStyle name="Resaltar 4" xfId="2379" xr:uid="{00000000-0005-0000-0000-00004B090000}"/>
    <cellStyle name="Resaltar 4 2" xfId="2380" xr:uid="{00000000-0005-0000-0000-00004C090000}"/>
    <cellStyle name="Resaltar 4 3" xfId="2381" xr:uid="{00000000-0005-0000-0000-00004D090000}"/>
    <cellStyle name="Resaltar 4 4" xfId="2382" xr:uid="{00000000-0005-0000-0000-00004E090000}"/>
    <cellStyle name="Resaltar 4 5" xfId="2383" xr:uid="{00000000-0005-0000-0000-00004F090000}"/>
    <cellStyle name="Resaltar 4 6" xfId="2384" xr:uid="{00000000-0005-0000-0000-000050090000}"/>
    <cellStyle name="Resaltar 4 7" xfId="3576" xr:uid="{00000000-0005-0000-0000-0000F80D0000}"/>
    <cellStyle name="Resaltar 4 8" xfId="3577" xr:uid="{00000000-0005-0000-0000-0000F90D0000}"/>
    <cellStyle name="Resaltar 4_ActiFijos" xfId="2385" xr:uid="{00000000-0005-0000-0000-000051090000}"/>
    <cellStyle name="Resaltar 5" xfId="3578" xr:uid="{00000000-0005-0000-0000-0000FA0D0000}"/>
    <cellStyle name="Resaltar 6" xfId="3579" xr:uid="{00000000-0005-0000-0000-0000FB0D0000}"/>
    <cellStyle name="Resaltar 7" xfId="3580" xr:uid="{00000000-0005-0000-0000-0000FC0D0000}"/>
    <cellStyle name="Resaltar 8" xfId="3581" xr:uid="{00000000-0005-0000-0000-0000FD0D0000}"/>
    <cellStyle name="Resaltar 9" xfId="3582" xr:uid="{00000000-0005-0000-0000-0000FE0D0000}"/>
    <cellStyle name="Resaltar_Bases_Generales" xfId="2386" xr:uid="{00000000-0005-0000-0000-000052090000}"/>
    <cellStyle name="Resaltar1" xfId="2387" xr:uid="{00000000-0005-0000-0000-000053090000}"/>
    <cellStyle name="Resaltar1 10" xfId="3583" xr:uid="{00000000-0005-0000-0000-0000FF0D0000}"/>
    <cellStyle name="Resaltar1 2" xfId="2388" xr:uid="{00000000-0005-0000-0000-000054090000}"/>
    <cellStyle name="Resaltar1 2 2" xfId="2389" xr:uid="{00000000-0005-0000-0000-000055090000}"/>
    <cellStyle name="Resaltar1 2 3" xfId="2390" xr:uid="{00000000-0005-0000-0000-000056090000}"/>
    <cellStyle name="Resaltar1 2 4" xfId="2391" xr:uid="{00000000-0005-0000-0000-000057090000}"/>
    <cellStyle name="Resaltar1 2 5" xfId="2392" xr:uid="{00000000-0005-0000-0000-000058090000}"/>
    <cellStyle name="Resaltar1 2 6" xfId="2393" xr:uid="{00000000-0005-0000-0000-000059090000}"/>
    <cellStyle name="Resaltar1 2 7" xfId="3584" xr:uid="{00000000-0005-0000-0000-0000000E0000}"/>
    <cellStyle name="Resaltar1 2 8" xfId="3585" xr:uid="{00000000-0005-0000-0000-0000010E0000}"/>
    <cellStyle name="Resaltar1 2_ActiFijos" xfId="2394" xr:uid="{00000000-0005-0000-0000-00005A090000}"/>
    <cellStyle name="Resaltar1 3" xfId="2395" xr:uid="{00000000-0005-0000-0000-00005B090000}"/>
    <cellStyle name="Resaltar1 3 2" xfId="2396" xr:uid="{00000000-0005-0000-0000-00005C090000}"/>
    <cellStyle name="Resaltar1 3 3" xfId="2397" xr:uid="{00000000-0005-0000-0000-00005D090000}"/>
    <cellStyle name="Resaltar1 3 4" xfId="2398" xr:uid="{00000000-0005-0000-0000-00005E090000}"/>
    <cellStyle name="Resaltar1 3 5" xfId="2399" xr:uid="{00000000-0005-0000-0000-00005F090000}"/>
    <cellStyle name="Resaltar1 3 6" xfId="2400" xr:uid="{00000000-0005-0000-0000-000060090000}"/>
    <cellStyle name="Resaltar1 3 7" xfId="3586" xr:uid="{00000000-0005-0000-0000-0000020E0000}"/>
    <cellStyle name="Resaltar1 3 8" xfId="3587" xr:uid="{00000000-0005-0000-0000-0000030E0000}"/>
    <cellStyle name="Resaltar1 3_ActiFijos" xfId="2401" xr:uid="{00000000-0005-0000-0000-000061090000}"/>
    <cellStyle name="Resaltar1 4" xfId="2402" xr:uid="{00000000-0005-0000-0000-000062090000}"/>
    <cellStyle name="Resaltar1 4 2" xfId="2403" xr:uid="{00000000-0005-0000-0000-000063090000}"/>
    <cellStyle name="Resaltar1 4 3" xfId="2404" xr:uid="{00000000-0005-0000-0000-000064090000}"/>
    <cellStyle name="Resaltar1 4 4" xfId="2405" xr:uid="{00000000-0005-0000-0000-000065090000}"/>
    <cellStyle name="Resaltar1 4 5" xfId="2406" xr:uid="{00000000-0005-0000-0000-000066090000}"/>
    <cellStyle name="Resaltar1 4 6" xfId="2407" xr:uid="{00000000-0005-0000-0000-000067090000}"/>
    <cellStyle name="Resaltar1 4 7" xfId="3588" xr:uid="{00000000-0005-0000-0000-0000040E0000}"/>
    <cellStyle name="Resaltar1 4 8" xfId="3589" xr:uid="{00000000-0005-0000-0000-0000050E0000}"/>
    <cellStyle name="Resaltar1 4_ActiFijos" xfId="2408" xr:uid="{00000000-0005-0000-0000-000068090000}"/>
    <cellStyle name="Resaltar1 5" xfId="3590" xr:uid="{00000000-0005-0000-0000-0000060E0000}"/>
    <cellStyle name="Resaltar1 6" xfId="3591" xr:uid="{00000000-0005-0000-0000-0000070E0000}"/>
    <cellStyle name="Resaltar1 7" xfId="3592" xr:uid="{00000000-0005-0000-0000-0000080E0000}"/>
    <cellStyle name="Resaltar1 8" xfId="3593" xr:uid="{00000000-0005-0000-0000-0000090E0000}"/>
    <cellStyle name="Resaltar1 9" xfId="3594" xr:uid="{00000000-0005-0000-0000-00000A0E0000}"/>
    <cellStyle name="Resaltar1_Bases_Generales" xfId="2409" xr:uid="{00000000-0005-0000-0000-000069090000}"/>
    <cellStyle name="RISKbigPercent" xfId="2410" xr:uid="{00000000-0005-0000-0000-00006A090000}"/>
    <cellStyle name="RISKbigPercent 2" xfId="2411" xr:uid="{00000000-0005-0000-0000-00006B090000}"/>
    <cellStyle name="RISKbigPercent 2 2" xfId="2412" xr:uid="{00000000-0005-0000-0000-00006C090000}"/>
    <cellStyle name="RISKbigPercent 2 2 2" xfId="5868" xr:uid="{00000000-0005-0000-0000-0000EC160000}"/>
    <cellStyle name="RISKbigPercent 2 3" xfId="2413" xr:uid="{00000000-0005-0000-0000-00006D090000}"/>
    <cellStyle name="RISKbigPercent 2 3 2" xfId="5869" xr:uid="{00000000-0005-0000-0000-0000ED160000}"/>
    <cellStyle name="RISKbigPercent 2 4" xfId="2414" xr:uid="{00000000-0005-0000-0000-00006E090000}"/>
    <cellStyle name="RISKbigPercent 2 4 2" xfId="5870" xr:uid="{00000000-0005-0000-0000-0000EE160000}"/>
    <cellStyle name="RISKbigPercent 2 5" xfId="2415" xr:uid="{00000000-0005-0000-0000-00006F090000}"/>
    <cellStyle name="RISKbigPercent 2 5 2" xfId="5871" xr:uid="{00000000-0005-0000-0000-0000EF160000}"/>
    <cellStyle name="RISKbigPercent 2 6" xfId="2416" xr:uid="{00000000-0005-0000-0000-000070090000}"/>
    <cellStyle name="RISKbigPercent 2 6 2" xfId="5872" xr:uid="{00000000-0005-0000-0000-0000F0160000}"/>
    <cellStyle name="RISKbigPercent 2 7" xfId="3595" xr:uid="{00000000-0005-0000-0000-00000B0E0000}"/>
    <cellStyle name="RISKbigPercent 2 8" xfId="3596" xr:uid="{00000000-0005-0000-0000-00000C0E0000}"/>
    <cellStyle name="RISKbigPercent 3" xfId="2417" xr:uid="{00000000-0005-0000-0000-000071090000}"/>
    <cellStyle name="RISKbigPercent 3 2" xfId="2418" xr:uid="{00000000-0005-0000-0000-000072090000}"/>
    <cellStyle name="RISKbigPercent 3 2 2" xfId="5873" xr:uid="{00000000-0005-0000-0000-0000F1160000}"/>
    <cellStyle name="RISKbigPercent 3 3" xfId="2419" xr:uid="{00000000-0005-0000-0000-000073090000}"/>
    <cellStyle name="RISKbigPercent 3 3 2" xfId="5874" xr:uid="{00000000-0005-0000-0000-0000F2160000}"/>
    <cellStyle name="RISKbigPercent 3 4" xfId="2420" xr:uid="{00000000-0005-0000-0000-000074090000}"/>
    <cellStyle name="RISKbigPercent 3 4 2" xfId="5875" xr:uid="{00000000-0005-0000-0000-0000F3160000}"/>
    <cellStyle name="RISKbigPercent 3 5" xfId="2421" xr:uid="{00000000-0005-0000-0000-000075090000}"/>
    <cellStyle name="RISKbigPercent 3 5 2" xfId="5876" xr:uid="{00000000-0005-0000-0000-0000F4160000}"/>
    <cellStyle name="RISKbigPercent 3 6" xfId="2422" xr:uid="{00000000-0005-0000-0000-000076090000}"/>
    <cellStyle name="RISKbigPercent 3 6 2" xfId="5877" xr:uid="{00000000-0005-0000-0000-0000F5160000}"/>
    <cellStyle name="RISKbigPercent 3 7" xfId="3597" xr:uid="{00000000-0005-0000-0000-00000D0E0000}"/>
    <cellStyle name="RISKbigPercent 3 8" xfId="3598" xr:uid="{00000000-0005-0000-0000-00000E0E0000}"/>
    <cellStyle name="RISKbigPercent 4" xfId="2423" xr:uid="{00000000-0005-0000-0000-000077090000}"/>
    <cellStyle name="RISKbigPercent 4 2" xfId="2424" xr:uid="{00000000-0005-0000-0000-000078090000}"/>
    <cellStyle name="RISKbigPercent 4 2 2" xfId="5878" xr:uid="{00000000-0005-0000-0000-0000F6160000}"/>
    <cellStyle name="RISKbigPercent 4 3" xfId="2425" xr:uid="{00000000-0005-0000-0000-000079090000}"/>
    <cellStyle name="RISKbigPercent 4 3 2" xfId="5879" xr:uid="{00000000-0005-0000-0000-0000F7160000}"/>
    <cellStyle name="RISKbigPercent 4 4" xfId="2426" xr:uid="{00000000-0005-0000-0000-00007A090000}"/>
    <cellStyle name="RISKbigPercent 4 4 2" xfId="5880" xr:uid="{00000000-0005-0000-0000-0000F8160000}"/>
    <cellStyle name="RISKbigPercent 4 5" xfId="2427" xr:uid="{00000000-0005-0000-0000-00007B090000}"/>
    <cellStyle name="RISKbigPercent 4 5 2" xfId="5881" xr:uid="{00000000-0005-0000-0000-0000F9160000}"/>
    <cellStyle name="RISKbigPercent 4 6" xfId="2428" xr:uid="{00000000-0005-0000-0000-00007C090000}"/>
    <cellStyle name="RISKbigPercent 4 6 2" xfId="5882" xr:uid="{00000000-0005-0000-0000-0000FA160000}"/>
    <cellStyle name="RISKbigPercent 4 7" xfId="3599" xr:uid="{00000000-0005-0000-0000-00000F0E0000}"/>
    <cellStyle name="RISKbigPercent 4 8" xfId="3600" xr:uid="{00000000-0005-0000-0000-0000100E0000}"/>
    <cellStyle name="RISKbigPercent 5" xfId="5883" xr:uid="{00000000-0005-0000-0000-0000FB160000}"/>
    <cellStyle name="RISKblandrEdge" xfId="2429" xr:uid="{00000000-0005-0000-0000-00007D090000}"/>
    <cellStyle name="RISKblandrEdge 2" xfId="2430" xr:uid="{00000000-0005-0000-0000-00007E090000}"/>
    <cellStyle name="RISKblandrEdge 2 2" xfId="2431" xr:uid="{00000000-0005-0000-0000-00007F090000}"/>
    <cellStyle name="RISKblandrEdge 2 2 2" xfId="5884" xr:uid="{00000000-0005-0000-0000-0000FC160000}"/>
    <cellStyle name="RISKblandrEdge 2 3" xfId="2432" xr:uid="{00000000-0005-0000-0000-000080090000}"/>
    <cellStyle name="RISKblandrEdge 2 3 2" xfId="5885" xr:uid="{00000000-0005-0000-0000-0000FD160000}"/>
    <cellStyle name="RISKblandrEdge 2 4" xfId="2433" xr:uid="{00000000-0005-0000-0000-000081090000}"/>
    <cellStyle name="RISKblandrEdge 2 4 2" xfId="5886" xr:uid="{00000000-0005-0000-0000-0000FE160000}"/>
    <cellStyle name="RISKblandrEdge 2 5" xfId="2434" xr:uid="{00000000-0005-0000-0000-000082090000}"/>
    <cellStyle name="RISKblandrEdge 2 5 2" xfId="5887" xr:uid="{00000000-0005-0000-0000-0000FF160000}"/>
    <cellStyle name="RISKblandrEdge 2 6" xfId="2435" xr:uid="{00000000-0005-0000-0000-000083090000}"/>
    <cellStyle name="RISKblandrEdge 2 6 2" xfId="5888" xr:uid="{00000000-0005-0000-0000-000000170000}"/>
    <cellStyle name="RISKblandrEdge 2 7" xfId="3601" xr:uid="{00000000-0005-0000-0000-0000110E0000}"/>
    <cellStyle name="RISKblandrEdge 2 8" xfId="3602" xr:uid="{00000000-0005-0000-0000-0000120E0000}"/>
    <cellStyle name="RISKblandrEdge 3" xfId="2436" xr:uid="{00000000-0005-0000-0000-000084090000}"/>
    <cellStyle name="RISKblandrEdge 3 2" xfId="2437" xr:uid="{00000000-0005-0000-0000-000085090000}"/>
    <cellStyle name="RISKblandrEdge 3 2 2" xfId="5889" xr:uid="{00000000-0005-0000-0000-000001170000}"/>
    <cellStyle name="RISKblandrEdge 3 3" xfId="2438" xr:uid="{00000000-0005-0000-0000-000086090000}"/>
    <cellStyle name="RISKblandrEdge 3 3 2" xfId="5890" xr:uid="{00000000-0005-0000-0000-000002170000}"/>
    <cellStyle name="RISKblandrEdge 3 4" xfId="2439" xr:uid="{00000000-0005-0000-0000-000087090000}"/>
    <cellStyle name="RISKblandrEdge 3 4 2" xfId="5891" xr:uid="{00000000-0005-0000-0000-000003170000}"/>
    <cellStyle name="RISKblandrEdge 3 5" xfId="2440" xr:uid="{00000000-0005-0000-0000-000088090000}"/>
    <cellStyle name="RISKblandrEdge 3 5 2" xfId="5892" xr:uid="{00000000-0005-0000-0000-000004170000}"/>
    <cellStyle name="RISKblandrEdge 3 6" xfId="2441" xr:uid="{00000000-0005-0000-0000-000089090000}"/>
    <cellStyle name="RISKblandrEdge 3 6 2" xfId="5893" xr:uid="{00000000-0005-0000-0000-000005170000}"/>
    <cellStyle name="RISKblandrEdge 3 7" xfId="3603" xr:uid="{00000000-0005-0000-0000-0000130E0000}"/>
    <cellStyle name="RISKblandrEdge 3 8" xfId="3604" xr:uid="{00000000-0005-0000-0000-0000140E0000}"/>
    <cellStyle name="RISKblandrEdge 4" xfId="2442" xr:uid="{00000000-0005-0000-0000-00008A090000}"/>
    <cellStyle name="RISKblandrEdge 4 2" xfId="2443" xr:uid="{00000000-0005-0000-0000-00008B090000}"/>
    <cellStyle name="RISKblandrEdge 4 2 2" xfId="5894" xr:uid="{00000000-0005-0000-0000-000006170000}"/>
    <cellStyle name="RISKblandrEdge 4 3" xfId="2444" xr:uid="{00000000-0005-0000-0000-00008C090000}"/>
    <cellStyle name="RISKblandrEdge 4 3 2" xfId="5895" xr:uid="{00000000-0005-0000-0000-000007170000}"/>
    <cellStyle name="RISKblandrEdge 4 4" xfId="2445" xr:uid="{00000000-0005-0000-0000-00008D090000}"/>
    <cellStyle name="RISKblandrEdge 4 4 2" xfId="5896" xr:uid="{00000000-0005-0000-0000-000008170000}"/>
    <cellStyle name="RISKblandrEdge 4 5" xfId="2446" xr:uid="{00000000-0005-0000-0000-00008E090000}"/>
    <cellStyle name="RISKblandrEdge 4 5 2" xfId="5897" xr:uid="{00000000-0005-0000-0000-000009170000}"/>
    <cellStyle name="RISKblandrEdge 4 6" xfId="2447" xr:uid="{00000000-0005-0000-0000-00008F090000}"/>
    <cellStyle name="RISKblandrEdge 4 6 2" xfId="5898" xr:uid="{00000000-0005-0000-0000-00000A170000}"/>
    <cellStyle name="RISKblandrEdge 4 7" xfId="3605" xr:uid="{00000000-0005-0000-0000-0000150E0000}"/>
    <cellStyle name="RISKblandrEdge 4 8" xfId="3606" xr:uid="{00000000-0005-0000-0000-0000160E0000}"/>
    <cellStyle name="RISKblandrEdge 5" xfId="5899" xr:uid="{00000000-0005-0000-0000-00000B170000}"/>
    <cellStyle name="RISKblCorner" xfId="2448" xr:uid="{00000000-0005-0000-0000-000090090000}"/>
    <cellStyle name="RISKblCorner 2" xfId="2449" xr:uid="{00000000-0005-0000-0000-000091090000}"/>
    <cellStyle name="RISKblCorner 2 2" xfId="2450" xr:uid="{00000000-0005-0000-0000-000092090000}"/>
    <cellStyle name="RISKblCorner 2 2 2" xfId="5900" xr:uid="{00000000-0005-0000-0000-00000C170000}"/>
    <cellStyle name="RISKblCorner 2 3" xfId="2451" xr:uid="{00000000-0005-0000-0000-000093090000}"/>
    <cellStyle name="RISKblCorner 2 3 2" xfId="5901" xr:uid="{00000000-0005-0000-0000-00000D170000}"/>
    <cellStyle name="RISKblCorner 2 4" xfId="2452" xr:uid="{00000000-0005-0000-0000-000094090000}"/>
    <cellStyle name="RISKblCorner 2 4 2" xfId="5902" xr:uid="{00000000-0005-0000-0000-00000E170000}"/>
    <cellStyle name="RISKblCorner 2 5" xfId="2453" xr:uid="{00000000-0005-0000-0000-000095090000}"/>
    <cellStyle name="RISKblCorner 2 5 2" xfId="5903" xr:uid="{00000000-0005-0000-0000-00000F170000}"/>
    <cellStyle name="RISKblCorner 2 6" xfId="2454" xr:uid="{00000000-0005-0000-0000-000096090000}"/>
    <cellStyle name="RISKblCorner 2 6 2" xfId="5904" xr:uid="{00000000-0005-0000-0000-000010170000}"/>
    <cellStyle name="RISKblCorner 2 7" xfId="3607" xr:uid="{00000000-0005-0000-0000-0000170E0000}"/>
    <cellStyle name="RISKblCorner 2 8" xfId="3608" xr:uid="{00000000-0005-0000-0000-0000180E0000}"/>
    <cellStyle name="RISKblCorner 3" xfId="2455" xr:uid="{00000000-0005-0000-0000-000097090000}"/>
    <cellStyle name="RISKblCorner 3 2" xfId="2456" xr:uid="{00000000-0005-0000-0000-000098090000}"/>
    <cellStyle name="RISKblCorner 3 2 2" xfId="5905" xr:uid="{00000000-0005-0000-0000-000011170000}"/>
    <cellStyle name="RISKblCorner 3 3" xfId="2457" xr:uid="{00000000-0005-0000-0000-000099090000}"/>
    <cellStyle name="RISKblCorner 3 3 2" xfId="5906" xr:uid="{00000000-0005-0000-0000-000012170000}"/>
    <cellStyle name="RISKblCorner 3 4" xfId="2458" xr:uid="{00000000-0005-0000-0000-00009A090000}"/>
    <cellStyle name="RISKblCorner 3 4 2" xfId="5907" xr:uid="{00000000-0005-0000-0000-000013170000}"/>
    <cellStyle name="RISKblCorner 3 5" xfId="2459" xr:uid="{00000000-0005-0000-0000-00009B090000}"/>
    <cellStyle name="RISKblCorner 3 5 2" xfId="5908" xr:uid="{00000000-0005-0000-0000-000014170000}"/>
    <cellStyle name="RISKblCorner 3 6" xfId="2460" xr:uid="{00000000-0005-0000-0000-00009C090000}"/>
    <cellStyle name="RISKblCorner 3 6 2" xfId="5909" xr:uid="{00000000-0005-0000-0000-000015170000}"/>
    <cellStyle name="RISKblCorner 3 7" xfId="3609" xr:uid="{00000000-0005-0000-0000-0000190E0000}"/>
    <cellStyle name="RISKblCorner 3 8" xfId="3610" xr:uid="{00000000-0005-0000-0000-00001A0E0000}"/>
    <cellStyle name="RISKblCorner 4" xfId="2461" xr:uid="{00000000-0005-0000-0000-00009D090000}"/>
    <cellStyle name="RISKblCorner 4 2" xfId="2462" xr:uid="{00000000-0005-0000-0000-00009E090000}"/>
    <cellStyle name="RISKblCorner 4 2 2" xfId="5910" xr:uid="{00000000-0005-0000-0000-000016170000}"/>
    <cellStyle name="RISKblCorner 4 3" xfId="2463" xr:uid="{00000000-0005-0000-0000-00009F090000}"/>
    <cellStyle name="RISKblCorner 4 3 2" xfId="5911" xr:uid="{00000000-0005-0000-0000-000017170000}"/>
    <cellStyle name="RISKblCorner 4 4" xfId="2464" xr:uid="{00000000-0005-0000-0000-0000A0090000}"/>
    <cellStyle name="RISKblCorner 4 4 2" xfId="5912" xr:uid="{00000000-0005-0000-0000-000018170000}"/>
    <cellStyle name="RISKblCorner 4 5" xfId="2465" xr:uid="{00000000-0005-0000-0000-0000A1090000}"/>
    <cellStyle name="RISKblCorner 4 5 2" xfId="5913" xr:uid="{00000000-0005-0000-0000-000019170000}"/>
    <cellStyle name="RISKblCorner 4 6" xfId="2466" xr:uid="{00000000-0005-0000-0000-0000A2090000}"/>
    <cellStyle name="RISKblCorner 4 6 2" xfId="5914" xr:uid="{00000000-0005-0000-0000-00001A170000}"/>
    <cellStyle name="RISKblCorner 4 7" xfId="3611" xr:uid="{00000000-0005-0000-0000-00001B0E0000}"/>
    <cellStyle name="RISKblCorner 4 8" xfId="3612" xr:uid="{00000000-0005-0000-0000-00001C0E0000}"/>
    <cellStyle name="RISKblCorner 5" xfId="5915" xr:uid="{00000000-0005-0000-0000-00001B170000}"/>
    <cellStyle name="RISKbottomEdge" xfId="2467" xr:uid="{00000000-0005-0000-0000-0000A3090000}"/>
    <cellStyle name="RISKbottomEdge 2" xfId="2468" xr:uid="{00000000-0005-0000-0000-0000A4090000}"/>
    <cellStyle name="RISKbottomEdge 2 2" xfId="2469" xr:uid="{00000000-0005-0000-0000-0000A5090000}"/>
    <cellStyle name="RISKbottomEdge 2 2 2" xfId="5916" xr:uid="{00000000-0005-0000-0000-00001C170000}"/>
    <cellStyle name="RISKbottomEdge 2 3" xfId="2470" xr:uid="{00000000-0005-0000-0000-0000A6090000}"/>
    <cellStyle name="RISKbottomEdge 2 3 2" xfId="5917" xr:uid="{00000000-0005-0000-0000-00001D170000}"/>
    <cellStyle name="RISKbottomEdge 2 4" xfId="2471" xr:uid="{00000000-0005-0000-0000-0000A7090000}"/>
    <cellStyle name="RISKbottomEdge 2 4 2" xfId="5918" xr:uid="{00000000-0005-0000-0000-00001E170000}"/>
    <cellStyle name="RISKbottomEdge 2 5" xfId="2472" xr:uid="{00000000-0005-0000-0000-0000A8090000}"/>
    <cellStyle name="RISKbottomEdge 2 5 2" xfId="5919" xr:uid="{00000000-0005-0000-0000-00001F170000}"/>
    <cellStyle name="RISKbottomEdge 2 6" xfId="2473" xr:uid="{00000000-0005-0000-0000-0000A9090000}"/>
    <cellStyle name="RISKbottomEdge 2 6 2" xfId="5920" xr:uid="{00000000-0005-0000-0000-000020170000}"/>
    <cellStyle name="RISKbottomEdge 2 7" xfId="3613" xr:uid="{00000000-0005-0000-0000-00001D0E0000}"/>
    <cellStyle name="RISKbottomEdge 2 8" xfId="3614" xr:uid="{00000000-0005-0000-0000-00001E0E0000}"/>
    <cellStyle name="RISKbottomEdge 3" xfId="2474" xr:uid="{00000000-0005-0000-0000-0000AA090000}"/>
    <cellStyle name="RISKbottomEdge 3 2" xfId="2475" xr:uid="{00000000-0005-0000-0000-0000AB090000}"/>
    <cellStyle name="RISKbottomEdge 3 2 2" xfId="5921" xr:uid="{00000000-0005-0000-0000-000021170000}"/>
    <cellStyle name="RISKbottomEdge 3 3" xfId="2476" xr:uid="{00000000-0005-0000-0000-0000AC090000}"/>
    <cellStyle name="RISKbottomEdge 3 3 2" xfId="5922" xr:uid="{00000000-0005-0000-0000-000022170000}"/>
    <cellStyle name="RISKbottomEdge 3 4" xfId="2477" xr:uid="{00000000-0005-0000-0000-0000AD090000}"/>
    <cellStyle name="RISKbottomEdge 3 4 2" xfId="5923" xr:uid="{00000000-0005-0000-0000-000023170000}"/>
    <cellStyle name="RISKbottomEdge 3 5" xfId="2478" xr:uid="{00000000-0005-0000-0000-0000AE090000}"/>
    <cellStyle name="RISKbottomEdge 3 5 2" xfId="5924" xr:uid="{00000000-0005-0000-0000-000024170000}"/>
    <cellStyle name="RISKbottomEdge 3 6" xfId="2479" xr:uid="{00000000-0005-0000-0000-0000AF090000}"/>
    <cellStyle name="RISKbottomEdge 3 6 2" xfId="5925" xr:uid="{00000000-0005-0000-0000-000025170000}"/>
    <cellStyle name="RISKbottomEdge 3 7" xfId="3615" xr:uid="{00000000-0005-0000-0000-00001F0E0000}"/>
    <cellStyle name="RISKbottomEdge 3 8" xfId="3616" xr:uid="{00000000-0005-0000-0000-0000200E0000}"/>
    <cellStyle name="RISKbottomEdge 4" xfId="2480" xr:uid="{00000000-0005-0000-0000-0000B0090000}"/>
    <cellStyle name="RISKbottomEdge 4 2" xfId="2481" xr:uid="{00000000-0005-0000-0000-0000B1090000}"/>
    <cellStyle name="RISKbottomEdge 4 2 2" xfId="5926" xr:uid="{00000000-0005-0000-0000-000026170000}"/>
    <cellStyle name="RISKbottomEdge 4 3" xfId="2482" xr:uid="{00000000-0005-0000-0000-0000B2090000}"/>
    <cellStyle name="RISKbottomEdge 4 3 2" xfId="5927" xr:uid="{00000000-0005-0000-0000-000027170000}"/>
    <cellStyle name="RISKbottomEdge 4 4" xfId="2483" xr:uid="{00000000-0005-0000-0000-0000B3090000}"/>
    <cellStyle name="RISKbottomEdge 4 4 2" xfId="5928" xr:uid="{00000000-0005-0000-0000-000028170000}"/>
    <cellStyle name="RISKbottomEdge 4 5" xfId="2484" xr:uid="{00000000-0005-0000-0000-0000B4090000}"/>
    <cellStyle name="RISKbottomEdge 4 5 2" xfId="5929" xr:uid="{00000000-0005-0000-0000-000029170000}"/>
    <cellStyle name="RISKbottomEdge 4 6" xfId="2485" xr:uid="{00000000-0005-0000-0000-0000B5090000}"/>
    <cellStyle name="RISKbottomEdge 4 6 2" xfId="5930" xr:uid="{00000000-0005-0000-0000-00002A170000}"/>
    <cellStyle name="RISKbottomEdge 4 7" xfId="3617" xr:uid="{00000000-0005-0000-0000-0000210E0000}"/>
    <cellStyle name="RISKbottomEdge 4 8" xfId="3618" xr:uid="{00000000-0005-0000-0000-0000220E0000}"/>
    <cellStyle name="RISKbottomEdge 5" xfId="5931" xr:uid="{00000000-0005-0000-0000-00002B170000}"/>
    <cellStyle name="RISKbrCorner" xfId="2486" xr:uid="{00000000-0005-0000-0000-0000B6090000}"/>
    <cellStyle name="RISKbrCorner 2" xfId="2487" xr:uid="{00000000-0005-0000-0000-0000B7090000}"/>
    <cellStyle name="RISKbrCorner 2 2" xfId="2488" xr:uid="{00000000-0005-0000-0000-0000B8090000}"/>
    <cellStyle name="RISKbrCorner 2 2 2" xfId="5932" xr:uid="{00000000-0005-0000-0000-00002C170000}"/>
    <cellStyle name="RISKbrCorner 2 3" xfId="2489" xr:uid="{00000000-0005-0000-0000-0000B9090000}"/>
    <cellStyle name="RISKbrCorner 2 3 2" xfId="5933" xr:uid="{00000000-0005-0000-0000-00002D170000}"/>
    <cellStyle name="RISKbrCorner 2 4" xfId="2490" xr:uid="{00000000-0005-0000-0000-0000BA090000}"/>
    <cellStyle name="RISKbrCorner 2 4 2" xfId="5934" xr:uid="{00000000-0005-0000-0000-00002E170000}"/>
    <cellStyle name="RISKbrCorner 2 5" xfId="2491" xr:uid="{00000000-0005-0000-0000-0000BB090000}"/>
    <cellStyle name="RISKbrCorner 2 5 2" xfId="5935" xr:uid="{00000000-0005-0000-0000-00002F170000}"/>
    <cellStyle name="RISKbrCorner 2 6" xfId="2492" xr:uid="{00000000-0005-0000-0000-0000BC090000}"/>
    <cellStyle name="RISKbrCorner 2 6 2" xfId="5936" xr:uid="{00000000-0005-0000-0000-000030170000}"/>
    <cellStyle name="RISKbrCorner 2 7" xfId="3619" xr:uid="{00000000-0005-0000-0000-0000230E0000}"/>
    <cellStyle name="RISKbrCorner 2 8" xfId="3620" xr:uid="{00000000-0005-0000-0000-0000240E0000}"/>
    <cellStyle name="RISKbrCorner 3" xfId="2493" xr:uid="{00000000-0005-0000-0000-0000BD090000}"/>
    <cellStyle name="RISKbrCorner 3 2" xfId="2494" xr:uid="{00000000-0005-0000-0000-0000BE090000}"/>
    <cellStyle name="RISKbrCorner 3 2 2" xfId="5937" xr:uid="{00000000-0005-0000-0000-000031170000}"/>
    <cellStyle name="RISKbrCorner 3 3" xfId="2495" xr:uid="{00000000-0005-0000-0000-0000BF090000}"/>
    <cellStyle name="RISKbrCorner 3 3 2" xfId="5938" xr:uid="{00000000-0005-0000-0000-000032170000}"/>
    <cellStyle name="RISKbrCorner 3 4" xfId="2496" xr:uid="{00000000-0005-0000-0000-0000C0090000}"/>
    <cellStyle name="RISKbrCorner 3 4 2" xfId="5939" xr:uid="{00000000-0005-0000-0000-000033170000}"/>
    <cellStyle name="RISKbrCorner 3 5" xfId="2497" xr:uid="{00000000-0005-0000-0000-0000C1090000}"/>
    <cellStyle name="RISKbrCorner 3 5 2" xfId="5940" xr:uid="{00000000-0005-0000-0000-000034170000}"/>
    <cellStyle name="RISKbrCorner 3 6" xfId="2498" xr:uid="{00000000-0005-0000-0000-0000C2090000}"/>
    <cellStyle name="RISKbrCorner 3 6 2" xfId="5941" xr:uid="{00000000-0005-0000-0000-000035170000}"/>
    <cellStyle name="RISKbrCorner 3 7" xfId="3621" xr:uid="{00000000-0005-0000-0000-0000250E0000}"/>
    <cellStyle name="RISKbrCorner 3 8" xfId="3622" xr:uid="{00000000-0005-0000-0000-0000260E0000}"/>
    <cellStyle name="RISKbrCorner 4" xfId="2499" xr:uid="{00000000-0005-0000-0000-0000C3090000}"/>
    <cellStyle name="RISKbrCorner 4 2" xfId="2500" xr:uid="{00000000-0005-0000-0000-0000C4090000}"/>
    <cellStyle name="RISKbrCorner 4 2 2" xfId="5942" xr:uid="{00000000-0005-0000-0000-000036170000}"/>
    <cellStyle name="RISKbrCorner 4 3" xfId="2501" xr:uid="{00000000-0005-0000-0000-0000C5090000}"/>
    <cellStyle name="RISKbrCorner 4 3 2" xfId="5943" xr:uid="{00000000-0005-0000-0000-000037170000}"/>
    <cellStyle name="RISKbrCorner 4 4" xfId="2502" xr:uid="{00000000-0005-0000-0000-0000C6090000}"/>
    <cellStyle name="RISKbrCorner 4 4 2" xfId="5944" xr:uid="{00000000-0005-0000-0000-000038170000}"/>
    <cellStyle name="RISKbrCorner 4 5" xfId="2503" xr:uid="{00000000-0005-0000-0000-0000C7090000}"/>
    <cellStyle name="RISKbrCorner 4 5 2" xfId="5945" xr:uid="{00000000-0005-0000-0000-000039170000}"/>
    <cellStyle name="RISKbrCorner 4 6" xfId="2504" xr:uid="{00000000-0005-0000-0000-0000C8090000}"/>
    <cellStyle name="RISKbrCorner 4 6 2" xfId="5946" xr:uid="{00000000-0005-0000-0000-00003A170000}"/>
    <cellStyle name="RISKbrCorner 4 7" xfId="3623" xr:uid="{00000000-0005-0000-0000-0000270E0000}"/>
    <cellStyle name="RISKbrCorner 4 8" xfId="3624" xr:uid="{00000000-0005-0000-0000-0000280E0000}"/>
    <cellStyle name="RISKbrCorner 5" xfId="5947" xr:uid="{00000000-0005-0000-0000-00003B170000}"/>
    <cellStyle name="RISKdarkBoxed" xfId="2505" xr:uid="{00000000-0005-0000-0000-0000C9090000}"/>
    <cellStyle name="RISKdarkBoxed 2" xfId="2506" xr:uid="{00000000-0005-0000-0000-0000CA090000}"/>
    <cellStyle name="RISKdarkBoxed 2 2" xfId="2507" xr:uid="{00000000-0005-0000-0000-0000CB090000}"/>
    <cellStyle name="RISKdarkBoxed 2 2 2" xfId="2508" xr:uid="{00000000-0005-0000-0000-0000CC090000}"/>
    <cellStyle name="RISKdarkBoxed 2 2 2 2" xfId="3625" xr:uid="{00000000-0005-0000-0000-0000290E0000}"/>
    <cellStyle name="RISKdarkBoxed 2 2 2 3" xfId="3626" xr:uid="{00000000-0005-0000-0000-00002A0E0000}"/>
    <cellStyle name="RISKdarkBoxed 2 2 2_PPT Final" xfId="3627" xr:uid="{00000000-0005-0000-0000-00002B0E0000}"/>
    <cellStyle name="RISKdarkBoxed 2 2 3" xfId="3628" xr:uid="{00000000-0005-0000-0000-00002C0E0000}"/>
    <cellStyle name="RISKdarkBoxed 2 2 4" xfId="3629" xr:uid="{00000000-0005-0000-0000-00002D0E0000}"/>
    <cellStyle name="RISKdarkBoxed 2 2_PPT Final" xfId="3630" xr:uid="{00000000-0005-0000-0000-00002E0E0000}"/>
    <cellStyle name="RISKdarkBoxed 2 3" xfId="2509" xr:uid="{00000000-0005-0000-0000-0000CD090000}"/>
    <cellStyle name="RISKdarkBoxed 2 3 2" xfId="2510" xr:uid="{00000000-0005-0000-0000-0000CE090000}"/>
    <cellStyle name="RISKdarkBoxed 2 3 2 2" xfId="3631" xr:uid="{00000000-0005-0000-0000-00002F0E0000}"/>
    <cellStyle name="RISKdarkBoxed 2 3 2 3" xfId="3632" xr:uid="{00000000-0005-0000-0000-0000300E0000}"/>
    <cellStyle name="RISKdarkBoxed 2 3 2_PPT Final" xfId="3633" xr:uid="{00000000-0005-0000-0000-0000310E0000}"/>
    <cellStyle name="RISKdarkBoxed 2 3 3" xfId="3634" xr:uid="{00000000-0005-0000-0000-0000320E0000}"/>
    <cellStyle name="RISKdarkBoxed 2 3 4" xfId="3635" xr:uid="{00000000-0005-0000-0000-0000330E0000}"/>
    <cellStyle name="RISKdarkBoxed 2 3_PPT Final" xfId="3636" xr:uid="{00000000-0005-0000-0000-0000340E0000}"/>
    <cellStyle name="RISKdarkBoxed 2 4" xfId="2511" xr:uid="{00000000-0005-0000-0000-0000CF090000}"/>
    <cellStyle name="RISKdarkBoxed 2 4 2" xfId="2512" xr:uid="{00000000-0005-0000-0000-0000D0090000}"/>
    <cellStyle name="RISKdarkBoxed 2 4 2 2" xfId="3637" xr:uid="{00000000-0005-0000-0000-0000350E0000}"/>
    <cellStyle name="RISKdarkBoxed 2 4 2 3" xfId="3638" xr:uid="{00000000-0005-0000-0000-0000360E0000}"/>
    <cellStyle name="RISKdarkBoxed 2 4 2_PPT Final" xfId="3639" xr:uid="{00000000-0005-0000-0000-0000370E0000}"/>
    <cellStyle name="RISKdarkBoxed 2 4 3" xfId="3640" xr:uid="{00000000-0005-0000-0000-0000380E0000}"/>
    <cellStyle name="RISKdarkBoxed 2 4 4" xfId="3641" xr:uid="{00000000-0005-0000-0000-0000390E0000}"/>
    <cellStyle name="RISKdarkBoxed 2 4_PPT Final" xfId="3642" xr:uid="{00000000-0005-0000-0000-00003A0E0000}"/>
    <cellStyle name="RISKdarkBoxed 2 5" xfId="2513" xr:uid="{00000000-0005-0000-0000-0000D1090000}"/>
    <cellStyle name="RISKdarkBoxed 2 5 2" xfId="5948" xr:uid="{00000000-0005-0000-0000-00003C170000}"/>
    <cellStyle name="RISKdarkBoxed 2 6" xfId="2514" xr:uid="{00000000-0005-0000-0000-0000D2090000}"/>
    <cellStyle name="RISKdarkBoxed 2 6 2" xfId="5949" xr:uid="{00000000-0005-0000-0000-00003D170000}"/>
    <cellStyle name="RISKdarkBoxed 2 7" xfId="5950" xr:uid="{00000000-0005-0000-0000-00003E170000}"/>
    <cellStyle name="RISKdarkBoxed 3" xfId="2515" xr:uid="{00000000-0005-0000-0000-0000D3090000}"/>
    <cellStyle name="RISKdarkBoxed 3 2" xfId="2516" xr:uid="{00000000-0005-0000-0000-0000D4090000}"/>
    <cellStyle name="RISKdarkBoxed 3 2 2" xfId="2517" xr:uid="{00000000-0005-0000-0000-0000D5090000}"/>
    <cellStyle name="RISKdarkBoxed 3 2 2 2" xfId="5951" xr:uid="{00000000-0005-0000-0000-00003F170000}"/>
    <cellStyle name="RISKdarkBoxed 3 2 3" xfId="5952" xr:uid="{00000000-0005-0000-0000-000040170000}"/>
    <cellStyle name="RISKdarkBoxed 3 3" xfId="2518" xr:uid="{00000000-0005-0000-0000-0000D6090000}"/>
    <cellStyle name="RISKdarkBoxed 3 3 2" xfId="2519" xr:uid="{00000000-0005-0000-0000-0000D7090000}"/>
    <cellStyle name="RISKdarkBoxed 3 3 2 2" xfId="5953" xr:uid="{00000000-0005-0000-0000-000041170000}"/>
    <cellStyle name="RISKdarkBoxed 3 3 3" xfId="5954" xr:uid="{00000000-0005-0000-0000-000042170000}"/>
    <cellStyle name="RISKdarkBoxed 3 4" xfId="2520" xr:uid="{00000000-0005-0000-0000-0000D8090000}"/>
    <cellStyle name="RISKdarkBoxed 3 4 2" xfId="2521" xr:uid="{00000000-0005-0000-0000-0000D9090000}"/>
    <cellStyle name="RISKdarkBoxed 3 4 2 2" xfId="5955" xr:uid="{00000000-0005-0000-0000-000043170000}"/>
    <cellStyle name="RISKdarkBoxed 3 4 3" xfId="5956" xr:uid="{00000000-0005-0000-0000-000044170000}"/>
    <cellStyle name="RISKdarkBoxed 3 5" xfId="2522" xr:uid="{00000000-0005-0000-0000-0000DA090000}"/>
    <cellStyle name="RISKdarkBoxed 3 5 2" xfId="5957" xr:uid="{00000000-0005-0000-0000-000045170000}"/>
    <cellStyle name="RISKdarkBoxed 3 6" xfId="2523" xr:uid="{00000000-0005-0000-0000-0000DB090000}"/>
    <cellStyle name="RISKdarkBoxed 3 6 2" xfId="5958" xr:uid="{00000000-0005-0000-0000-000046170000}"/>
    <cellStyle name="RISKdarkBoxed 3 7" xfId="5959" xr:uid="{00000000-0005-0000-0000-000047170000}"/>
    <cellStyle name="RISKdarkBoxed 4" xfId="2524" xr:uid="{00000000-0005-0000-0000-0000DC090000}"/>
    <cellStyle name="RISKdarkBoxed 4 2" xfId="2525" xr:uid="{00000000-0005-0000-0000-0000DD090000}"/>
    <cellStyle name="RISKdarkBoxed 4 2 2" xfId="2526" xr:uid="{00000000-0005-0000-0000-0000DE090000}"/>
    <cellStyle name="RISKdarkBoxed 4 2 2 2" xfId="5960" xr:uid="{00000000-0005-0000-0000-000048170000}"/>
    <cellStyle name="RISKdarkBoxed 4 2 3" xfId="5961" xr:uid="{00000000-0005-0000-0000-000049170000}"/>
    <cellStyle name="RISKdarkBoxed 4 3" xfId="2527" xr:uid="{00000000-0005-0000-0000-0000DF090000}"/>
    <cellStyle name="RISKdarkBoxed 4 3 2" xfId="2528" xr:uid="{00000000-0005-0000-0000-0000E0090000}"/>
    <cellStyle name="RISKdarkBoxed 4 3 2 2" xfId="5962" xr:uid="{00000000-0005-0000-0000-00004A170000}"/>
    <cellStyle name="RISKdarkBoxed 4 3 3" xfId="5963" xr:uid="{00000000-0005-0000-0000-00004B170000}"/>
    <cellStyle name="RISKdarkBoxed 4 4" xfId="2529" xr:uid="{00000000-0005-0000-0000-0000E1090000}"/>
    <cellStyle name="RISKdarkBoxed 4 4 2" xfId="2530" xr:uid="{00000000-0005-0000-0000-0000E2090000}"/>
    <cellStyle name="RISKdarkBoxed 4 4 2 2" xfId="5964" xr:uid="{00000000-0005-0000-0000-00004C170000}"/>
    <cellStyle name="RISKdarkBoxed 4 4 3" xfId="5965" xr:uid="{00000000-0005-0000-0000-00004D170000}"/>
    <cellStyle name="RISKdarkBoxed 4 5" xfId="2531" xr:uid="{00000000-0005-0000-0000-0000E3090000}"/>
    <cellStyle name="RISKdarkBoxed 4 5 2" xfId="5966" xr:uid="{00000000-0005-0000-0000-00004E170000}"/>
    <cellStyle name="RISKdarkBoxed 4 6" xfId="2532" xr:uid="{00000000-0005-0000-0000-0000E4090000}"/>
    <cellStyle name="RISKdarkBoxed 4 6 2" xfId="5967" xr:uid="{00000000-0005-0000-0000-00004F170000}"/>
    <cellStyle name="RISKdarkBoxed 4 7" xfId="5968" xr:uid="{00000000-0005-0000-0000-000050170000}"/>
    <cellStyle name="RISKdarkBoxed 5" xfId="2533" xr:uid="{00000000-0005-0000-0000-0000E5090000}"/>
    <cellStyle name="RISKdarkBoxed 5 2" xfId="5969" xr:uid="{00000000-0005-0000-0000-000051170000}"/>
    <cellStyle name="RISKdarkBoxed 6" xfId="2534" xr:uid="{00000000-0005-0000-0000-0000E6090000}"/>
    <cellStyle name="RISKdarkBoxed 6 2" xfId="5970" xr:uid="{00000000-0005-0000-0000-000052170000}"/>
    <cellStyle name="RISKdarkBoxed 7" xfId="2535" xr:uid="{00000000-0005-0000-0000-0000E7090000}"/>
    <cellStyle name="RISKdarkBoxed 7 2" xfId="5971" xr:uid="{00000000-0005-0000-0000-000053170000}"/>
    <cellStyle name="RISKdarkBoxed 8" xfId="5972" xr:uid="{00000000-0005-0000-0000-000054170000}"/>
    <cellStyle name="RISKdarkBoxed_GRUPO4Q-2009 COMPLETO" xfId="3643" xr:uid="{00000000-0005-0000-0000-00003B0E0000}"/>
    <cellStyle name="RISKdarkShade" xfId="2536" xr:uid="{00000000-0005-0000-0000-0000E8090000}"/>
    <cellStyle name="RISKdarkShade 2" xfId="2537" xr:uid="{00000000-0005-0000-0000-0000E9090000}"/>
    <cellStyle name="RISKdarkShade 2 2" xfId="2538" xr:uid="{00000000-0005-0000-0000-0000EA090000}"/>
    <cellStyle name="RISKdarkShade 2 2 2" xfId="5973" xr:uid="{00000000-0005-0000-0000-000055170000}"/>
    <cellStyle name="RISKdarkShade 2 3" xfId="2539" xr:uid="{00000000-0005-0000-0000-0000EB090000}"/>
    <cellStyle name="RISKdarkShade 2 3 2" xfId="5974" xr:uid="{00000000-0005-0000-0000-000056170000}"/>
    <cellStyle name="RISKdarkShade 2 4" xfId="2540" xr:uid="{00000000-0005-0000-0000-0000EC090000}"/>
    <cellStyle name="RISKdarkShade 2 4 2" xfId="5975" xr:uid="{00000000-0005-0000-0000-000057170000}"/>
    <cellStyle name="RISKdarkShade 2 5" xfId="2541" xr:uid="{00000000-0005-0000-0000-0000ED090000}"/>
    <cellStyle name="RISKdarkShade 2 5 2" xfId="5976" xr:uid="{00000000-0005-0000-0000-000058170000}"/>
    <cellStyle name="RISKdarkShade 2 6" xfId="2542" xr:uid="{00000000-0005-0000-0000-0000EE090000}"/>
    <cellStyle name="RISKdarkShade 2 6 2" xfId="5977" xr:uid="{00000000-0005-0000-0000-000059170000}"/>
    <cellStyle name="RISKdarkShade 2 7" xfId="5978" xr:uid="{00000000-0005-0000-0000-00005A170000}"/>
    <cellStyle name="RISKdarkShade 3" xfId="2543" xr:uid="{00000000-0005-0000-0000-0000EF090000}"/>
    <cellStyle name="RISKdarkShade 3 2" xfId="2544" xr:uid="{00000000-0005-0000-0000-0000F0090000}"/>
    <cellStyle name="RISKdarkShade 3 2 2" xfId="5979" xr:uid="{00000000-0005-0000-0000-00005B170000}"/>
    <cellStyle name="RISKdarkShade 3 3" xfId="2545" xr:uid="{00000000-0005-0000-0000-0000F1090000}"/>
    <cellStyle name="RISKdarkShade 3 3 2" xfId="5980" xr:uid="{00000000-0005-0000-0000-00005C170000}"/>
    <cellStyle name="RISKdarkShade 3 4" xfId="2546" xr:uid="{00000000-0005-0000-0000-0000F2090000}"/>
    <cellStyle name="RISKdarkShade 3 4 2" xfId="5981" xr:uid="{00000000-0005-0000-0000-00005D170000}"/>
    <cellStyle name="RISKdarkShade 3 5" xfId="2547" xr:uid="{00000000-0005-0000-0000-0000F3090000}"/>
    <cellStyle name="RISKdarkShade 3 5 2" xfId="5982" xr:uid="{00000000-0005-0000-0000-00005E170000}"/>
    <cellStyle name="RISKdarkShade 3 6" xfId="2548" xr:uid="{00000000-0005-0000-0000-0000F4090000}"/>
    <cellStyle name="RISKdarkShade 3 6 2" xfId="5983" xr:uid="{00000000-0005-0000-0000-00005F170000}"/>
    <cellStyle name="RISKdarkShade 3 7" xfId="5984" xr:uid="{00000000-0005-0000-0000-000060170000}"/>
    <cellStyle name="RISKdarkShade 4" xfId="2549" xr:uid="{00000000-0005-0000-0000-0000F5090000}"/>
    <cellStyle name="RISKdarkShade 4 2" xfId="2550" xr:uid="{00000000-0005-0000-0000-0000F6090000}"/>
    <cellStyle name="RISKdarkShade 4 2 2" xfId="5985" xr:uid="{00000000-0005-0000-0000-000061170000}"/>
    <cellStyle name="RISKdarkShade 4 3" xfId="2551" xr:uid="{00000000-0005-0000-0000-0000F7090000}"/>
    <cellStyle name="RISKdarkShade 4 3 2" xfId="5986" xr:uid="{00000000-0005-0000-0000-000062170000}"/>
    <cellStyle name="RISKdarkShade 4 4" xfId="2552" xr:uid="{00000000-0005-0000-0000-0000F8090000}"/>
    <cellStyle name="RISKdarkShade 4 4 2" xfId="5987" xr:uid="{00000000-0005-0000-0000-000063170000}"/>
    <cellStyle name="RISKdarkShade 4 5" xfId="2553" xr:uid="{00000000-0005-0000-0000-0000F9090000}"/>
    <cellStyle name="RISKdarkShade 4 5 2" xfId="5988" xr:uid="{00000000-0005-0000-0000-000064170000}"/>
    <cellStyle name="RISKdarkShade 4 6" xfId="2554" xr:uid="{00000000-0005-0000-0000-0000FA090000}"/>
    <cellStyle name="RISKdarkShade 4 6 2" xfId="5989" xr:uid="{00000000-0005-0000-0000-000065170000}"/>
    <cellStyle name="RISKdarkShade 4 7" xfId="5990" xr:uid="{00000000-0005-0000-0000-000066170000}"/>
    <cellStyle name="RISKdarkShade 5" xfId="5991" xr:uid="{00000000-0005-0000-0000-000067170000}"/>
    <cellStyle name="RISKdbottomEdge" xfId="2555" xr:uid="{00000000-0005-0000-0000-0000FB090000}"/>
    <cellStyle name="RISKdbottomEdge 2" xfId="2556" xr:uid="{00000000-0005-0000-0000-0000FC090000}"/>
    <cellStyle name="RISKdbottomEdge 2 2" xfId="2557" xr:uid="{00000000-0005-0000-0000-0000FD090000}"/>
    <cellStyle name="RISKdbottomEdge 2 2 2" xfId="5992" xr:uid="{00000000-0005-0000-0000-000068170000}"/>
    <cellStyle name="RISKdbottomEdge 2 3" xfId="2558" xr:uid="{00000000-0005-0000-0000-0000FE090000}"/>
    <cellStyle name="RISKdbottomEdge 2 3 2" xfId="5993" xr:uid="{00000000-0005-0000-0000-000069170000}"/>
    <cellStyle name="RISKdbottomEdge 2 4" xfId="2559" xr:uid="{00000000-0005-0000-0000-0000FF090000}"/>
    <cellStyle name="RISKdbottomEdge 2 4 2" xfId="5994" xr:uid="{00000000-0005-0000-0000-00006A170000}"/>
    <cellStyle name="RISKdbottomEdge 2 5" xfId="2560" xr:uid="{00000000-0005-0000-0000-0000000A0000}"/>
    <cellStyle name="RISKdbottomEdge 2 5 2" xfId="5995" xr:uid="{00000000-0005-0000-0000-00006B170000}"/>
    <cellStyle name="RISKdbottomEdge 2 6" xfId="2561" xr:uid="{00000000-0005-0000-0000-0000010A0000}"/>
    <cellStyle name="RISKdbottomEdge 2 6 2" xfId="5996" xr:uid="{00000000-0005-0000-0000-00006C170000}"/>
    <cellStyle name="RISKdbottomEdge 2 7" xfId="5997" xr:uid="{00000000-0005-0000-0000-00006D170000}"/>
    <cellStyle name="RISKdbottomEdge 3" xfId="2562" xr:uid="{00000000-0005-0000-0000-0000020A0000}"/>
    <cellStyle name="RISKdbottomEdge 3 2" xfId="2563" xr:uid="{00000000-0005-0000-0000-0000030A0000}"/>
    <cellStyle name="RISKdbottomEdge 3 2 2" xfId="5998" xr:uid="{00000000-0005-0000-0000-00006E170000}"/>
    <cellStyle name="RISKdbottomEdge 3 3" xfId="2564" xr:uid="{00000000-0005-0000-0000-0000040A0000}"/>
    <cellStyle name="RISKdbottomEdge 3 3 2" xfId="5999" xr:uid="{00000000-0005-0000-0000-00006F170000}"/>
    <cellStyle name="RISKdbottomEdge 3 4" xfId="2565" xr:uid="{00000000-0005-0000-0000-0000050A0000}"/>
    <cellStyle name="RISKdbottomEdge 3 4 2" xfId="6000" xr:uid="{00000000-0005-0000-0000-000070170000}"/>
    <cellStyle name="RISKdbottomEdge 3 5" xfId="2566" xr:uid="{00000000-0005-0000-0000-0000060A0000}"/>
    <cellStyle name="RISKdbottomEdge 3 5 2" xfId="6001" xr:uid="{00000000-0005-0000-0000-000071170000}"/>
    <cellStyle name="RISKdbottomEdge 3 6" xfId="2567" xr:uid="{00000000-0005-0000-0000-0000070A0000}"/>
    <cellStyle name="RISKdbottomEdge 3 6 2" xfId="6002" xr:uid="{00000000-0005-0000-0000-000072170000}"/>
    <cellStyle name="RISKdbottomEdge 3 7" xfId="6003" xr:uid="{00000000-0005-0000-0000-000073170000}"/>
    <cellStyle name="RISKdbottomEdge 4" xfId="2568" xr:uid="{00000000-0005-0000-0000-0000080A0000}"/>
    <cellStyle name="RISKdbottomEdge 4 2" xfId="2569" xr:uid="{00000000-0005-0000-0000-0000090A0000}"/>
    <cellStyle name="RISKdbottomEdge 4 2 2" xfId="6004" xr:uid="{00000000-0005-0000-0000-000074170000}"/>
    <cellStyle name="RISKdbottomEdge 4 3" xfId="2570" xr:uid="{00000000-0005-0000-0000-00000A0A0000}"/>
    <cellStyle name="RISKdbottomEdge 4 3 2" xfId="6005" xr:uid="{00000000-0005-0000-0000-000075170000}"/>
    <cellStyle name="RISKdbottomEdge 4 4" xfId="2571" xr:uid="{00000000-0005-0000-0000-00000B0A0000}"/>
    <cellStyle name="RISKdbottomEdge 4 4 2" xfId="6006" xr:uid="{00000000-0005-0000-0000-000076170000}"/>
    <cellStyle name="RISKdbottomEdge 4 5" xfId="2572" xr:uid="{00000000-0005-0000-0000-00000C0A0000}"/>
    <cellStyle name="RISKdbottomEdge 4 5 2" xfId="6007" xr:uid="{00000000-0005-0000-0000-000077170000}"/>
    <cellStyle name="RISKdbottomEdge 4 6" xfId="2573" xr:uid="{00000000-0005-0000-0000-00000D0A0000}"/>
    <cellStyle name="RISKdbottomEdge 4 6 2" xfId="6008" xr:uid="{00000000-0005-0000-0000-000078170000}"/>
    <cellStyle name="RISKdbottomEdge 4 7" xfId="6009" xr:uid="{00000000-0005-0000-0000-000079170000}"/>
    <cellStyle name="RISKdbottomEdge 5" xfId="6010" xr:uid="{00000000-0005-0000-0000-00007A170000}"/>
    <cellStyle name="RISKdrightEdge" xfId="2574" xr:uid="{00000000-0005-0000-0000-00000E0A0000}"/>
    <cellStyle name="RISKdrightEdge 2" xfId="2575" xr:uid="{00000000-0005-0000-0000-00000F0A0000}"/>
    <cellStyle name="RISKdrightEdge 2 2" xfId="2576" xr:uid="{00000000-0005-0000-0000-0000100A0000}"/>
    <cellStyle name="RISKdrightEdge 2 2 2" xfId="6011" xr:uid="{00000000-0005-0000-0000-00007B170000}"/>
    <cellStyle name="RISKdrightEdge 2 3" xfId="2577" xr:uid="{00000000-0005-0000-0000-0000110A0000}"/>
    <cellStyle name="RISKdrightEdge 2 3 2" xfId="6012" xr:uid="{00000000-0005-0000-0000-00007C170000}"/>
    <cellStyle name="RISKdrightEdge 2 4" xfId="2578" xr:uid="{00000000-0005-0000-0000-0000120A0000}"/>
    <cellStyle name="RISKdrightEdge 2 4 2" xfId="6013" xr:uid="{00000000-0005-0000-0000-00007D170000}"/>
    <cellStyle name="RISKdrightEdge 2 5" xfId="2579" xr:uid="{00000000-0005-0000-0000-0000130A0000}"/>
    <cellStyle name="RISKdrightEdge 2 5 2" xfId="6014" xr:uid="{00000000-0005-0000-0000-00007E170000}"/>
    <cellStyle name="RISKdrightEdge 2 6" xfId="2580" xr:uid="{00000000-0005-0000-0000-0000140A0000}"/>
    <cellStyle name="RISKdrightEdge 2 6 2" xfId="6015" xr:uid="{00000000-0005-0000-0000-00007F170000}"/>
    <cellStyle name="RISKdrightEdge 2 7" xfId="6016" xr:uid="{00000000-0005-0000-0000-000080170000}"/>
    <cellStyle name="RISKdrightEdge 3" xfId="2581" xr:uid="{00000000-0005-0000-0000-0000150A0000}"/>
    <cellStyle name="RISKdrightEdge 3 2" xfId="2582" xr:uid="{00000000-0005-0000-0000-0000160A0000}"/>
    <cellStyle name="RISKdrightEdge 3 2 2" xfId="6017" xr:uid="{00000000-0005-0000-0000-000081170000}"/>
    <cellStyle name="RISKdrightEdge 3 3" xfId="2583" xr:uid="{00000000-0005-0000-0000-0000170A0000}"/>
    <cellStyle name="RISKdrightEdge 3 3 2" xfId="6018" xr:uid="{00000000-0005-0000-0000-000082170000}"/>
    <cellStyle name="RISKdrightEdge 3 4" xfId="2584" xr:uid="{00000000-0005-0000-0000-0000180A0000}"/>
    <cellStyle name="RISKdrightEdge 3 4 2" xfId="6019" xr:uid="{00000000-0005-0000-0000-000083170000}"/>
    <cellStyle name="RISKdrightEdge 3 5" xfId="2585" xr:uid="{00000000-0005-0000-0000-0000190A0000}"/>
    <cellStyle name="RISKdrightEdge 3 5 2" xfId="6020" xr:uid="{00000000-0005-0000-0000-000084170000}"/>
    <cellStyle name="RISKdrightEdge 3 6" xfId="2586" xr:uid="{00000000-0005-0000-0000-00001A0A0000}"/>
    <cellStyle name="RISKdrightEdge 3 6 2" xfId="6021" xr:uid="{00000000-0005-0000-0000-000085170000}"/>
    <cellStyle name="RISKdrightEdge 3 7" xfId="6022" xr:uid="{00000000-0005-0000-0000-000086170000}"/>
    <cellStyle name="RISKdrightEdge 4" xfId="2587" xr:uid="{00000000-0005-0000-0000-00001B0A0000}"/>
    <cellStyle name="RISKdrightEdge 4 2" xfId="2588" xr:uid="{00000000-0005-0000-0000-00001C0A0000}"/>
    <cellStyle name="RISKdrightEdge 4 2 2" xfId="6023" xr:uid="{00000000-0005-0000-0000-000087170000}"/>
    <cellStyle name="RISKdrightEdge 4 3" xfId="2589" xr:uid="{00000000-0005-0000-0000-00001D0A0000}"/>
    <cellStyle name="RISKdrightEdge 4 3 2" xfId="6024" xr:uid="{00000000-0005-0000-0000-000088170000}"/>
    <cellStyle name="RISKdrightEdge 4 4" xfId="2590" xr:uid="{00000000-0005-0000-0000-00001E0A0000}"/>
    <cellStyle name="RISKdrightEdge 4 4 2" xfId="6025" xr:uid="{00000000-0005-0000-0000-000089170000}"/>
    <cellStyle name="RISKdrightEdge 4 5" xfId="2591" xr:uid="{00000000-0005-0000-0000-00001F0A0000}"/>
    <cellStyle name="RISKdrightEdge 4 5 2" xfId="6026" xr:uid="{00000000-0005-0000-0000-00008A170000}"/>
    <cellStyle name="RISKdrightEdge 4 6" xfId="2592" xr:uid="{00000000-0005-0000-0000-0000200A0000}"/>
    <cellStyle name="RISKdrightEdge 4 6 2" xfId="6027" xr:uid="{00000000-0005-0000-0000-00008B170000}"/>
    <cellStyle name="RISKdrightEdge 4 7" xfId="6028" xr:uid="{00000000-0005-0000-0000-00008C170000}"/>
    <cellStyle name="RISKdrightEdge 5" xfId="6029" xr:uid="{00000000-0005-0000-0000-00008D170000}"/>
    <cellStyle name="RISKdurationTime" xfId="2593" xr:uid="{00000000-0005-0000-0000-0000210A0000}"/>
    <cellStyle name="RISKdurationTime 2" xfId="2594" xr:uid="{00000000-0005-0000-0000-0000220A0000}"/>
    <cellStyle name="RISKdurationTime 2 2" xfId="2595" xr:uid="{00000000-0005-0000-0000-0000230A0000}"/>
    <cellStyle name="RISKdurationTime 2 2 2" xfId="6030" xr:uid="{00000000-0005-0000-0000-00008E170000}"/>
    <cellStyle name="RISKdurationTime 2 3" xfId="2596" xr:uid="{00000000-0005-0000-0000-0000240A0000}"/>
    <cellStyle name="RISKdurationTime 2 3 2" xfId="6031" xr:uid="{00000000-0005-0000-0000-00008F170000}"/>
    <cellStyle name="RISKdurationTime 2 4" xfId="2597" xr:uid="{00000000-0005-0000-0000-0000250A0000}"/>
    <cellStyle name="RISKdurationTime 2 4 2" xfId="6032" xr:uid="{00000000-0005-0000-0000-000090170000}"/>
    <cellStyle name="RISKdurationTime 2 5" xfId="2598" xr:uid="{00000000-0005-0000-0000-0000260A0000}"/>
    <cellStyle name="RISKdurationTime 2 5 2" xfId="6033" xr:uid="{00000000-0005-0000-0000-000091170000}"/>
    <cellStyle name="RISKdurationTime 2 6" xfId="2599" xr:uid="{00000000-0005-0000-0000-0000270A0000}"/>
    <cellStyle name="RISKdurationTime 2 6 2" xfId="6034" xr:uid="{00000000-0005-0000-0000-000092170000}"/>
    <cellStyle name="RISKdurationTime 2 7" xfId="6035" xr:uid="{00000000-0005-0000-0000-000093170000}"/>
    <cellStyle name="RISKdurationTime 3" xfId="2600" xr:uid="{00000000-0005-0000-0000-0000280A0000}"/>
    <cellStyle name="RISKdurationTime 3 2" xfId="2601" xr:uid="{00000000-0005-0000-0000-0000290A0000}"/>
    <cellStyle name="RISKdurationTime 3 2 2" xfId="6036" xr:uid="{00000000-0005-0000-0000-000094170000}"/>
    <cellStyle name="RISKdurationTime 3 3" xfId="2602" xr:uid="{00000000-0005-0000-0000-00002A0A0000}"/>
    <cellStyle name="RISKdurationTime 3 3 2" xfId="6037" xr:uid="{00000000-0005-0000-0000-000095170000}"/>
    <cellStyle name="RISKdurationTime 3 4" xfId="2603" xr:uid="{00000000-0005-0000-0000-00002B0A0000}"/>
    <cellStyle name="RISKdurationTime 3 4 2" xfId="6038" xr:uid="{00000000-0005-0000-0000-000096170000}"/>
    <cellStyle name="RISKdurationTime 3 5" xfId="2604" xr:uid="{00000000-0005-0000-0000-00002C0A0000}"/>
    <cellStyle name="RISKdurationTime 3 5 2" xfId="6039" xr:uid="{00000000-0005-0000-0000-000097170000}"/>
    <cellStyle name="RISKdurationTime 3 6" xfId="2605" xr:uid="{00000000-0005-0000-0000-00002D0A0000}"/>
    <cellStyle name="RISKdurationTime 3 6 2" xfId="6040" xr:uid="{00000000-0005-0000-0000-000098170000}"/>
    <cellStyle name="RISKdurationTime 3 7" xfId="6041" xr:uid="{00000000-0005-0000-0000-000099170000}"/>
    <cellStyle name="RISKdurationTime 4" xfId="2606" xr:uid="{00000000-0005-0000-0000-00002E0A0000}"/>
    <cellStyle name="RISKdurationTime 4 2" xfId="2607" xr:uid="{00000000-0005-0000-0000-00002F0A0000}"/>
    <cellStyle name="RISKdurationTime 4 2 2" xfId="6042" xr:uid="{00000000-0005-0000-0000-00009A170000}"/>
    <cellStyle name="RISKdurationTime 4 3" xfId="2608" xr:uid="{00000000-0005-0000-0000-0000300A0000}"/>
    <cellStyle name="RISKdurationTime 4 3 2" xfId="6043" xr:uid="{00000000-0005-0000-0000-00009B170000}"/>
    <cellStyle name="RISKdurationTime 4 4" xfId="2609" xr:uid="{00000000-0005-0000-0000-0000310A0000}"/>
    <cellStyle name="RISKdurationTime 4 4 2" xfId="6044" xr:uid="{00000000-0005-0000-0000-00009C170000}"/>
    <cellStyle name="RISKdurationTime 4 5" xfId="2610" xr:uid="{00000000-0005-0000-0000-0000320A0000}"/>
    <cellStyle name="RISKdurationTime 4 5 2" xfId="6045" xr:uid="{00000000-0005-0000-0000-00009D170000}"/>
    <cellStyle name="RISKdurationTime 4 6" xfId="2611" xr:uid="{00000000-0005-0000-0000-0000330A0000}"/>
    <cellStyle name="RISKdurationTime 4 6 2" xfId="6046" xr:uid="{00000000-0005-0000-0000-00009E170000}"/>
    <cellStyle name="RISKdurationTime 4 7" xfId="6047" xr:uid="{00000000-0005-0000-0000-00009F170000}"/>
    <cellStyle name="RISKdurationTime 5" xfId="6048" xr:uid="{00000000-0005-0000-0000-0000A0170000}"/>
    <cellStyle name="RISKinNumber" xfId="2612" xr:uid="{00000000-0005-0000-0000-0000340A0000}"/>
    <cellStyle name="RISKinNumber 2" xfId="2613" xr:uid="{00000000-0005-0000-0000-0000350A0000}"/>
    <cellStyle name="RISKinNumber 2 2" xfId="2614" xr:uid="{00000000-0005-0000-0000-0000360A0000}"/>
    <cellStyle name="RISKinNumber 2 3" xfId="2615" xr:uid="{00000000-0005-0000-0000-0000370A0000}"/>
    <cellStyle name="RISKinNumber 2 4" xfId="2616" xr:uid="{00000000-0005-0000-0000-0000380A0000}"/>
    <cellStyle name="RISKinNumber 2 5" xfId="2617" xr:uid="{00000000-0005-0000-0000-0000390A0000}"/>
    <cellStyle name="RISKinNumber 2 6" xfId="2618" xr:uid="{00000000-0005-0000-0000-00003A0A0000}"/>
    <cellStyle name="RISKinNumber 2_ActiFijos" xfId="2619" xr:uid="{00000000-0005-0000-0000-00003B0A0000}"/>
    <cellStyle name="RISKinNumber 3" xfId="2620" xr:uid="{00000000-0005-0000-0000-00003C0A0000}"/>
    <cellStyle name="RISKinNumber 3 2" xfId="2621" xr:uid="{00000000-0005-0000-0000-00003D0A0000}"/>
    <cellStyle name="RISKinNumber 3 3" xfId="2622" xr:uid="{00000000-0005-0000-0000-00003E0A0000}"/>
    <cellStyle name="RISKinNumber 3 4" xfId="2623" xr:uid="{00000000-0005-0000-0000-00003F0A0000}"/>
    <cellStyle name="RISKinNumber 3 5" xfId="2624" xr:uid="{00000000-0005-0000-0000-0000400A0000}"/>
    <cellStyle name="RISKinNumber 3 6" xfId="2625" xr:uid="{00000000-0005-0000-0000-0000410A0000}"/>
    <cellStyle name="RISKinNumber 3_ActiFijos" xfId="2626" xr:uid="{00000000-0005-0000-0000-0000420A0000}"/>
    <cellStyle name="RISKinNumber 4" xfId="2627" xr:uid="{00000000-0005-0000-0000-0000430A0000}"/>
    <cellStyle name="RISKinNumber 4 2" xfId="2628" xr:uid="{00000000-0005-0000-0000-0000440A0000}"/>
    <cellStyle name="RISKinNumber 4 3" xfId="2629" xr:uid="{00000000-0005-0000-0000-0000450A0000}"/>
    <cellStyle name="RISKinNumber 4 4" xfId="2630" xr:uid="{00000000-0005-0000-0000-0000460A0000}"/>
    <cellStyle name="RISKinNumber 4 5" xfId="2631" xr:uid="{00000000-0005-0000-0000-0000470A0000}"/>
    <cellStyle name="RISKinNumber 4 6" xfId="2632" xr:uid="{00000000-0005-0000-0000-0000480A0000}"/>
    <cellStyle name="RISKinNumber 4_ActiFijos" xfId="2633" xr:uid="{00000000-0005-0000-0000-0000490A0000}"/>
    <cellStyle name="RISKinNumber_Bases_Generales" xfId="2634" xr:uid="{00000000-0005-0000-0000-00004A0A0000}"/>
    <cellStyle name="RISKlandrEdge" xfId="2635" xr:uid="{00000000-0005-0000-0000-00004B0A0000}"/>
    <cellStyle name="RISKlandrEdge 2" xfId="2636" xr:uid="{00000000-0005-0000-0000-00004C0A0000}"/>
    <cellStyle name="RISKlandrEdge 2 2" xfId="2637" xr:uid="{00000000-0005-0000-0000-00004D0A0000}"/>
    <cellStyle name="RISKlandrEdge 2 2 2" xfId="6049" xr:uid="{00000000-0005-0000-0000-0000A1170000}"/>
    <cellStyle name="RISKlandrEdge 2 3" xfId="2638" xr:uid="{00000000-0005-0000-0000-00004E0A0000}"/>
    <cellStyle name="RISKlandrEdge 2 3 2" xfId="6050" xr:uid="{00000000-0005-0000-0000-0000A2170000}"/>
    <cellStyle name="RISKlandrEdge 2 4" xfId="2639" xr:uid="{00000000-0005-0000-0000-00004F0A0000}"/>
    <cellStyle name="RISKlandrEdge 2 4 2" xfId="6051" xr:uid="{00000000-0005-0000-0000-0000A3170000}"/>
    <cellStyle name="RISKlandrEdge 2 5" xfId="2640" xr:uid="{00000000-0005-0000-0000-0000500A0000}"/>
    <cellStyle name="RISKlandrEdge 2 5 2" xfId="6052" xr:uid="{00000000-0005-0000-0000-0000A4170000}"/>
    <cellStyle name="RISKlandrEdge 2 6" xfId="2641" xr:uid="{00000000-0005-0000-0000-0000510A0000}"/>
    <cellStyle name="RISKlandrEdge 2 6 2" xfId="6053" xr:uid="{00000000-0005-0000-0000-0000A5170000}"/>
    <cellStyle name="RISKlandrEdge 2 7" xfId="6054" xr:uid="{00000000-0005-0000-0000-0000A6170000}"/>
    <cellStyle name="RISKlandrEdge 3" xfId="2642" xr:uid="{00000000-0005-0000-0000-0000520A0000}"/>
    <cellStyle name="RISKlandrEdge 3 2" xfId="2643" xr:uid="{00000000-0005-0000-0000-0000530A0000}"/>
    <cellStyle name="RISKlandrEdge 3 2 2" xfId="6055" xr:uid="{00000000-0005-0000-0000-0000A7170000}"/>
    <cellStyle name="RISKlandrEdge 3 3" xfId="2644" xr:uid="{00000000-0005-0000-0000-0000540A0000}"/>
    <cellStyle name="RISKlandrEdge 3 3 2" xfId="6056" xr:uid="{00000000-0005-0000-0000-0000A8170000}"/>
    <cellStyle name="RISKlandrEdge 3 4" xfId="2645" xr:uid="{00000000-0005-0000-0000-0000550A0000}"/>
    <cellStyle name="RISKlandrEdge 3 4 2" xfId="6057" xr:uid="{00000000-0005-0000-0000-0000A9170000}"/>
    <cellStyle name="RISKlandrEdge 3 5" xfId="2646" xr:uid="{00000000-0005-0000-0000-0000560A0000}"/>
    <cellStyle name="RISKlandrEdge 3 5 2" xfId="6058" xr:uid="{00000000-0005-0000-0000-0000AA170000}"/>
    <cellStyle name="RISKlandrEdge 3 6" xfId="2647" xr:uid="{00000000-0005-0000-0000-0000570A0000}"/>
    <cellStyle name="RISKlandrEdge 3 6 2" xfId="6059" xr:uid="{00000000-0005-0000-0000-0000AB170000}"/>
    <cellStyle name="RISKlandrEdge 3 7" xfId="6060" xr:uid="{00000000-0005-0000-0000-0000AC170000}"/>
    <cellStyle name="RISKlandrEdge 4" xfId="2648" xr:uid="{00000000-0005-0000-0000-0000580A0000}"/>
    <cellStyle name="RISKlandrEdge 4 2" xfId="2649" xr:uid="{00000000-0005-0000-0000-0000590A0000}"/>
    <cellStyle name="RISKlandrEdge 4 2 2" xfId="6061" xr:uid="{00000000-0005-0000-0000-0000AD170000}"/>
    <cellStyle name="RISKlandrEdge 4 3" xfId="2650" xr:uid="{00000000-0005-0000-0000-00005A0A0000}"/>
    <cellStyle name="RISKlandrEdge 4 3 2" xfId="6062" xr:uid="{00000000-0005-0000-0000-0000AE170000}"/>
    <cellStyle name="RISKlandrEdge 4 4" xfId="2651" xr:uid="{00000000-0005-0000-0000-00005B0A0000}"/>
    <cellStyle name="RISKlandrEdge 4 4 2" xfId="6063" xr:uid="{00000000-0005-0000-0000-0000AF170000}"/>
    <cellStyle name="RISKlandrEdge 4 5" xfId="2652" xr:uid="{00000000-0005-0000-0000-00005C0A0000}"/>
    <cellStyle name="RISKlandrEdge 4 5 2" xfId="6064" xr:uid="{00000000-0005-0000-0000-0000B0170000}"/>
    <cellStyle name="RISKlandrEdge 4 6" xfId="2653" xr:uid="{00000000-0005-0000-0000-00005D0A0000}"/>
    <cellStyle name="RISKlandrEdge 4 6 2" xfId="6065" xr:uid="{00000000-0005-0000-0000-0000B1170000}"/>
    <cellStyle name="RISKlandrEdge 4 7" xfId="6066" xr:uid="{00000000-0005-0000-0000-0000B2170000}"/>
    <cellStyle name="RISKlandrEdge 5" xfId="6067" xr:uid="{00000000-0005-0000-0000-0000B3170000}"/>
    <cellStyle name="RISKleftEdge" xfId="2654" xr:uid="{00000000-0005-0000-0000-00005E0A0000}"/>
    <cellStyle name="RISKleftEdge 2" xfId="2655" xr:uid="{00000000-0005-0000-0000-00005F0A0000}"/>
    <cellStyle name="RISKleftEdge 2 2" xfId="2656" xr:uid="{00000000-0005-0000-0000-0000600A0000}"/>
    <cellStyle name="RISKleftEdge 2 2 2" xfId="6068" xr:uid="{00000000-0005-0000-0000-0000B4170000}"/>
    <cellStyle name="RISKleftEdge 2 3" xfId="2657" xr:uid="{00000000-0005-0000-0000-0000610A0000}"/>
    <cellStyle name="RISKleftEdge 2 3 2" xfId="6069" xr:uid="{00000000-0005-0000-0000-0000B5170000}"/>
    <cellStyle name="RISKleftEdge 2 4" xfId="2658" xr:uid="{00000000-0005-0000-0000-0000620A0000}"/>
    <cellStyle name="RISKleftEdge 2 4 2" xfId="6070" xr:uid="{00000000-0005-0000-0000-0000B6170000}"/>
    <cellStyle name="RISKleftEdge 2 5" xfId="2659" xr:uid="{00000000-0005-0000-0000-0000630A0000}"/>
    <cellStyle name="RISKleftEdge 2 5 2" xfId="6071" xr:uid="{00000000-0005-0000-0000-0000B7170000}"/>
    <cellStyle name="RISKleftEdge 2 6" xfId="2660" xr:uid="{00000000-0005-0000-0000-0000640A0000}"/>
    <cellStyle name="RISKleftEdge 2 6 2" xfId="6072" xr:uid="{00000000-0005-0000-0000-0000B8170000}"/>
    <cellStyle name="RISKleftEdge 2 7" xfId="6073" xr:uid="{00000000-0005-0000-0000-0000B9170000}"/>
    <cellStyle name="RISKleftEdge 3" xfId="2661" xr:uid="{00000000-0005-0000-0000-0000650A0000}"/>
    <cellStyle name="RISKleftEdge 3 2" xfId="2662" xr:uid="{00000000-0005-0000-0000-0000660A0000}"/>
    <cellStyle name="RISKleftEdge 3 2 2" xfId="6074" xr:uid="{00000000-0005-0000-0000-0000BA170000}"/>
    <cellStyle name="RISKleftEdge 3 3" xfId="2663" xr:uid="{00000000-0005-0000-0000-0000670A0000}"/>
    <cellStyle name="RISKleftEdge 3 3 2" xfId="6075" xr:uid="{00000000-0005-0000-0000-0000BB170000}"/>
    <cellStyle name="RISKleftEdge 3 4" xfId="2664" xr:uid="{00000000-0005-0000-0000-0000680A0000}"/>
    <cellStyle name="RISKleftEdge 3 4 2" xfId="6076" xr:uid="{00000000-0005-0000-0000-0000BC170000}"/>
    <cellStyle name="RISKleftEdge 3 5" xfId="2665" xr:uid="{00000000-0005-0000-0000-0000690A0000}"/>
    <cellStyle name="RISKleftEdge 3 5 2" xfId="6077" xr:uid="{00000000-0005-0000-0000-0000BD170000}"/>
    <cellStyle name="RISKleftEdge 3 6" xfId="2666" xr:uid="{00000000-0005-0000-0000-00006A0A0000}"/>
    <cellStyle name="RISKleftEdge 3 6 2" xfId="6078" xr:uid="{00000000-0005-0000-0000-0000BE170000}"/>
    <cellStyle name="RISKleftEdge 3 7" xfId="6079" xr:uid="{00000000-0005-0000-0000-0000BF170000}"/>
    <cellStyle name="RISKleftEdge 4" xfId="2667" xr:uid="{00000000-0005-0000-0000-00006B0A0000}"/>
    <cellStyle name="RISKleftEdge 4 2" xfId="2668" xr:uid="{00000000-0005-0000-0000-00006C0A0000}"/>
    <cellStyle name="RISKleftEdge 4 2 2" xfId="6080" xr:uid="{00000000-0005-0000-0000-0000C0170000}"/>
    <cellStyle name="RISKleftEdge 4 3" xfId="2669" xr:uid="{00000000-0005-0000-0000-00006D0A0000}"/>
    <cellStyle name="RISKleftEdge 4 3 2" xfId="6081" xr:uid="{00000000-0005-0000-0000-0000C1170000}"/>
    <cellStyle name="RISKleftEdge 4 4" xfId="2670" xr:uid="{00000000-0005-0000-0000-00006E0A0000}"/>
    <cellStyle name="RISKleftEdge 4 4 2" xfId="6082" xr:uid="{00000000-0005-0000-0000-0000C2170000}"/>
    <cellStyle name="RISKleftEdge 4 5" xfId="2671" xr:uid="{00000000-0005-0000-0000-00006F0A0000}"/>
    <cellStyle name="RISKleftEdge 4 5 2" xfId="6083" xr:uid="{00000000-0005-0000-0000-0000C3170000}"/>
    <cellStyle name="RISKleftEdge 4 6" xfId="2672" xr:uid="{00000000-0005-0000-0000-0000700A0000}"/>
    <cellStyle name="RISKleftEdge 4 6 2" xfId="6084" xr:uid="{00000000-0005-0000-0000-0000C4170000}"/>
    <cellStyle name="RISKleftEdge 4 7" xfId="6085" xr:uid="{00000000-0005-0000-0000-0000C5170000}"/>
    <cellStyle name="RISKleftEdge 5" xfId="6086" xr:uid="{00000000-0005-0000-0000-0000C6170000}"/>
    <cellStyle name="RISKlightBoxed" xfId="2673" xr:uid="{00000000-0005-0000-0000-0000710A0000}"/>
    <cellStyle name="RISKlightBoxed 2" xfId="2674" xr:uid="{00000000-0005-0000-0000-0000720A0000}"/>
    <cellStyle name="RISKlightBoxed 2 2" xfId="2675" xr:uid="{00000000-0005-0000-0000-0000730A0000}"/>
    <cellStyle name="RISKlightBoxed 2 2 2" xfId="2676" xr:uid="{00000000-0005-0000-0000-0000740A0000}"/>
    <cellStyle name="RISKlightBoxed 2 2 2 2" xfId="6087" xr:uid="{00000000-0005-0000-0000-0000C7170000}"/>
    <cellStyle name="RISKlightBoxed 2 2 3" xfId="6088" xr:uid="{00000000-0005-0000-0000-0000C8170000}"/>
    <cellStyle name="RISKlightBoxed 2 3" xfId="2677" xr:uid="{00000000-0005-0000-0000-0000750A0000}"/>
    <cellStyle name="RISKlightBoxed 2 3 2" xfId="2678" xr:uid="{00000000-0005-0000-0000-0000760A0000}"/>
    <cellStyle name="RISKlightBoxed 2 3 2 2" xfId="6089" xr:uid="{00000000-0005-0000-0000-0000C9170000}"/>
    <cellStyle name="RISKlightBoxed 2 3 3" xfId="6090" xr:uid="{00000000-0005-0000-0000-0000CA170000}"/>
    <cellStyle name="RISKlightBoxed 2 4" xfId="2679" xr:uid="{00000000-0005-0000-0000-0000770A0000}"/>
    <cellStyle name="RISKlightBoxed 2 4 2" xfId="2680" xr:uid="{00000000-0005-0000-0000-0000780A0000}"/>
    <cellStyle name="RISKlightBoxed 2 4 2 2" xfId="6091" xr:uid="{00000000-0005-0000-0000-0000CB170000}"/>
    <cellStyle name="RISKlightBoxed 2 4 3" xfId="6092" xr:uid="{00000000-0005-0000-0000-0000CC170000}"/>
    <cellStyle name="RISKlightBoxed 2 5" xfId="2681" xr:uid="{00000000-0005-0000-0000-0000790A0000}"/>
    <cellStyle name="RISKlightBoxed 2 5 2" xfId="6093" xr:uid="{00000000-0005-0000-0000-0000CD170000}"/>
    <cellStyle name="RISKlightBoxed 2 6" xfId="2682" xr:uid="{00000000-0005-0000-0000-00007A0A0000}"/>
    <cellStyle name="RISKlightBoxed 2 6 2" xfId="6094" xr:uid="{00000000-0005-0000-0000-0000CE170000}"/>
    <cellStyle name="RISKlightBoxed 2 7" xfId="6095" xr:uid="{00000000-0005-0000-0000-0000CF170000}"/>
    <cellStyle name="RISKlightBoxed 3" xfId="2683" xr:uid="{00000000-0005-0000-0000-00007B0A0000}"/>
    <cellStyle name="RISKlightBoxed 3 2" xfId="2684" xr:uid="{00000000-0005-0000-0000-00007C0A0000}"/>
    <cellStyle name="RISKlightBoxed 3 2 2" xfId="2685" xr:uid="{00000000-0005-0000-0000-00007D0A0000}"/>
    <cellStyle name="RISKlightBoxed 3 2 2 2" xfId="6096" xr:uid="{00000000-0005-0000-0000-0000D0170000}"/>
    <cellStyle name="RISKlightBoxed 3 2 3" xfId="6097" xr:uid="{00000000-0005-0000-0000-0000D1170000}"/>
    <cellStyle name="RISKlightBoxed 3 3" xfId="2686" xr:uid="{00000000-0005-0000-0000-00007E0A0000}"/>
    <cellStyle name="RISKlightBoxed 3 3 2" xfId="2687" xr:uid="{00000000-0005-0000-0000-00007F0A0000}"/>
    <cellStyle name="RISKlightBoxed 3 3 2 2" xfId="6098" xr:uid="{00000000-0005-0000-0000-0000D2170000}"/>
    <cellStyle name="RISKlightBoxed 3 3 3" xfId="6099" xr:uid="{00000000-0005-0000-0000-0000D3170000}"/>
    <cellStyle name="RISKlightBoxed 3 4" xfId="2688" xr:uid="{00000000-0005-0000-0000-0000800A0000}"/>
    <cellStyle name="RISKlightBoxed 3 4 2" xfId="2689" xr:uid="{00000000-0005-0000-0000-0000810A0000}"/>
    <cellStyle name="RISKlightBoxed 3 4 2 2" xfId="6100" xr:uid="{00000000-0005-0000-0000-0000D4170000}"/>
    <cellStyle name="RISKlightBoxed 3 4 3" xfId="6101" xr:uid="{00000000-0005-0000-0000-0000D5170000}"/>
    <cellStyle name="RISKlightBoxed 3 5" xfId="2690" xr:uid="{00000000-0005-0000-0000-0000820A0000}"/>
    <cellStyle name="RISKlightBoxed 3 5 2" xfId="6102" xr:uid="{00000000-0005-0000-0000-0000D6170000}"/>
    <cellStyle name="RISKlightBoxed 3 6" xfId="2691" xr:uid="{00000000-0005-0000-0000-0000830A0000}"/>
    <cellStyle name="RISKlightBoxed 3 6 2" xfId="6103" xr:uid="{00000000-0005-0000-0000-0000D7170000}"/>
    <cellStyle name="RISKlightBoxed 3 7" xfId="6104" xr:uid="{00000000-0005-0000-0000-0000D8170000}"/>
    <cellStyle name="RISKlightBoxed 4" xfId="2692" xr:uid="{00000000-0005-0000-0000-0000840A0000}"/>
    <cellStyle name="RISKlightBoxed 4 2" xfId="2693" xr:uid="{00000000-0005-0000-0000-0000850A0000}"/>
    <cellStyle name="RISKlightBoxed 4 2 2" xfId="2694" xr:uid="{00000000-0005-0000-0000-0000860A0000}"/>
    <cellStyle name="RISKlightBoxed 4 2 2 2" xfId="6105" xr:uid="{00000000-0005-0000-0000-0000D9170000}"/>
    <cellStyle name="RISKlightBoxed 4 2 3" xfId="6106" xr:uid="{00000000-0005-0000-0000-0000DA170000}"/>
    <cellStyle name="RISKlightBoxed 4 3" xfId="2695" xr:uid="{00000000-0005-0000-0000-0000870A0000}"/>
    <cellStyle name="RISKlightBoxed 4 3 2" xfId="2696" xr:uid="{00000000-0005-0000-0000-0000880A0000}"/>
    <cellStyle name="RISKlightBoxed 4 3 2 2" xfId="6107" xr:uid="{00000000-0005-0000-0000-0000DB170000}"/>
    <cellStyle name="RISKlightBoxed 4 3 3" xfId="6108" xr:uid="{00000000-0005-0000-0000-0000DC170000}"/>
    <cellStyle name="RISKlightBoxed 4 4" xfId="2697" xr:uid="{00000000-0005-0000-0000-0000890A0000}"/>
    <cellStyle name="RISKlightBoxed 4 4 2" xfId="2698" xr:uid="{00000000-0005-0000-0000-00008A0A0000}"/>
    <cellStyle name="RISKlightBoxed 4 4 2 2" xfId="6109" xr:uid="{00000000-0005-0000-0000-0000DD170000}"/>
    <cellStyle name="RISKlightBoxed 4 4 3" xfId="6110" xr:uid="{00000000-0005-0000-0000-0000DE170000}"/>
    <cellStyle name="RISKlightBoxed 4 5" xfId="2699" xr:uid="{00000000-0005-0000-0000-00008B0A0000}"/>
    <cellStyle name="RISKlightBoxed 4 5 2" xfId="6111" xr:uid="{00000000-0005-0000-0000-0000DF170000}"/>
    <cellStyle name="RISKlightBoxed 4 6" xfId="2700" xr:uid="{00000000-0005-0000-0000-00008C0A0000}"/>
    <cellStyle name="RISKlightBoxed 4 6 2" xfId="6112" xr:uid="{00000000-0005-0000-0000-0000E0170000}"/>
    <cellStyle name="RISKlightBoxed 4 7" xfId="6113" xr:uid="{00000000-0005-0000-0000-0000E1170000}"/>
    <cellStyle name="RISKlightBoxed 5" xfId="2701" xr:uid="{00000000-0005-0000-0000-00008D0A0000}"/>
    <cellStyle name="RISKlightBoxed 5 2" xfId="6114" xr:uid="{00000000-0005-0000-0000-0000E2170000}"/>
    <cellStyle name="RISKlightBoxed 6" xfId="2702" xr:uid="{00000000-0005-0000-0000-00008E0A0000}"/>
    <cellStyle name="RISKlightBoxed 6 2" xfId="6115" xr:uid="{00000000-0005-0000-0000-0000E3170000}"/>
    <cellStyle name="RISKlightBoxed 7" xfId="2703" xr:uid="{00000000-0005-0000-0000-00008F0A0000}"/>
    <cellStyle name="RISKlightBoxed 7 2" xfId="6116" xr:uid="{00000000-0005-0000-0000-0000E4170000}"/>
    <cellStyle name="RISKlightBoxed 8" xfId="6117" xr:uid="{00000000-0005-0000-0000-0000E5170000}"/>
    <cellStyle name="RISKlightBoxed_Información relacionada" xfId="2704" xr:uid="{00000000-0005-0000-0000-0000900A0000}"/>
    <cellStyle name="RISKltandbEdge" xfId="2705" xr:uid="{00000000-0005-0000-0000-0000910A0000}"/>
    <cellStyle name="RISKltandbEdge 2" xfId="2706" xr:uid="{00000000-0005-0000-0000-0000920A0000}"/>
    <cellStyle name="RISKltandbEdge 2 2" xfId="2707" xr:uid="{00000000-0005-0000-0000-0000930A0000}"/>
    <cellStyle name="RISKltandbEdge 2 2 2" xfId="2708" xr:uid="{00000000-0005-0000-0000-0000940A0000}"/>
    <cellStyle name="RISKltandbEdge 2 2 2 2" xfId="6118" xr:uid="{00000000-0005-0000-0000-0000E6170000}"/>
    <cellStyle name="RISKltandbEdge 2 2 3" xfId="6119" xr:uid="{00000000-0005-0000-0000-0000E7170000}"/>
    <cellStyle name="RISKltandbEdge 2 3" xfId="2709" xr:uid="{00000000-0005-0000-0000-0000950A0000}"/>
    <cellStyle name="RISKltandbEdge 2 3 2" xfId="2710" xr:uid="{00000000-0005-0000-0000-0000960A0000}"/>
    <cellStyle name="RISKltandbEdge 2 3 2 2" xfId="6120" xr:uid="{00000000-0005-0000-0000-0000E8170000}"/>
    <cellStyle name="RISKltandbEdge 2 3 3" xfId="6121" xr:uid="{00000000-0005-0000-0000-0000E9170000}"/>
    <cellStyle name="RISKltandbEdge 2 4" xfId="2711" xr:uid="{00000000-0005-0000-0000-0000970A0000}"/>
    <cellStyle name="RISKltandbEdge 2 4 2" xfId="2712" xr:uid="{00000000-0005-0000-0000-0000980A0000}"/>
    <cellStyle name="RISKltandbEdge 2 4 2 2" xfId="6122" xr:uid="{00000000-0005-0000-0000-0000EA170000}"/>
    <cellStyle name="RISKltandbEdge 2 4 3" xfId="6123" xr:uid="{00000000-0005-0000-0000-0000EB170000}"/>
    <cellStyle name="RISKltandbEdge 2 5" xfId="2713" xr:uid="{00000000-0005-0000-0000-0000990A0000}"/>
    <cellStyle name="RISKltandbEdge 2 5 2" xfId="6124" xr:uid="{00000000-0005-0000-0000-0000EC170000}"/>
    <cellStyle name="RISKltandbEdge 2 6" xfId="2714" xr:uid="{00000000-0005-0000-0000-00009A0A0000}"/>
    <cellStyle name="RISKltandbEdge 2 6 2" xfId="6125" xr:uid="{00000000-0005-0000-0000-0000ED170000}"/>
    <cellStyle name="RISKltandbEdge 2 7" xfId="6126" xr:uid="{00000000-0005-0000-0000-0000EE170000}"/>
    <cellStyle name="RISKltandbEdge 3" xfId="2715" xr:uid="{00000000-0005-0000-0000-00009B0A0000}"/>
    <cellStyle name="RISKltandbEdge 3 2" xfId="2716" xr:uid="{00000000-0005-0000-0000-00009C0A0000}"/>
    <cellStyle name="RISKltandbEdge 3 2 2" xfId="2717" xr:uid="{00000000-0005-0000-0000-00009D0A0000}"/>
    <cellStyle name="RISKltandbEdge 3 2 2 2" xfId="6127" xr:uid="{00000000-0005-0000-0000-0000EF170000}"/>
    <cellStyle name="RISKltandbEdge 3 2 3" xfId="6128" xr:uid="{00000000-0005-0000-0000-0000F0170000}"/>
    <cellStyle name="RISKltandbEdge 3 3" xfId="2718" xr:uid="{00000000-0005-0000-0000-00009E0A0000}"/>
    <cellStyle name="RISKltandbEdge 3 3 2" xfId="2719" xr:uid="{00000000-0005-0000-0000-00009F0A0000}"/>
    <cellStyle name="RISKltandbEdge 3 3 2 2" xfId="6129" xr:uid="{00000000-0005-0000-0000-0000F1170000}"/>
    <cellStyle name="RISKltandbEdge 3 3 3" xfId="6130" xr:uid="{00000000-0005-0000-0000-0000F2170000}"/>
    <cellStyle name="RISKltandbEdge 3 4" xfId="2720" xr:uid="{00000000-0005-0000-0000-0000A00A0000}"/>
    <cellStyle name="RISKltandbEdge 3 4 2" xfId="2721" xr:uid="{00000000-0005-0000-0000-0000A10A0000}"/>
    <cellStyle name="RISKltandbEdge 3 4 2 2" xfId="6131" xr:uid="{00000000-0005-0000-0000-0000F3170000}"/>
    <cellStyle name="RISKltandbEdge 3 4 3" xfId="6132" xr:uid="{00000000-0005-0000-0000-0000F4170000}"/>
    <cellStyle name="RISKltandbEdge 3 5" xfId="2722" xr:uid="{00000000-0005-0000-0000-0000A20A0000}"/>
    <cellStyle name="RISKltandbEdge 3 5 2" xfId="6133" xr:uid="{00000000-0005-0000-0000-0000F5170000}"/>
    <cellStyle name="RISKltandbEdge 3 6" xfId="2723" xr:uid="{00000000-0005-0000-0000-0000A30A0000}"/>
    <cellStyle name="RISKltandbEdge 3 6 2" xfId="6134" xr:uid="{00000000-0005-0000-0000-0000F6170000}"/>
    <cellStyle name="RISKltandbEdge 3 7" xfId="6135" xr:uid="{00000000-0005-0000-0000-0000F7170000}"/>
    <cellStyle name="RISKltandbEdge 4" xfId="2724" xr:uid="{00000000-0005-0000-0000-0000A40A0000}"/>
    <cellStyle name="RISKltandbEdge 4 2" xfId="2725" xr:uid="{00000000-0005-0000-0000-0000A50A0000}"/>
    <cellStyle name="RISKltandbEdge 4 2 2" xfId="2726" xr:uid="{00000000-0005-0000-0000-0000A60A0000}"/>
    <cellStyle name="RISKltandbEdge 4 2 2 2" xfId="6136" xr:uid="{00000000-0005-0000-0000-0000F8170000}"/>
    <cellStyle name="RISKltandbEdge 4 2 3" xfId="6137" xr:uid="{00000000-0005-0000-0000-0000F9170000}"/>
    <cellStyle name="RISKltandbEdge 4 3" xfId="2727" xr:uid="{00000000-0005-0000-0000-0000A70A0000}"/>
    <cellStyle name="RISKltandbEdge 4 3 2" xfId="2728" xr:uid="{00000000-0005-0000-0000-0000A80A0000}"/>
    <cellStyle name="RISKltandbEdge 4 3 2 2" xfId="6138" xr:uid="{00000000-0005-0000-0000-0000FA170000}"/>
    <cellStyle name="RISKltandbEdge 4 3 3" xfId="6139" xr:uid="{00000000-0005-0000-0000-0000FB170000}"/>
    <cellStyle name="RISKltandbEdge 4 4" xfId="2729" xr:uid="{00000000-0005-0000-0000-0000A90A0000}"/>
    <cellStyle name="RISKltandbEdge 4 4 2" xfId="2730" xr:uid="{00000000-0005-0000-0000-0000AA0A0000}"/>
    <cellStyle name="RISKltandbEdge 4 4 2 2" xfId="6140" xr:uid="{00000000-0005-0000-0000-0000FC170000}"/>
    <cellStyle name="RISKltandbEdge 4 4 3" xfId="6141" xr:uid="{00000000-0005-0000-0000-0000FD170000}"/>
    <cellStyle name="RISKltandbEdge 4 5" xfId="2731" xr:uid="{00000000-0005-0000-0000-0000AB0A0000}"/>
    <cellStyle name="RISKltandbEdge 4 5 2" xfId="6142" xr:uid="{00000000-0005-0000-0000-0000FE170000}"/>
    <cellStyle name="RISKltandbEdge 4 6" xfId="2732" xr:uid="{00000000-0005-0000-0000-0000AC0A0000}"/>
    <cellStyle name="RISKltandbEdge 4 6 2" xfId="6143" xr:uid="{00000000-0005-0000-0000-0000FF170000}"/>
    <cellStyle name="RISKltandbEdge 4 7" xfId="6144" xr:uid="{00000000-0005-0000-0000-000000180000}"/>
    <cellStyle name="RISKltandbEdge 5" xfId="2733" xr:uid="{00000000-0005-0000-0000-0000AD0A0000}"/>
    <cellStyle name="RISKltandbEdge 5 2" xfId="6145" xr:uid="{00000000-0005-0000-0000-000001180000}"/>
    <cellStyle name="RISKltandbEdge 6" xfId="2734" xr:uid="{00000000-0005-0000-0000-0000AE0A0000}"/>
    <cellStyle name="RISKltandbEdge 6 2" xfId="6146" xr:uid="{00000000-0005-0000-0000-000002180000}"/>
    <cellStyle name="RISKltandbEdge 7" xfId="2735" xr:uid="{00000000-0005-0000-0000-0000AF0A0000}"/>
    <cellStyle name="RISKltandbEdge 7 2" xfId="6147" xr:uid="{00000000-0005-0000-0000-000003180000}"/>
    <cellStyle name="RISKltandbEdge 8" xfId="6148" xr:uid="{00000000-0005-0000-0000-000004180000}"/>
    <cellStyle name="RISKltandbEdge_PyG" xfId="2736" xr:uid="{00000000-0005-0000-0000-0000B00A0000}"/>
    <cellStyle name="RISKnormBoxed" xfId="2737" xr:uid="{00000000-0005-0000-0000-0000B10A0000}"/>
    <cellStyle name="RISKnormBoxed 2" xfId="2738" xr:uid="{00000000-0005-0000-0000-0000B20A0000}"/>
    <cellStyle name="RISKnormBoxed 2 2" xfId="2739" xr:uid="{00000000-0005-0000-0000-0000B30A0000}"/>
    <cellStyle name="RISKnormBoxed 2 2 2" xfId="2740" xr:uid="{00000000-0005-0000-0000-0000B40A0000}"/>
    <cellStyle name="RISKnormBoxed 2 2 2 2" xfId="6149" xr:uid="{00000000-0005-0000-0000-000005180000}"/>
    <cellStyle name="RISKnormBoxed 2 2 3" xfId="6150" xr:uid="{00000000-0005-0000-0000-000006180000}"/>
    <cellStyle name="RISKnormBoxed 2 3" xfId="2741" xr:uid="{00000000-0005-0000-0000-0000B50A0000}"/>
    <cellStyle name="RISKnormBoxed 2 3 2" xfId="2742" xr:uid="{00000000-0005-0000-0000-0000B60A0000}"/>
    <cellStyle name="RISKnormBoxed 2 3 2 2" xfId="6151" xr:uid="{00000000-0005-0000-0000-000007180000}"/>
    <cellStyle name="RISKnormBoxed 2 3 3" xfId="6152" xr:uid="{00000000-0005-0000-0000-000008180000}"/>
    <cellStyle name="RISKnormBoxed 2 4" xfId="2743" xr:uid="{00000000-0005-0000-0000-0000B70A0000}"/>
    <cellStyle name="RISKnormBoxed 2 4 2" xfId="2744" xr:uid="{00000000-0005-0000-0000-0000B80A0000}"/>
    <cellStyle name="RISKnormBoxed 2 4 2 2" xfId="6153" xr:uid="{00000000-0005-0000-0000-000009180000}"/>
    <cellStyle name="RISKnormBoxed 2 4 3" xfId="6154" xr:uid="{00000000-0005-0000-0000-00000A180000}"/>
    <cellStyle name="RISKnormBoxed 2 5" xfId="2745" xr:uid="{00000000-0005-0000-0000-0000B90A0000}"/>
    <cellStyle name="RISKnormBoxed 2 5 2" xfId="6155" xr:uid="{00000000-0005-0000-0000-00000B180000}"/>
    <cellStyle name="RISKnormBoxed 2 6" xfId="2746" xr:uid="{00000000-0005-0000-0000-0000BA0A0000}"/>
    <cellStyle name="RISKnormBoxed 2 6 2" xfId="6156" xr:uid="{00000000-0005-0000-0000-00000C180000}"/>
    <cellStyle name="RISKnormBoxed 2 7" xfId="6157" xr:uid="{00000000-0005-0000-0000-00000D180000}"/>
    <cellStyle name="RISKnormBoxed 3" xfId="2747" xr:uid="{00000000-0005-0000-0000-0000BB0A0000}"/>
    <cellStyle name="RISKnormBoxed 3 2" xfId="2748" xr:uid="{00000000-0005-0000-0000-0000BC0A0000}"/>
    <cellStyle name="RISKnormBoxed 3 2 2" xfId="2749" xr:uid="{00000000-0005-0000-0000-0000BD0A0000}"/>
    <cellStyle name="RISKnormBoxed 3 2 2 2" xfId="6158" xr:uid="{00000000-0005-0000-0000-00000E180000}"/>
    <cellStyle name="RISKnormBoxed 3 2 3" xfId="6159" xr:uid="{00000000-0005-0000-0000-00000F180000}"/>
    <cellStyle name="RISKnormBoxed 3 3" xfId="2750" xr:uid="{00000000-0005-0000-0000-0000BE0A0000}"/>
    <cellStyle name="RISKnormBoxed 3 3 2" xfId="2751" xr:uid="{00000000-0005-0000-0000-0000BF0A0000}"/>
    <cellStyle name="RISKnormBoxed 3 3 2 2" xfId="6160" xr:uid="{00000000-0005-0000-0000-000010180000}"/>
    <cellStyle name="RISKnormBoxed 3 3 3" xfId="6161" xr:uid="{00000000-0005-0000-0000-000011180000}"/>
    <cellStyle name="RISKnormBoxed 3 4" xfId="2752" xr:uid="{00000000-0005-0000-0000-0000C00A0000}"/>
    <cellStyle name="RISKnormBoxed 3 4 2" xfId="2753" xr:uid="{00000000-0005-0000-0000-0000C10A0000}"/>
    <cellStyle name="RISKnormBoxed 3 4 2 2" xfId="6162" xr:uid="{00000000-0005-0000-0000-000012180000}"/>
    <cellStyle name="RISKnormBoxed 3 4 3" xfId="6163" xr:uid="{00000000-0005-0000-0000-000013180000}"/>
    <cellStyle name="RISKnormBoxed 3 5" xfId="2754" xr:uid="{00000000-0005-0000-0000-0000C20A0000}"/>
    <cellStyle name="RISKnormBoxed 3 5 2" xfId="6164" xr:uid="{00000000-0005-0000-0000-000014180000}"/>
    <cellStyle name="RISKnormBoxed 3 6" xfId="2755" xr:uid="{00000000-0005-0000-0000-0000C30A0000}"/>
    <cellStyle name="RISKnormBoxed 3 6 2" xfId="6165" xr:uid="{00000000-0005-0000-0000-000015180000}"/>
    <cellStyle name="RISKnormBoxed 3 7" xfId="6166" xr:uid="{00000000-0005-0000-0000-000016180000}"/>
    <cellStyle name="RISKnormBoxed 4" xfId="2756" xr:uid="{00000000-0005-0000-0000-0000C40A0000}"/>
    <cellStyle name="RISKnormBoxed 4 2" xfId="2757" xr:uid="{00000000-0005-0000-0000-0000C50A0000}"/>
    <cellStyle name="RISKnormBoxed 4 2 2" xfId="2758" xr:uid="{00000000-0005-0000-0000-0000C60A0000}"/>
    <cellStyle name="RISKnormBoxed 4 2 2 2" xfId="6167" xr:uid="{00000000-0005-0000-0000-000017180000}"/>
    <cellStyle name="RISKnormBoxed 4 2 3" xfId="6168" xr:uid="{00000000-0005-0000-0000-000018180000}"/>
    <cellStyle name="RISKnormBoxed 4 3" xfId="2759" xr:uid="{00000000-0005-0000-0000-0000C70A0000}"/>
    <cellStyle name="RISKnormBoxed 4 3 2" xfId="2760" xr:uid="{00000000-0005-0000-0000-0000C80A0000}"/>
    <cellStyle name="RISKnormBoxed 4 3 2 2" xfId="6169" xr:uid="{00000000-0005-0000-0000-000019180000}"/>
    <cellStyle name="RISKnormBoxed 4 3 3" xfId="6170" xr:uid="{00000000-0005-0000-0000-00001A180000}"/>
    <cellStyle name="RISKnormBoxed 4 4" xfId="2761" xr:uid="{00000000-0005-0000-0000-0000C90A0000}"/>
    <cellStyle name="RISKnormBoxed 4 4 2" xfId="2762" xr:uid="{00000000-0005-0000-0000-0000CA0A0000}"/>
    <cellStyle name="RISKnormBoxed 4 4 2 2" xfId="6171" xr:uid="{00000000-0005-0000-0000-00001B180000}"/>
    <cellStyle name="RISKnormBoxed 4 4 3" xfId="6172" xr:uid="{00000000-0005-0000-0000-00001C180000}"/>
    <cellStyle name="RISKnormBoxed 4 5" xfId="2763" xr:uid="{00000000-0005-0000-0000-0000CB0A0000}"/>
    <cellStyle name="RISKnormBoxed 4 5 2" xfId="6173" xr:uid="{00000000-0005-0000-0000-00001D180000}"/>
    <cellStyle name="RISKnormBoxed 4 6" xfId="2764" xr:uid="{00000000-0005-0000-0000-0000CC0A0000}"/>
    <cellStyle name="RISKnormBoxed 4 6 2" xfId="6174" xr:uid="{00000000-0005-0000-0000-00001E180000}"/>
    <cellStyle name="RISKnormBoxed 4 7" xfId="6175" xr:uid="{00000000-0005-0000-0000-00001F180000}"/>
    <cellStyle name="RISKnormBoxed 5" xfId="2765" xr:uid="{00000000-0005-0000-0000-0000CD0A0000}"/>
    <cellStyle name="RISKnormBoxed 5 2" xfId="6176" xr:uid="{00000000-0005-0000-0000-000020180000}"/>
    <cellStyle name="RISKnormBoxed 6" xfId="2766" xr:uid="{00000000-0005-0000-0000-0000CE0A0000}"/>
    <cellStyle name="RISKnormBoxed 6 2" xfId="6177" xr:uid="{00000000-0005-0000-0000-000021180000}"/>
    <cellStyle name="RISKnormBoxed 7" xfId="2767" xr:uid="{00000000-0005-0000-0000-0000CF0A0000}"/>
    <cellStyle name="RISKnormBoxed 7 2" xfId="6178" xr:uid="{00000000-0005-0000-0000-000022180000}"/>
    <cellStyle name="RISKnormBoxed 8" xfId="6179" xr:uid="{00000000-0005-0000-0000-000023180000}"/>
    <cellStyle name="RISKnormBoxed_Información relacionada" xfId="2768" xr:uid="{00000000-0005-0000-0000-0000D00A0000}"/>
    <cellStyle name="RISKnormCenter" xfId="2769" xr:uid="{00000000-0005-0000-0000-0000D10A0000}"/>
    <cellStyle name="RISKnormCenter 2" xfId="2770" xr:uid="{00000000-0005-0000-0000-0000D20A0000}"/>
    <cellStyle name="RISKnormCenter 2 2" xfId="2771" xr:uid="{00000000-0005-0000-0000-0000D30A0000}"/>
    <cellStyle name="RISKnormCenter 2 2 2" xfId="6180" xr:uid="{00000000-0005-0000-0000-000024180000}"/>
    <cellStyle name="RISKnormCenter 2 3" xfId="2772" xr:uid="{00000000-0005-0000-0000-0000D40A0000}"/>
    <cellStyle name="RISKnormCenter 2 3 2" xfId="6181" xr:uid="{00000000-0005-0000-0000-000025180000}"/>
    <cellStyle name="RISKnormCenter 2 4" xfId="2773" xr:uid="{00000000-0005-0000-0000-0000D50A0000}"/>
    <cellStyle name="RISKnormCenter 2 4 2" xfId="6182" xr:uid="{00000000-0005-0000-0000-000026180000}"/>
    <cellStyle name="RISKnormCenter 2 5" xfId="2774" xr:uid="{00000000-0005-0000-0000-0000D60A0000}"/>
    <cellStyle name="RISKnormCenter 2 5 2" xfId="6183" xr:uid="{00000000-0005-0000-0000-000027180000}"/>
    <cellStyle name="RISKnormCenter 2 6" xfId="2775" xr:uid="{00000000-0005-0000-0000-0000D70A0000}"/>
    <cellStyle name="RISKnormCenter 2 6 2" xfId="6184" xr:uid="{00000000-0005-0000-0000-000028180000}"/>
    <cellStyle name="RISKnormCenter 2 7" xfId="6185" xr:uid="{00000000-0005-0000-0000-000029180000}"/>
    <cellStyle name="RISKnormCenter 3" xfId="2776" xr:uid="{00000000-0005-0000-0000-0000D80A0000}"/>
    <cellStyle name="RISKnormCenter 3 2" xfId="2777" xr:uid="{00000000-0005-0000-0000-0000D90A0000}"/>
    <cellStyle name="RISKnormCenter 3 2 2" xfId="6186" xr:uid="{00000000-0005-0000-0000-00002A180000}"/>
    <cellStyle name="RISKnormCenter 3 3" xfId="2778" xr:uid="{00000000-0005-0000-0000-0000DA0A0000}"/>
    <cellStyle name="RISKnormCenter 3 3 2" xfId="6187" xr:uid="{00000000-0005-0000-0000-00002B180000}"/>
    <cellStyle name="RISKnormCenter 3 4" xfId="2779" xr:uid="{00000000-0005-0000-0000-0000DB0A0000}"/>
    <cellStyle name="RISKnormCenter 3 4 2" xfId="6188" xr:uid="{00000000-0005-0000-0000-00002C180000}"/>
    <cellStyle name="RISKnormCenter 3 5" xfId="2780" xr:uid="{00000000-0005-0000-0000-0000DC0A0000}"/>
    <cellStyle name="RISKnormCenter 3 5 2" xfId="6189" xr:uid="{00000000-0005-0000-0000-00002D180000}"/>
    <cellStyle name="RISKnormCenter 3 6" xfId="2781" xr:uid="{00000000-0005-0000-0000-0000DD0A0000}"/>
    <cellStyle name="RISKnormCenter 3 6 2" xfId="6190" xr:uid="{00000000-0005-0000-0000-00002E180000}"/>
    <cellStyle name="RISKnormCenter 3 7" xfId="6191" xr:uid="{00000000-0005-0000-0000-00002F180000}"/>
    <cellStyle name="RISKnormCenter 4" xfId="2782" xr:uid="{00000000-0005-0000-0000-0000DE0A0000}"/>
    <cellStyle name="RISKnormCenter 4 2" xfId="2783" xr:uid="{00000000-0005-0000-0000-0000DF0A0000}"/>
    <cellStyle name="RISKnormCenter 4 2 2" xfId="6192" xr:uid="{00000000-0005-0000-0000-000030180000}"/>
    <cellStyle name="RISKnormCenter 4 3" xfId="2784" xr:uid="{00000000-0005-0000-0000-0000E00A0000}"/>
    <cellStyle name="RISKnormCenter 4 3 2" xfId="6193" xr:uid="{00000000-0005-0000-0000-000031180000}"/>
    <cellStyle name="RISKnormCenter 4 4" xfId="2785" xr:uid="{00000000-0005-0000-0000-0000E10A0000}"/>
    <cellStyle name="RISKnormCenter 4 4 2" xfId="6194" xr:uid="{00000000-0005-0000-0000-000032180000}"/>
    <cellStyle name="RISKnormCenter 4 5" xfId="2786" xr:uid="{00000000-0005-0000-0000-0000E20A0000}"/>
    <cellStyle name="RISKnormCenter 4 5 2" xfId="6195" xr:uid="{00000000-0005-0000-0000-000033180000}"/>
    <cellStyle name="RISKnormCenter 4 6" xfId="2787" xr:uid="{00000000-0005-0000-0000-0000E30A0000}"/>
    <cellStyle name="RISKnormCenter 4 6 2" xfId="6196" xr:uid="{00000000-0005-0000-0000-000034180000}"/>
    <cellStyle name="RISKnormCenter 4 7" xfId="6197" xr:uid="{00000000-0005-0000-0000-000035180000}"/>
    <cellStyle name="RISKnormCenter 5" xfId="6198" xr:uid="{00000000-0005-0000-0000-000036180000}"/>
    <cellStyle name="RISKnormHeading" xfId="2788" xr:uid="{00000000-0005-0000-0000-0000E40A0000}"/>
    <cellStyle name="RISKnormHeading 2" xfId="2789" xr:uid="{00000000-0005-0000-0000-0000E50A0000}"/>
    <cellStyle name="RISKnormHeading 2 2" xfId="2790" xr:uid="{00000000-0005-0000-0000-0000E60A0000}"/>
    <cellStyle name="RISKnormHeading 2 3" xfId="2791" xr:uid="{00000000-0005-0000-0000-0000E70A0000}"/>
    <cellStyle name="RISKnormHeading 2 4" xfId="2792" xr:uid="{00000000-0005-0000-0000-0000E80A0000}"/>
    <cellStyle name="RISKnormHeading 2 5" xfId="2793" xr:uid="{00000000-0005-0000-0000-0000E90A0000}"/>
    <cellStyle name="RISKnormHeading 2 6" xfId="2794" xr:uid="{00000000-0005-0000-0000-0000EA0A0000}"/>
    <cellStyle name="RISKnormHeading 2_ActiFijos" xfId="2795" xr:uid="{00000000-0005-0000-0000-0000EB0A0000}"/>
    <cellStyle name="RISKnormHeading 3" xfId="2796" xr:uid="{00000000-0005-0000-0000-0000EC0A0000}"/>
    <cellStyle name="RISKnormHeading 3 2" xfId="2797" xr:uid="{00000000-0005-0000-0000-0000ED0A0000}"/>
    <cellStyle name="RISKnormHeading 3 3" xfId="2798" xr:uid="{00000000-0005-0000-0000-0000EE0A0000}"/>
    <cellStyle name="RISKnormHeading 3 4" xfId="2799" xr:uid="{00000000-0005-0000-0000-0000EF0A0000}"/>
    <cellStyle name="RISKnormHeading 3 5" xfId="2800" xr:uid="{00000000-0005-0000-0000-0000F00A0000}"/>
    <cellStyle name="RISKnormHeading 3 6" xfId="2801" xr:uid="{00000000-0005-0000-0000-0000F10A0000}"/>
    <cellStyle name="RISKnormHeading 3_ActiFijos" xfId="2802" xr:uid="{00000000-0005-0000-0000-0000F20A0000}"/>
    <cellStyle name="RISKnormHeading 4" xfId="2803" xr:uid="{00000000-0005-0000-0000-0000F30A0000}"/>
    <cellStyle name="RISKnormHeading 4 2" xfId="2804" xr:uid="{00000000-0005-0000-0000-0000F40A0000}"/>
    <cellStyle name="RISKnormHeading 4 3" xfId="2805" xr:uid="{00000000-0005-0000-0000-0000F50A0000}"/>
    <cellStyle name="RISKnormHeading 4 4" xfId="2806" xr:uid="{00000000-0005-0000-0000-0000F60A0000}"/>
    <cellStyle name="RISKnormHeading 4 5" xfId="2807" xr:uid="{00000000-0005-0000-0000-0000F70A0000}"/>
    <cellStyle name="RISKnormHeading 4 6" xfId="2808" xr:uid="{00000000-0005-0000-0000-0000F80A0000}"/>
    <cellStyle name="RISKnormHeading 4_ActiFijos" xfId="2809" xr:uid="{00000000-0005-0000-0000-0000F90A0000}"/>
    <cellStyle name="RISKnormHeading_Bases_Generales" xfId="2810" xr:uid="{00000000-0005-0000-0000-0000FA0A0000}"/>
    <cellStyle name="RISKnormItal" xfId="2811" xr:uid="{00000000-0005-0000-0000-0000FB0A0000}"/>
    <cellStyle name="RISKnormItal 2" xfId="2812" xr:uid="{00000000-0005-0000-0000-0000FC0A0000}"/>
    <cellStyle name="RISKnormItal 2 2" xfId="2813" xr:uid="{00000000-0005-0000-0000-0000FD0A0000}"/>
    <cellStyle name="RISKnormItal 2 3" xfId="2814" xr:uid="{00000000-0005-0000-0000-0000FE0A0000}"/>
    <cellStyle name="RISKnormItal 2 4" xfId="2815" xr:uid="{00000000-0005-0000-0000-0000FF0A0000}"/>
    <cellStyle name="RISKnormItal 2 5" xfId="2816" xr:uid="{00000000-0005-0000-0000-0000000B0000}"/>
    <cellStyle name="RISKnormItal 2 6" xfId="2817" xr:uid="{00000000-0005-0000-0000-0000010B0000}"/>
    <cellStyle name="RISKnormItal 2_ActiFijos" xfId="2818" xr:uid="{00000000-0005-0000-0000-0000020B0000}"/>
    <cellStyle name="RISKnormItal 3" xfId="2819" xr:uid="{00000000-0005-0000-0000-0000030B0000}"/>
    <cellStyle name="RISKnormItal 3 2" xfId="2820" xr:uid="{00000000-0005-0000-0000-0000040B0000}"/>
    <cellStyle name="RISKnormItal 3 3" xfId="2821" xr:uid="{00000000-0005-0000-0000-0000050B0000}"/>
    <cellStyle name="RISKnormItal 3 4" xfId="2822" xr:uid="{00000000-0005-0000-0000-0000060B0000}"/>
    <cellStyle name="RISKnormItal 3 5" xfId="2823" xr:uid="{00000000-0005-0000-0000-0000070B0000}"/>
    <cellStyle name="RISKnormItal 3 6" xfId="2824" xr:uid="{00000000-0005-0000-0000-0000080B0000}"/>
    <cellStyle name="RISKnormItal 3_ActiFijos" xfId="2825" xr:uid="{00000000-0005-0000-0000-0000090B0000}"/>
    <cellStyle name="RISKnormItal 4" xfId="2826" xr:uid="{00000000-0005-0000-0000-00000A0B0000}"/>
    <cellStyle name="RISKnormItal 4 2" xfId="2827" xr:uid="{00000000-0005-0000-0000-00000B0B0000}"/>
    <cellStyle name="RISKnormItal 4 3" xfId="2828" xr:uid="{00000000-0005-0000-0000-00000C0B0000}"/>
    <cellStyle name="RISKnormItal 4 4" xfId="2829" xr:uid="{00000000-0005-0000-0000-00000D0B0000}"/>
    <cellStyle name="RISKnormItal 4 5" xfId="2830" xr:uid="{00000000-0005-0000-0000-00000E0B0000}"/>
    <cellStyle name="RISKnormItal 4 6" xfId="2831" xr:uid="{00000000-0005-0000-0000-00000F0B0000}"/>
    <cellStyle name="RISKnormItal 4_ActiFijos" xfId="2832" xr:uid="{00000000-0005-0000-0000-0000100B0000}"/>
    <cellStyle name="RISKnormItal_Bases_Generales" xfId="2833" xr:uid="{00000000-0005-0000-0000-0000110B0000}"/>
    <cellStyle name="RISKnormLabel" xfId="2834" xr:uid="{00000000-0005-0000-0000-0000120B0000}"/>
    <cellStyle name="RISKnormLabel 2" xfId="2835" xr:uid="{00000000-0005-0000-0000-0000130B0000}"/>
    <cellStyle name="RISKnormLabel 2 2" xfId="2836" xr:uid="{00000000-0005-0000-0000-0000140B0000}"/>
    <cellStyle name="RISKnormLabel 2 3" xfId="2837" xr:uid="{00000000-0005-0000-0000-0000150B0000}"/>
    <cellStyle name="RISKnormLabel 2 4" xfId="2838" xr:uid="{00000000-0005-0000-0000-0000160B0000}"/>
    <cellStyle name="RISKnormLabel 2 5" xfId="2839" xr:uid="{00000000-0005-0000-0000-0000170B0000}"/>
    <cellStyle name="RISKnormLabel 2 6" xfId="2840" xr:uid="{00000000-0005-0000-0000-0000180B0000}"/>
    <cellStyle name="RISKnormLabel 2_ActiFijos" xfId="2841" xr:uid="{00000000-0005-0000-0000-0000190B0000}"/>
    <cellStyle name="RISKnormLabel 3" xfId="2842" xr:uid="{00000000-0005-0000-0000-00001A0B0000}"/>
    <cellStyle name="RISKnormLabel 3 2" xfId="2843" xr:uid="{00000000-0005-0000-0000-00001B0B0000}"/>
    <cellStyle name="RISKnormLabel 3 3" xfId="2844" xr:uid="{00000000-0005-0000-0000-00001C0B0000}"/>
    <cellStyle name="RISKnormLabel 3 4" xfId="2845" xr:uid="{00000000-0005-0000-0000-00001D0B0000}"/>
    <cellStyle name="RISKnormLabel 3 5" xfId="2846" xr:uid="{00000000-0005-0000-0000-00001E0B0000}"/>
    <cellStyle name="RISKnormLabel 3 6" xfId="2847" xr:uid="{00000000-0005-0000-0000-00001F0B0000}"/>
    <cellStyle name="RISKnormLabel 3_ActiFijos" xfId="2848" xr:uid="{00000000-0005-0000-0000-0000200B0000}"/>
    <cellStyle name="RISKnormLabel 4" xfId="2849" xr:uid="{00000000-0005-0000-0000-0000210B0000}"/>
    <cellStyle name="RISKnormLabel 4 2" xfId="2850" xr:uid="{00000000-0005-0000-0000-0000220B0000}"/>
    <cellStyle name="RISKnormLabel 4 3" xfId="2851" xr:uid="{00000000-0005-0000-0000-0000230B0000}"/>
    <cellStyle name="RISKnormLabel 4 4" xfId="2852" xr:uid="{00000000-0005-0000-0000-0000240B0000}"/>
    <cellStyle name="RISKnormLabel 4 5" xfId="2853" xr:uid="{00000000-0005-0000-0000-0000250B0000}"/>
    <cellStyle name="RISKnormLabel 4 6" xfId="2854" xr:uid="{00000000-0005-0000-0000-0000260B0000}"/>
    <cellStyle name="RISKnormLabel 4_ActiFijos" xfId="2855" xr:uid="{00000000-0005-0000-0000-0000270B0000}"/>
    <cellStyle name="RISKnormLabel_Bases_Generales" xfId="2856" xr:uid="{00000000-0005-0000-0000-0000280B0000}"/>
    <cellStyle name="RISKnormShade" xfId="2857" xr:uid="{00000000-0005-0000-0000-0000290B0000}"/>
    <cellStyle name="RISKnormShade 2" xfId="2858" xr:uid="{00000000-0005-0000-0000-00002A0B0000}"/>
    <cellStyle name="RISKnormShade 2 2" xfId="2859" xr:uid="{00000000-0005-0000-0000-00002B0B0000}"/>
    <cellStyle name="RISKnormShade 2 2 2" xfId="6199" xr:uid="{00000000-0005-0000-0000-000037180000}"/>
    <cellStyle name="RISKnormShade 2 3" xfId="2860" xr:uid="{00000000-0005-0000-0000-00002C0B0000}"/>
    <cellStyle name="RISKnormShade 2 3 2" xfId="6200" xr:uid="{00000000-0005-0000-0000-000038180000}"/>
    <cellStyle name="RISKnormShade 2 4" xfId="2861" xr:uid="{00000000-0005-0000-0000-00002D0B0000}"/>
    <cellStyle name="RISKnormShade 2 4 2" xfId="6201" xr:uid="{00000000-0005-0000-0000-000039180000}"/>
    <cellStyle name="RISKnormShade 2 5" xfId="2862" xr:uid="{00000000-0005-0000-0000-00002E0B0000}"/>
    <cellStyle name="RISKnormShade 2 5 2" xfId="6202" xr:uid="{00000000-0005-0000-0000-00003A180000}"/>
    <cellStyle name="RISKnormShade 2 6" xfId="2863" xr:uid="{00000000-0005-0000-0000-00002F0B0000}"/>
    <cellStyle name="RISKnormShade 2 6 2" xfId="6203" xr:uid="{00000000-0005-0000-0000-00003B180000}"/>
    <cellStyle name="RISKnormShade 2 7" xfId="6204" xr:uid="{00000000-0005-0000-0000-00003C180000}"/>
    <cellStyle name="RISKnormShade 3" xfId="2864" xr:uid="{00000000-0005-0000-0000-0000300B0000}"/>
    <cellStyle name="RISKnormShade 3 2" xfId="2865" xr:uid="{00000000-0005-0000-0000-0000310B0000}"/>
    <cellStyle name="RISKnormShade 3 2 2" xfId="6205" xr:uid="{00000000-0005-0000-0000-00003D180000}"/>
    <cellStyle name="RISKnormShade 3 3" xfId="2866" xr:uid="{00000000-0005-0000-0000-0000320B0000}"/>
    <cellStyle name="RISKnormShade 3 3 2" xfId="6206" xr:uid="{00000000-0005-0000-0000-00003E180000}"/>
    <cellStyle name="RISKnormShade 3 4" xfId="2867" xr:uid="{00000000-0005-0000-0000-0000330B0000}"/>
    <cellStyle name="RISKnormShade 3 4 2" xfId="6207" xr:uid="{00000000-0005-0000-0000-00003F180000}"/>
    <cellStyle name="RISKnormShade 3 5" xfId="2868" xr:uid="{00000000-0005-0000-0000-0000340B0000}"/>
    <cellStyle name="RISKnormShade 3 5 2" xfId="6208" xr:uid="{00000000-0005-0000-0000-000040180000}"/>
    <cellStyle name="RISKnormShade 3 6" xfId="2869" xr:uid="{00000000-0005-0000-0000-0000350B0000}"/>
    <cellStyle name="RISKnormShade 3 6 2" xfId="6209" xr:uid="{00000000-0005-0000-0000-000041180000}"/>
    <cellStyle name="RISKnormShade 3 7" xfId="6210" xr:uid="{00000000-0005-0000-0000-000042180000}"/>
    <cellStyle name="RISKnormShade 4" xfId="2870" xr:uid="{00000000-0005-0000-0000-0000360B0000}"/>
    <cellStyle name="RISKnormShade 4 2" xfId="2871" xr:uid="{00000000-0005-0000-0000-0000370B0000}"/>
    <cellStyle name="RISKnormShade 4 2 2" xfId="6211" xr:uid="{00000000-0005-0000-0000-000043180000}"/>
    <cellStyle name="RISKnormShade 4 3" xfId="2872" xr:uid="{00000000-0005-0000-0000-0000380B0000}"/>
    <cellStyle name="RISKnormShade 4 3 2" xfId="6212" xr:uid="{00000000-0005-0000-0000-000044180000}"/>
    <cellStyle name="RISKnormShade 4 4" xfId="2873" xr:uid="{00000000-0005-0000-0000-0000390B0000}"/>
    <cellStyle name="RISKnormShade 4 4 2" xfId="6213" xr:uid="{00000000-0005-0000-0000-000045180000}"/>
    <cellStyle name="RISKnormShade 4 5" xfId="2874" xr:uid="{00000000-0005-0000-0000-00003A0B0000}"/>
    <cellStyle name="RISKnormShade 4 5 2" xfId="6214" xr:uid="{00000000-0005-0000-0000-000046180000}"/>
    <cellStyle name="RISKnormShade 4 6" xfId="2875" xr:uid="{00000000-0005-0000-0000-00003B0B0000}"/>
    <cellStyle name="RISKnormShade 4 6 2" xfId="6215" xr:uid="{00000000-0005-0000-0000-000047180000}"/>
    <cellStyle name="RISKnormShade 4 7" xfId="6216" xr:uid="{00000000-0005-0000-0000-000048180000}"/>
    <cellStyle name="RISKnormShade 5" xfId="6217" xr:uid="{00000000-0005-0000-0000-000049180000}"/>
    <cellStyle name="RISKnormTitle" xfId="2876" xr:uid="{00000000-0005-0000-0000-00003C0B0000}"/>
    <cellStyle name="RISKnormTitle 10" xfId="2877" xr:uid="{00000000-0005-0000-0000-00003D0B0000}"/>
    <cellStyle name="RISKnormTitle 11" xfId="2878" xr:uid="{00000000-0005-0000-0000-00003E0B0000}"/>
    <cellStyle name="RISKnormTitle 2" xfId="2879" xr:uid="{00000000-0005-0000-0000-00003F0B0000}"/>
    <cellStyle name="RISKnormTitle 2 2" xfId="2880" xr:uid="{00000000-0005-0000-0000-0000400B0000}"/>
    <cellStyle name="RISKnormTitle 2 3" xfId="2881" xr:uid="{00000000-0005-0000-0000-0000410B0000}"/>
    <cellStyle name="RISKnormTitle 2 4" xfId="2882" xr:uid="{00000000-0005-0000-0000-0000420B0000}"/>
    <cellStyle name="RISKnormTitle 2 5" xfId="2883" xr:uid="{00000000-0005-0000-0000-0000430B0000}"/>
    <cellStyle name="RISKnormTitle 2 6" xfId="2884" xr:uid="{00000000-0005-0000-0000-0000440B0000}"/>
    <cellStyle name="RISKnormTitle 2_ActiFijos" xfId="2885" xr:uid="{00000000-0005-0000-0000-0000450B0000}"/>
    <cellStyle name="RISKnormTitle 3" xfId="2886" xr:uid="{00000000-0005-0000-0000-0000460B0000}"/>
    <cellStyle name="RISKnormTitle 3 2" xfId="2887" xr:uid="{00000000-0005-0000-0000-0000470B0000}"/>
    <cellStyle name="RISKnormTitle 3 3" xfId="2888" xr:uid="{00000000-0005-0000-0000-0000480B0000}"/>
    <cellStyle name="RISKnormTitle 3 4" xfId="2889" xr:uid="{00000000-0005-0000-0000-0000490B0000}"/>
    <cellStyle name="RISKnormTitle 3 5" xfId="2890" xr:uid="{00000000-0005-0000-0000-00004A0B0000}"/>
    <cellStyle name="RISKnormTitle 3 6" xfId="2891" xr:uid="{00000000-0005-0000-0000-00004B0B0000}"/>
    <cellStyle name="RISKnormTitle 3_ActiFijos" xfId="2892" xr:uid="{00000000-0005-0000-0000-00004C0B0000}"/>
    <cellStyle name="RISKnormTitle 4" xfId="2893" xr:uid="{00000000-0005-0000-0000-00004D0B0000}"/>
    <cellStyle name="RISKnormTitle 4 2" xfId="2894" xr:uid="{00000000-0005-0000-0000-00004E0B0000}"/>
    <cellStyle name="RISKnormTitle 4 3" xfId="2895" xr:uid="{00000000-0005-0000-0000-00004F0B0000}"/>
    <cellStyle name="RISKnormTitle 4 4" xfId="2896" xr:uid="{00000000-0005-0000-0000-0000500B0000}"/>
    <cellStyle name="RISKnormTitle 4 5" xfId="2897" xr:uid="{00000000-0005-0000-0000-0000510B0000}"/>
    <cellStyle name="RISKnormTitle 4 6" xfId="2898" xr:uid="{00000000-0005-0000-0000-0000520B0000}"/>
    <cellStyle name="RISKnormTitle 4_ActiFijos" xfId="2899" xr:uid="{00000000-0005-0000-0000-0000530B0000}"/>
    <cellStyle name="RISKnormTitle 5" xfId="2900" xr:uid="{00000000-0005-0000-0000-0000540B0000}"/>
    <cellStyle name="RISKnormTitle 6" xfId="2901" xr:uid="{00000000-0005-0000-0000-0000550B0000}"/>
    <cellStyle name="RISKnormTitle 7" xfId="2902" xr:uid="{00000000-0005-0000-0000-0000560B0000}"/>
    <cellStyle name="RISKnormTitle 8" xfId="2903" xr:uid="{00000000-0005-0000-0000-0000570B0000}"/>
    <cellStyle name="RISKnormTitle 9" xfId="2904" xr:uid="{00000000-0005-0000-0000-0000580B0000}"/>
    <cellStyle name="RISKnormTitle_ActiFijos" xfId="2905" xr:uid="{00000000-0005-0000-0000-0000590B0000}"/>
    <cellStyle name="RISKoutNumber" xfId="2906" xr:uid="{00000000-0005-0000-0000-00005A0B0000}"/>
    <cellStyle name="RISKoutNumber 2" xfId="2907" xr:uid="{00000000-0005-0000-0000-00005B0B0000}"/>
    <cellStyle name="RISKoutNumber 2 2" xfId="2908" xr:uid="{00000000-0005-0000-0000-00005C0B0000}"/>
    <cellStyle name="RISKoutNumber 2 3" xfId="2909" xr:uid="{00000000-0005-0000-0000-00005D0B0000}"/>
    <cellStyle name="RISKoutNumber 2 4" xfId="2910" xr:uid="{00000000-0005-0000-0000-00005E0B0000}"/>
    <cellStyle name="RISKoutNumber 2 5" xfId="2911" xr:uid="{00000000-0005-0000-0000-00005F0B0000}"/>
    <cellStyle name="RISKoutNumber 2 6" xfId="2912" xr:uid="{00000000-0005-0000-0000-0000600B0000}"/>
    <cellStyle name="RISKoutNumber 2_ActiFijos" xfId="2913" xr:uid="{00000000-0005-0000-0000-0000610B0000}"/>
    <cellStyle name="RISKoutNumber 3" xfId="2914" xr:uid="{00000000-0005-0000-0000-0000620B0000}"/>
    <cellStyle name="RISKoutNumber 3 2" xfId="2915" xr:uid="{00000000-0005-0000-0000-0000630B0000}"/>
    <cellStyle name="RISKoutNumber 3 3" xfId="2916" xr:uid="{00000000-0005-0000-0000-0000640B0000}"/>
    <cellStyle name="RISKoutNumber 3 4" xfId="2917" xr:uid="{00000000-0005-0000-0000-0000650B0000}"/>
    <cellStyle name="RISKoutNumber 3 5" xfId="2918" xr:uid="{00000000-0005-0000-0000-0000660B0000}"/>
    <cellStyle name="RISKoutNumber 3 6" xfId="2919" xr:uid="{00000000-0005-0000-0000-0000670B0000}"/>
    <cellStyle name="RISKoutNumber 3_ActiFijos" xfId="2920" xr:uid="{00000000-0005-0000-0000-0000680B0000}"/>
    <cellStyle name="RISKoutNumber 4" xfId="2921" xr:uid="{00000000-0005-0000-0000-0000690B0000}"/>
    <cellStyle name="RISKoutNumber 4 2" xfId="2922" xr:uid="{00000000-0005-0000-0000-00006A0B0000}"/>
    <cellStyle name="RISKoutNumber 4 3" xfId="2923" xr:uid="{00000000-0005-0000-0000-00006B0B0000}"/>
    <cellStyle name="RISKoutNumber 4 4" xfId="2924" xr:uid="{00000000-0005-0000-0000-00006C0B0000}"/>
    <cellStyle name="RISKoutNumber 4 5" xfId="2925" xr:uid="{00000000-0005-0000-0000-00006D0B0000}"/>
    <cellStyle name="RISKoutNumber 4 6" xfId="2926" xr:uid="{00000000-0005-0000-0000-00006E0B0000}"/>
    <cellStyle name="RISKoutNumber 4_ActiFijos" xfId="2927" xr:uid="{00000000-0005-0000-0000-00006F0B0000}"/>
    <cellStyle name="RISKoutNumber_Bases_Generales" xfId="2928" xr:uid="{00000000-0005-0000-0000-0000700B0000}"/>
    <cellStyle name="RISKrightEdge" xfId="2929" xr:uid="{00000000-0005-0000-0000-0000710B0000}"/>
    <cellStyle name="RISKrightEdge 2" xfId="2930" xr:uid="{00000000-0005-0000-0000-0000720B0000}"/>
    <cellStyle name="RISKrightEdge 2 2" xfId="2931" xr:uid="{00000000-0005-0000-0000-0000730B0000}"/>
    <cellStyle name="RISKrightEdge 2 2 2" xfId="6218" xr:uid="{00000000-0005-0000-0000-00004A180000}"/>
    <cellStyle name="RISKrightEdge 2 3" xfId="2932" xr:uid="{00000000-0005-0000-0000-0000740B0000}"/>
    <cellStyle name="RISKrightEdge 2 3 2" xfId="6219" xr:uid="{00000000-0005-0000-0000-00004B180000}"/>
    <cellStyle name="RISKrightEdge 2 4" xfId="2933" xr:uid="{00000000-0005-0000-0000-0000750B0000}"/>
    <cellStyle name="RISKrightEdge 2 4 2" xfId="6220" xr:uid="{00000000-0005-0000-0000-00004C180000}"/>
    <cellStyle name="RISKrightEdge 2 5" xfId="2934" xr:uid="{00000000-0005-0000-0000-0000760B0000}"/>
    <cellStyle name="RISKrightEdge 2 5 2" xfId="6221" xr:uid="{00000000-0005-0000-0000-00004D180000}"/>
    <cellStyle name="RISKrightEdge 2 6" xfId="2935" xr:uid="{00000000-0005-0000-0000-0000770B0000}"/>
    <cellStyle name="RISKrightEdge 2 6 2" xfId="6222" xr:uid="{00000000-0005-0000-0000-00004E180000}"/>
    <cellStyle name="RISKrightEdge 2 7" xfId="6223" xr:uid="{00000000-0005-0000-0000-00004F180000}"/>
    <cellStyle name="RISKrightEdge 3" xfId="2936" xr:uid="{00000000-0005-0000-0000-0000780B0000}"/>
    <cellStyle name="RISKrightEdge 3 2" xfId="2937" xr:uid="{00000000-0005-0000-0000-0000790B0000}"/>
    <cellStyle name="RISKrightEdge 3 2 2" xfId="6224" xr:uid="{00000000-0005-0000-0000-000050180000}"/>
    <cellStyle name="RISKrightEdge 3 3" xfId="2938" xr:uid="{00000000-0005-0000-0000-00007A0B0000}"/>
    <cellStyle name="RISKrightEdge 3 3 2" xfId="6225" xr:uid="{00000000-0005-0000-0000-000051180000}"/>
    <cellStyle name="RISKrightEdge 3 4" xfId="2939" xr:uid="{00000000-0005-0000-0000-00007B0B0000}"/>
    <cellStyle name="RISKrightEdge 3 4 2" xfId="6226" xr:uid="{00000000-0005-0000-0000-000052180000}"/>
    <cellStyle name="RISKrightEdge 3 5" xfId="2940" xr:uid="{00000000-0005-0000-0000-00007C0B0000}"/>
    <cellStyle name="RISKrightEdge 3 5 2" xfId="6227" xr:uid="{00000000-0005-0000-0000-000053180000}"/>
    <cellStyle name="RISKrightEdge 3 6" xfId="2941" xr:uid="{00000000-0005-0000-0000-00007D0B0000}"/>
    <cellStyle name="RISKrightEdge 3 6 2" xfId="6228" xr:uid="{00000000-0005-0000-0000-000054180000}"/>
    <cellStyle name="RISKrightEdge 3 7" xfId="6229" xr:uid="{00000000-0005-0000-0000-000055180000}"/>
    <cellStyle name="RISKrightEdge 4" xfId="2942" xr:uid="{00000000-0005-0000-0000-00007E0B0000}"/>
    <cellStyle name="RISKrightEdge 4 2" xfId="2943" xr:uid="{00000000-0005-0000-0000-00007F0B0000}"/>
    <cellStyle name="RISKrightEdge 4 2 2" xfId="6230" xr:uid="{00000000-0005-0000-0000-000056180000}"/>
    <cellStyle name="RISKrightEdge 4 3" xfId="2944" xr:uid="{00000000-0005-0000-0000-0000800B0000}"/>
    <cellStyle name="RISKrightEdge 4 3 2" xfId="6231" xr:uid="{00000000-0005-0000-0000-000057180000}"/>
    <cellStyle name="RISKrightEdge 4 4" xfId="2945" xr:uid="{00000000-0005-0000-0000-0000810B0000}"/>
    <cellStyle name="RISKrightEdge 4 4 2" xfId="6232" xr:uid="{00000000-0005-0000-0000-000058180000}"/>
    <cellStyle name="RISKrightEdge 4 5" xfId="2946" xr:uid="{00000000-0005-0000-0000-0000820B0000}"/>
    <cellStyle name="RISKrightEdge 4 5 2" xfId="6233" xr:uid="{00000000-0005-0000-0000-000059180000}"/>
    <cellStyle name="RISKrightEdge 4 6" xfId="2947" xr:uid="{00000000-0005-0000-0000-0000830B0000}"/>
    <cellStyle name="RISKrightEdge 4 6 2" xfId="6234" xr:uid="{00000000-0005-0000-0000-00005A180000}"/>
    <cellStyle name="RISKrightEdge 4 7" xfId="6235" xr:uid="{00000000-0005-0000-0000-00005B180000}"/>
    <cellStyle name="RISKrightEdge 5" xfId="6236" xr:uid="{00000000-0005-0000-0000-00005C180000}"/>
    <cellStyle name="RISKrtandbEdge" xfId="2948" xr:uid="{00000000-0005-0000-0000-0000840B0000}"/>
    <cellStyle name="RISKrtandbEdge 2" xfId="2949" xr:uid="{00000000-0005-0000-0000-0000850B0000}"/>
    <cellStyle name="RISKrtandbEdge 2 2" xfId="2950" xr:uid="{00000000-0005-0000-0000-0000860B0000}"/>
    <cellStyle name="RISKrtandbEdge 2 2 2" xfId="2951" xr:uid="{00000000-0005-0000-0000-0000870B0000}"/>
    <cellStyle name="RISKrtandbEdge 2 2 2 2" xfId="6237" xr:uid="{00000000-0005-0000-0000-00005D180000}"/>
    <cellStyle name="RISKrtandbEdge 2 2 3" xfId="6238" xr:uid="{00000000-0005-0000-0000-00005E180000}"/>
    <cellStyle name="RISKrtandbEdge 2 3" xfId="2952" xr:uid="{00000000-0005-0000-0000-0000880B0000}"/>
    <cellStyle name="RISKrtandbEdge 2 3 2" xfId="2953" xr:uid="{00000000-0005-0000-0000-0000890B0000}"/>
    <cellStyle name="RISKrtandbEdge 2 3 2 2" xfId="6239" xr:uid="{00000000-0005-0000-0000-00005F180000}"/>
    <cellStyle name="RISKrtandbEdge 2 3 3" xfId="6240" xr:uid="{00000000-0005-0000-0000-000060180000}"/>
    <cellStyle name="RISKrtandbEdge 2 4" xfId="2954" xr:uid="{00000000-0005-0000-0000-00008A0B0000}"/>
    <cellStyle name="RISKrtandbEdge 2 4 2" xfId="2955" xr:uid="{00000000-0005-0000-0000-00008B0B0000}"/>
    <cellStyle name="RISKrtandbEdge 2 4 2 2" xfId="6241" xr:uid="{00000000-0005-0000-0000-000061180000}"/>
    <cellStyle name="RISKrtandbEdge 2 4 3" xfId="6242" xr:uid="{00000000-0005-0000-0000-000062180000}"/>
    <cellStyle name="RISKrtandbEdge 2 5" xfId="2956" xr:uid="{00000000-0005-0000-0000-00008C0B0000}"/>
    <cellStyle name="RISKrtandbEdge 2 5 2" xfId="6243" xr:uid="{00000000-0005-0000-0000-000063180000}"/>
    <cellStyle name="RISKrtandbEdge 2 6" xfId="2957" xr:uid="{00000000-0005-0000-0000-00008D0B0000}"/>
    <cellStyle name="RISKrtandbEdge 2 6 2" xfId="6244" xr:uid="{00000000-0005-0000-0000-000064180000}"/>
    <cellStyle name="RISKrtandbEdge 2 7" xfId="6245" xr:uid="{00000000-0005-0000-0000-000065180000}"/>
    <cellStyle name="RISKrtandbEdge 3" xfId="2958" xr:uid="{00000000-0005-0000-0000-00008E0B0000}"/>
    <cellStyle name="RISKrtandbEdge 3 2" xfId="2959" xr:uid="{00000000-0005-0000-0000-00008F0B0000}"/>
    <cellStyle name="RISKrtandbEdge 3 2 2" xfId="2960" xr:uid="{00000000-0005-0000-0000-0000900B0000}"/>
    <cellStyle name="RISKrtandbEdge 3 2 2 2" xfId="6246" xr:uid="{00000000-0005-0000-0000-000066180000}"/>
    <cellStyle name="RISKrtandbEdge 3 2 3" xfId="6247" xr:uid="{00000000-0005-0000-0000-000067180000}"/>
    <cellStyle name="RISKrtandbEdge 3 3" xfId="2961" xr:uid="{00000000-0005-0000-0000-0000910B0000}"/>
    <cellStyle name="RISKrtandbEdge 3 3 2" xfId="2962" xr:uid="{00000000-0005-0000-0000-0000920B0000}"/>
    <cellStyle name="RISKrtandbEdge 3 3 2 2" xfId="6248" xr:uid="{00000000-0005-0000-0000-000068180000}"/>
    <cellStyle name="RISKrtandbEdge 3 3 3" xfId="6249" xr:uid="{00000000-0005-0000-0000-000069180000}"/>
    <cellStyle name="RISKrtandbEdge 3 4" xfId="2963" xr:uid="{00000000-0005-0000-0000-0000930B0000}"/>
    <cellStyle name="RISKrtandbEdge 3 4 2" xfId="2964" xr:uid="{00000000-0005-0000-0000-0000940B0000}"/>
    <cellStyle name="RISKrtandbEdge 3 4 2 2" xfId="6250" xr:uid="{00000000-0005-0000-0000-00006A180000}"/>
    <cellStyle name="RISKrtandbEdge 3 4 3" xfId="6251" xr:uid="{00000000-0005-0000-0000-00006B180000}"/>
    <cellStyle name="RISKrtandbEdge 3 5" xfId="2965" xr:uid="{00000000-0005-0000-0000-0000950B0000}"/>
    <cellStyle name="RISKrtandbEdge 3 5 2" xfId="6252" xr:uid="{00000000-0005-0000-0000-00006C180000}"/>
    <cellStyle name="RISKrtandbEdge 3 6" xfId="2966" xr:uid="{00000000-0005-0000-0000-0000960B0000}"/>
    <cellStyle name="RISKrtandbEdge 3 6 2" xfId="6253" xr:uid="{00000000-0005-0000-0000-00006D180000}"/>
    <cellStyle name="RISKrtandbEdge 3 7" xfId="6254" xr:uid="{00000000-0005-0000-0000-00006E180000}"/>
    <cellStyle name="RISKrtandbEdge 4" xfId="2967" xr:uid="{00000000-0005-0000-0000-0000970B0000}"/>
    <cellStyle name="RISKrtandbEdge 4 2" xfId="2968" xr:uid="{00000000-0005-0000-0000-0000980B0000}"/>
    <cellStyle name="RISKrtandbEdge 4 2 2" xfId="2969" xr:uid="{00000000-0005-0000-0000-0000990B0000}"/>
    <cellStyle name="RISKrtandbEdge 4 2 2 2" xfId="6255" xr:uid="{00000000-0005-0000-0000-00006F180000}"/>
    <cellStyle name="RISKrtandbEdge 4 2 3" xfId="6256" xr:uid="{00000000-0005-0000-0000-000070180000}"/>
    <cellStyle name="RISKrtandbEdge 4 3" xfId="2970" xr:uid="{00000000-0005-0000-0000-00009A0B0000}"/>
    <cellStyle name="RISKrtandbEdge 4 3 2" xfId="2971" xr:uid="{00000000-0005-0000-0000-00009B0B0000}"/>
    <cellStyle name="RISKrtandbEdge 4 3 2 2" xfId="6257" xr:uid="{00000000-0005-0000-0000-000071180000}"/>
    <cellStyle name="RISKrtandbEdge 4 3 3" xfId="6258" xr:uid="{00000000-0005-0000-0000-000072180000}"/>
    <cellStyle name="RISKrtandbEdge 4 4" xfId="2972" xr:uid="{00000000-0005-0000-0000-00009C0B0000}"/>
    <cellStyle name="RISKrtandbEdge 4 4 2" xfId="2973" xr:uid="{00000000-0005-0000-0000-00009D0B0000}"/>
    <cellStyle name="RISKrtandbEdge 4 4 2 2" xfId="6259" xr:uid="{00000000-0005-0000-0000-000073180000}"/>
    <cellStyle name="RISKrtandbEdge 4 4 3" xfId="6260" xr:uid="{00000000-0005-0000-0000-000074180000}"/>
    <cellStyle name="RISKrtandbEdge 4 5" xfId="2974" xr:uid="{00000000-0005-0000-0000-00009E0B0000}"/>
    <cellStyle name="RISKrtandbEdge 4 5 2" xfId="6261" xr:uid="{00000000-0005-0000-0000-000075180000}"/>
    <cellStyle name="RISKrtandbEdge 4 6" xfId="2975" xr:uid="{00000000-0005-0000-0000-00009F0B0000}"/>
    <cellStyle name="RISKrtandbEdge 4 6 2" xfId="6262" xr:uid="{00000000-0005-0000-0000-000076180000}"/>
    <cellStyle name="RISKrtandbEdge 4 7" xfId="6263" xr:uid="{00000000-0005-0000-0000-000077180000}"/>
    <cellStyle name="RISKrtandbEdge 5" xfId="2976" xr:uid="{00000000-0005-0000-0000-0000A00B0000}"/>
    <cellStyle name="RISKrtandbEdge 5 2" xfId="6264" xr:uid="{00000000-0005-0000-0000-000078180000}"/>
    <cellStyle name="RISKrtandbEdge 6" xfId="2977" xr:uid="{00000000-0005-0000-0000-0000A10B0000}"/>
    <cellStyle name="RISKrtandbEdge 6 2" xfId="6265" xr:uid="{00000000-0005-0000-0000-000079180000}"/>
    <cellStyle name="RISKrtandbEdge 7" xfId="2978" xr:uid="{00000000-0005-0000-0000-0000A20B0000}"/>
    <cellStyle name="RISKrtandbEdge 7 2" xfId="6266" xr:uid="{00000000-0005-0000-0000-00007A180000}"/>
    <cellStyle name="RISKrtandbEdge 8" xfId="6267" xr:uid="{00000000-0005-0000-0000-00007B180000}"/>
    <cellStyle name="RISKrtandbEdge_PyG" xfId="2979" xr:uid="{00000000-0005-0000-0000-0000A30B0000}"/>
    <cellStyle name="RISKssTime" xfId="2980" xr:uid="{00000000-0005-0000-0000-0000A40B0000}"/>
    <cellStyle name="RISKssTime 2" xfId="2981" xr:uid="{00000000-0005-0000-0000-0000A50B0000}"/>
    <cellStyle name="RISKssTime 2 2" xfId="2982" xr:uid="{00000000-0005-0000-0000-0000A60B0000}"/>
    <cellStyle name="RISKssTime 2 2 2" xfId="6268" xr:uid="{00000000-0005-0000-0000-00007C180000}"/>
    <cellStyle name="RISKssTime 2 3" xfId="2983" xr:uid="{00000000-0005-0000-0000-0000A70B0000}"/>
    <cellStyle name="RISKssTime 2 3 2" xfId="6269" xr:uid="{00000000-0005-0000-0000-00007D180000}"/>
    <cellStyle name="RISKssTime 2 4" xfId="2984" xr:uid="{00000000-0005-0000-0000-0000A80B0000}"/>
    <cellStyle name="RISKssTime 2 4 2" xfId="6270" xr:uid="{00000000-0005-0000-0000-00007E180000}"/>
    <cellStyle name="RISKssTime 2 5" xfId="2985" xr:uid="{00000000-0005-0000-0000-0000A90B0000}"/>
    <cellStyle name="RISKssTime 2 5 2" xfId="6271" xr:uid="{00000000-0005-0000-0000-00007F180000}"/>
    <cellStyle name="RISKssTime 2 6" xfId="2986" xr:uid="{00000000-0005-0000-0000-0000AA0B0000}"/>
    <cellStyle name="RISKssTime 2 6 2" xfId="6272" xr:uid="{00000000-0005-0000-0000-000080180000}"/>
    <cellStyle name="RISKssTime 2 7" xfId="6273" xr:uid="{00000000-0005-0000-0000-000081180000}"/>
    <cellStyle name="RISKssTime 3" xfId="2987" xr:uid="{00000000-0005-0000-0000-0000AB0B0000}"/>
    <cellStyle name="RISKssTime 3 2" xfId="2988" xr:uid="{00000000-0005-0000-0000-0000AC0B0000}"/>
    <cellStyle name="RISKssTime 3 2 2" xfId="6274" xr:uid="{00000000-0005-0000-0000-000082180000}"/>
    <cellStyle name="RISKssTime 3 3" xfId="2989" xr:uid="{00000000-0005-0000-0000-0000AD0B0000}"/>
    <cellStyle name="RISKssTime 3 3 2" xfId="6275" xr:uid="{00000000-0005-0000-0000-000083180000}"/>
    <cellStyle name="RISKssTime 3 4" xfId="2990" xr:uid="{00000000-0005-0000-0000-0000AE0B0000}"/>
    <cellStyle name="RISKssTime 3 4 2" xfId="6276" xr:uid="{00000000-0005-0000-0000-000084180000}"/>
    <cellStyle name="RISKssTime 3 5" xfId="2991" xr:uid="{00000000-0005-0000-0000-0000AF0B0000}"/>
    <cellStyle name="RISKssTime 3 5 2" xfId="6277" xr:uid="{00000000-0005-0000-0000-000085180000}"/>
    <cellStyle name="RISKssTime 3 6" xfId="2992" xr:uid="{00000000-0005-0000-0000-0000B00B0000}"/>
    <cellStyle name="RISKssTime 3 6 2" xfId="6278" xr:uid="{00000000-0005-0000-0000-000086180000}"/>
    <cellStyle name="RISKssTime 3 7" xfId="6279" xr:uid="{00000000-0005-0000-0000-000087180000}"/>
    <cellStyle name="RISKssTime 4" xfId="2993" xr:uid="{00000000-0005-0000-0000-0000B10B0000}"/>
    <cellStyle name="RISKssTime 4 2" xfId="2994" xr:uid="{00000000-0005-0000-0000-0000B20B0000}"/>
    <cellStyle name="RISKssTime 4 2 2" xfId="6280" xr:uid="{00000000-0005-0000-0000-000088180000}"/>
    <cellStyle name="RISKssTime 4 3" xfId="2995" xr:uid="{00000000-0005-0000-0000-0000B30B0000}"/>
    <cellStyle name="RISKssTime 4 3 2" xfId="6281" xr:uid="{00000000-0005-0000-0000-000089180000}"/>
    <cellStyle name="RISKssTime 4 4" xfId="2996" xr:uid="{00000000-0005-0000-0000-0000B40B0000}"/>
    <cellStyle name="RISKssTime 4 4 2" xfId="6282" xr:uid="{00000000-0005-0000-0000-00008A180000}"/>
    <cellStyle name="RISKssTime 4 5" xfId="2997" xr:uid="{00000000-0005-0000-0000-0000B50B0000}"/>
    <cellStyle name="RISKssTime 4 5 2" xfId="6283" xr:uid="{00000000-0005-0000-0000-00008B180000}"/>
    <cellStyle name="RISKssTime 4 6" xfId="2998" xr:uid="{00000000-0005-0000-0000-0000B60B0000}"/>
    <cellStyle name="RISKssTime 4 6 2" xfId="6284" xr:uid="{00000000-0005-0000-0000-00008C180000}"/>
    <cellStyle name="RISKssTime 4 7" xfId="6285" xr:uid="{00000000-0005-0000-0000-00008D180000}"/>
    <cellStyle name="RISKssTime 5" xfId="6286" xr:uid="{00000000-0005-0000-0000-00008E180000}"/>
    <cellStyle name="RISKtandbEdge" xfId="2999" xr:uid="{00000000-0005-0000-0000-0000B70B0000}"/>
    <cellStyle name="RISKtandbEdge 2" xfId="3000" xr:uid="{00000000-0005-0000-0000-0000B80B0000}"/>
    <cellStyle name="RISKtandbEdge 2 2" xfId="3001" xr:uid="{00000000-0005-0000-0000-0000B90B0000}"/>
    <cellStyle name="RISKtandbEdge 2 2 2" xfId="3002" xr:uid="{00000000-0005-0000-0000-0000BA0B0000}"/>
    <cellStyle name="RISKtandbEdge 2 2 2 2" xfId="6287" xr:uid="{00000000-0005-0000-0000-00008F180000}"/>
    <cellStyle name="RISKtandbEdge 2 2 3" xfId="6288" xr:uid="{00000000-0005-0000-0000-000090180000}"/>
    <cellStyle name="RISKtandbEdge 2 3" xfId="3003" xr:uid="{00000000-0005-0000-0000-0000BB0B0000}"/>
    <cellStyle name="RISKtandbEdge 2 3 2" xfId="3004" xr:uid="{00000000-0005-0000-0000-0000BC0B0000}"/>
    <cellStyle name="RISKtandbEdge 2 3 2 2" xfId="6289" xr:uid="{00000000-0005-0000-0000-000091180000}"/>
    <cellStyle name="RISKtandbEdge 2 3 3" xfId="6290" xr:uid="{00000000-0005-0000-0000-000092180000}"/>
    <cellStyle name="RISKtandbEdge 2 4" xfId="3005" xr:uid="{00000000-0005-0000-0000-0000BD0B0000}"/>
    <cellStyle name="RISKtandbEdge 2 4 2" xfId="3006" xr:uid="{00000000-0005-0000-0000-0000BE0B0000}"/>
    <cellStyle name="RISKtandbEdge 2 4 2 2" xfId="6291" xr:uid="{00000000-0005-0000-0000-000093180000}"/>
    <cellStyle name="RISKtandbEdge 2 4 3" xfId="6292" xr:uid="{00000000-0005-0000-0000-000094180000}"/>
    <cellStyle name="RISKtandbEdge 2 5" xfId="3007" xr:uid="{00000000-0005-0000-0000-0000BF0B0000}"/>
    <cellStyle name="RISKtandbEdge 2 5 2" xfId="6293" xr:uid="{00000000-0005-0000-0000-000095180000}"/>
    <cellStyle name="RISKtandbEdge 2 6" xfId="3008" xr:uid="{00000000-0005-0000-0000-0000C00B0000}"/>
    <cellStyle name="RISKtandbEdge 2 6 2" xfId="6294" xr:uid="{00000000-0005-0000-0000-000096180000}"/>
    <cellStyle name="RISKtandbEdge 2 7" xfId="6295" xr:uid="{00000000-0005-0000-0000-000097180000}"/>
    <cellStyle name="RISKtandbEdge 3" xfId="3009" xr:uid="{00000000-0005-0000-0000-0000C10B0000}"/>
    <cellStyle name="RISKtandbEdge 3 2" xfId="3010" xr:uid="{00000000-0005-0000-0000-0000C20B0000}"/>
    <cellStyle name="RISKtandbEdge 3 2 2" xfId="3011" xr:uid="{00000000-0005-0000-0000-0000C30B0000}"/>
    <cellStyle name="RISKtandbEdge 3 2 2 2" xfId="6296" xr:uid="{00000000-0005-0000-0000-000098180000}"/>
    <cellStyle name="RISKtandbEdge 3 2 3" xfId="6297" xr:uid="{00000000-0005-0000-0000-000099180000}"/>
    <cellStyle name="RISKtandbEdge 3 3" xfId="3012" xr:uid="{00000000-0005-0000-0000-0000C40B0000}"/>
    <cellStyle name="RISKtandbEdge 3 3 2" xfId="3013" xr:uid="{00000000-0005-0000-0000-0000C50B0000}"/>
    <cellStyle name="RISKtandbEdge 3 3 2 2" xfId="6298" xr:uid="{00000000-0005-0000-0000-00009A180000}"/>
    <cellStyle name="RISKtandbEdge 3 3 3" xfId="6299" xr:uid="{00000000-0005-0000-0000-00009B180000}"/>
    <cellStyle name="RISKtandbEdge 3 4" xfId="3014" xr:uid="{00000000-0005-0000-0000-0000C60B0000}"/>
    <cellStyle name="RISKtandbEdge 3 4 2" xfId="3015" xr:uid="{00000000-0005-0000-0000-0000C70B0000}"/>
    <cellStyle name="RISKtandbEdge 3 4 2 2" xfId="6300" xr:uid="{00000000-0005-0000-0000-00009C180000}"/>
    <cellStyle name="RISKtandbEdge 3 4 3" xfId="6301" xr:uid="{00000000-0005-0000-0000-00009D180000}"/>
    <cellStyle name="RISKtandbEdge 3 5" xfId="3016" xr:uid="{00000000-0005-0000-0000-0000C80B0000}"/>
    <cellStyle name="RISKtandbEdge 3 5 2" xfId="6302" xr:uid="{00000000-0005-0000-0000-00009E180000}"/>
    <cellStyle name="RISKtandbEdge 3 6" xfId="3017" xr:uid="{00000000-0005-0000-0000-0000C90B0000}"/>
    <cellStyle name="RISKtandbEdge 3 6 2" xfId="6303" xr:uid="{00000000-0005-0000-0000-00009F180000}"/>
    <cellStyle name="RISKtandbEdge 3 7" xfId="6304" xr:uid="{00000000-0005-0000-0000-0000A0180000}"/>
    <cellStyle name="RISKtandbEdge 4" xfId="3018" xr:uid="{00000000-0005-0000-0000-0000CA0B0000}"/>
    <cellStyle name="RISKtandbEdge 4 2" xfId="3019" xr:uid="{00000000-0005-0000-0000-0000CB0B0000}"/>
    <cellStyle name="RISKtandbEdge 4 2 2" xfId="3020" xr:uid="{00000000-0005-0000-0000-0000CC0B0000}"/>
    <cellStyle name="RISKtandbEdge 4 2 2 2" xfId="6305" xr:uid="{00000000-0005-0000-0000-0000A1180000}"/>
    <cellStyle name="RISKtandbEdge 4 2 3" xfId="6306" xr:uid="{00000000-0005-0000-0000-0000A2180000}"/>
    <cellStyle name="RISKtandbEdge 4 3" xfId="3021" xr:uid="{00000000-0005-0000-0000-0000CD0B0000}"/>
    <cellStyle name="RISKtandbEdge 4 3 2" xfId="3022" xr:uid="{00000000-0005-0000-0000-0000CE0B0000}"/>
    <cellStyle name="RISKtandbEdge 4 3 2 2" xfId="6307" xr:uid="{00000000-0005-0000-0000-0000A3180000}"/>
    <cellStyle name="RISKtandbEdge 4 3 3" xfId="6308" xr:uid="{00000000-0005-0000-0000-0000A4180000}"/>
    <cellStyle name="RISKtandbEdge 4 4" xfId="3023" xr:uid="{00000000-0005-0000-0000-0000CF0B0000}"/>
    <cellStyle name="RISKtandbEdge 4 4 2" xfId="3024" xr:uid="{00000000-0005-0000-0000-0000D00B0000}"/>
    <cellStyle name="RISKtandbEdge 4 4 2 2" xfId="6309" xr:uid="{00000000-0005-0000-0000-0000A5180000}"/>
    <cellStyle name="RISKtandbEdge 4 4 3" xfId="6310" xr:uid="{00000000-0005-0000-0000-0000A6180000}"/>
    <cellStyle name="RISKtandbEdge 4 5" xfId="3025" xr:uid="{00000000-0005-0000-0000-0000D10B0000}"/>
    <cellStyle name="RISKtandbEdge 4 5 2" xfId="6311" xr:uid="{00000000-0005-0000-0000-0000A7180000}"/>
    <cellStyle name="RISKtandbEdge 4 6" xfId="3026" xr:uid="{00000000-0005-0000-0000-0000D20B0000}"/>
    <cellStyle name="RISKtandbEdge 4 6 2" xfId="6312" xr:uid="{00000000-0005-0000-0000-0000A8180000}"/>
    <cellStyle name="RISKtandbEdge 4 7" xfId="6313" xr:uid="{00000000-0005-0000-0000-0000A9180000}"/>
    <cellStyle name="RISKtandbEdge 5" xfId="3027" xr:uid="{00000000-0005-0000-0000-0000D30B0000}"/>
    <cellStyle name="RISKtandbEdge 5 2" xfId="6314" xr:uid="{00000000-0005-0000-0000-0000AA180000}"/>
    <cellStyle name="RISKtandbEdge 6" xfId="3028" xr:uid="{00000000-0005-0000-0000-0000D40B0000}"/>
    <cellStyle name="RISKtandbEdge 6 2" xfId="6315" xr:uid="{00000000-0005-0000-0000-0000AB180000}"/>
    <cellStyle name="RISKtandbEdge 7" xfId="3029" xr:uid="{00000000-0005-0000-0000-0000D50B0000}"/>
    <cellStyle name="RISKtandbEdge 7 2" xfId="6316" xr:uid="{00000000-0005-0000-0000-0000AC180000}"/>
    <cellStyle name="RISKtandbEdge 8" xfId="6317" xr:uid="{00000000-0005-0000-0000-0000AD180000}"/>
    <cellStyle name="RISKtandbEdge_PyG" xfId="3030" xr:uid="{00000000-0005-0000-0000-0000D60B0000}"/>
    <cellStyle name="RISKtlandrEdge" xfId="3031" xr:uid="{00000000-0005-0000-0000-0000D70B0000}"/>
    <cellStyle name="RISKtlandrEdge 2" xfId="3032" xr:uid="{00000000-0005-0000-0000-0000D80B0000}"/>
    <cellStyle name="RISKtlandrEdge 2 2" xfId="3033" xr:uid="{00000000-0005-0000-0000-0000D90B0000}"/>
    <cellStyle name="RISKtlandrEdge 2 2 2" xfId="3034" xr:uid="{00000000-0005-0000-0000-0000DA0B0000}"/>
    <cellStyle name="RISKtlandrEdge 2 2 2 2" xfId="6318" xr:uid="{00000000-0005-0000-0000-0000AE180000}"/>
    <cellStyle name="RISKtlandrEdge 2 2 3" xfId="6319" xr:uid="{00000000-0005-0000-0000-0000AF180000}"/>
    <cellStyle name="RISKtlandrEdge 2 3" xfId="3035" xr:uid="{00000000-0005-0000-0000-0000DB0B0000}"/>
    <cellStyle name="RISKtlandrEdge 2 3 2" xfId="3036" xr:uid="{00000000-0005-0000-0000-0000DC0B0000}"/>
    <cellStyle name="RISKtlandrEdge 2 3 2 2" xfId="6320" xr:uid="{00000000-0005-0000-0000-0000B0180000}"/>
    <cellStyle name="RISKtlandrEdge 2 3 3" xfId="6321" xr:uid="{00000000-0005-0000-0000-0000B1180000}"/>
    <cellStyle name="RISKtlandrEdge 2 4" xfId="3037" xr:uid="{00000000-0005-0000-0000-0000DD0B0000}"/>
    <cellStyle name="RISKtlandrEdge 2 4 2" xfId="3038" xr:uid="{00000000-0005-0000-0000-0000DE0B0000}"/>
    <cellStyle name="RISKtlandrEdge 2 4 2 2" xfId="6322" xr:uid="{00000000-0005-0000-0000-0000B2180000}"/>
    <cellStyle name="RISKtlandrEdge 2 4 3" xfId="6323" xr:uid="{00000000-0005-0000-0000-0000B3180000}"/>
    <cellStyle name="RISKtlandrEdge 2 5" xfId="3039" xr:uid="{00000000-0005-0000-0000-0000DF0B0000}"/>
    <cellStyle name="RISKtlandrEdge 2 5 2" xfId="6324" xr:uid="{00000000-0005-0000-0000-0000B4180000}"/>
    <cellStyle name="RISKtlandrEdge 2 6" xfId="3040" xr:uid="{00000000-0005-0000-0000-0000E00B0000}"/>
    <cellStyle name="RISKtlandrEdge 2 6 2" xfId="6325" xr:uid="{00000000-0005-0000-0000-0000B5180000}"/>
    <cellStyle name="RISKtlandrEdge 2 7" xfId="6326" xr:uid="{00000000-0005-0000-0000-0000B6180000}"/>
    <cellStyle name="RISKtlandrEdge 3" xfId="3041" xr:uid="{00000000-0005-0000-0000-0000E10B0000}"/>
    <cellStyle name="RISKtlandrEdge 3 2" xfId="3042" xr:uid="{00000000-0005-0000-0000-0000E20B0000}"/>
    <cellStyle name="RISKtlandrEdge 3 2 2" xfId="3043" xr:uid="{00000000-0005-0000-0000-0000E30B0000}"/>
    <cellStyle name="RISKtlandrEdge 3 2 2 2" xfId="6327" xr:uid="{00000000-0005-0000-0000-0000B7180000}"/>
    <cellStyle name="RISKtlandrEdge 3 2 3" xfId="6328" xr:uid="{00000000-0005-0000-0000-0000B8180000}"/>
    <cellStyle name="RISKtlandrEdge 3 3" xfId="3044" xr:uid="{00000000-0005-0000-0000-0000E40B0000}"/>
    <cellStyle name="RISKtlandrEdge 3 3 2" xfId="3045" xr:uid="{00000000-0005-0000-0000-0000E50B0000}"/>
    <cellStyle name="RISKtlandrEdge 3 3 2 2" xfId="6329" xr:uid="{00000000-0005-0000-0000-0000B9180000}"/>
    <cellStyle name="RISKtlandrEdge 3 3 3" xfId="6330" xr:uid="{00000000-0005-0000-0000-0000BA180000}"/>
    <cellStyle name="RISKtlandrEdge 3 4" xfId="3046" xr:uid="{00000000-0005-0000-0000-0000E60B0000}"/>
    <cellStyle name="RISKtlandrEdge 3 4 2" xfId="3047" xr:uid="{00000000-0005-0000-0000-0000E70B0000}"/>
    <cellStyle name="RISKtlandrEdge 3 4 2 2" xfId="6331" xr:uid="{00000000-0005-0000-0000-0000BB180000}"/>
    <cellStyle name="RISKtlandrEdge 3 4 3" xfId="6332" xr:uid="{00000000-0005-0000-0000-0000BC180000}"/>
    <cellStyle name="RISKtlandrEdge 3 5" xfId="3048" xr:uid="{00000000-0005-0000-0000-0000E80B0000}"/>
    <cellStyle name="RISKtlandrEdge 3 5 2" xfId="6333" xr:uid="{00000000-0005-0000-0000-0000BD180000}"/>
    <cellStyle name="RISKtlandrEdge 3 6" xfId="3049" xr:uid="{00000000-0005-0000-0000-0000E90B0000}"/>
    <cellStyle name="RISKtlandrEdge 3 6 2" xfId="6334" xr:uid="{00000000-0005-0000-0000-0000BE180000}"/>
    <cellStyle name="RISKtlandrEdge 3 7" xfId="6335" xr:uid="{00000000-0005-0000-0000-0000BF180000}"/>
    <cellStyle name="RISKtlandrEdge 4" xfId="3050" xr:uid="{00000000-0005-0000-0000-0000EA0B0000}"/>
    <cellStyle name="RISKtlandrEdge 4 2" xfId="3051" xr:uid="{00000000-0005-0000-0000-0000EB0B0000}"/>
    <cellStyle name="RISKtlandrEdge 4 2 2" xfId="3052" xr:uid="{00000000-0005-0000-0000-0000EC0B0000}"/>
    <cellStyle name="RISKtlandrEdge 4 2 2 2" xfId="6336" xr:uid="{00000000-0005-0000-0000-0000C0180000}"/>
    <cellStyle name="RISKtlandrEdge 4 2 3" xfId="6337" xr:uid="{00000000-0005-0000-0000-0000C1180000}"/>
    <cellStyle name="RISKtlandrEdge 4 3" xfId="3053" xr:uid="{00000000-0005-0000-0000-0000ED0B0000}"/>
    <cellStyle name="RISKtlandrEdge 4 3 2" xfId="3054" xr:uid="{00000000-0005-0000-0000-0000EE0B0000}"/>
    <cellStyle name="RISKtlandrEdge 4 3 2 2" xfId="6338" xr:uid="{00000000-0005-0000-0000-0000C2180000}"/>
    <cellStyle name="RISKtlandrEdge 4 3 3" xfId="6339" xr:uid="{00000000-0005-0000-0000-0000C3180000}"/>
    <cellStyle name="RISKtlandrEdge 4 4" xfId="3055" xr:uid="{00000000-0005-0000-0000-0000EF0B0000}"/>
    <cellStyle name="RISKtlandrEdge 4 4 2" xfId="3056" xr:uid="{00000000-0005-0000-0000-0000F00B0000}"/>
    <cellStyle name="RISKtlandrEdge 4 4 2 2" xfId="6340" xr:uid="{00000000-0005-0000-0000-0000C4180000}"/>
    <cellStyle name="RISKtlandrEdge 4 4 3" xfId="6341" xr:uid="{00000000-0005-0000-0000-0000C5180000}"/>
    <cellStyle name="RISKtlandrEdge 4 5" xfId="3057" xr:uid="{00000000-0005-0000-0000-0000F10B0000}"/>
    <cellStyle name="RISKtlandrEdge 4 5 2" xfId="6342" xr:uid="{00000000-0005-0000-0000-0000C6180000}"/>
    <cellStyle name="RISKtlandrEdge 4 6" xfId="3058" xr:uid="{00000000-0005-0000-0000-0000F20B0000}"/>
    <cellStyle name="RISKtlandrEdge 4 6 2" xfId="6343" xr:uid="{00000000-0005-0000-0000-0000C7180000}"/>
    <cellStyle name="RISKtlandrEdge 4 7" xfId="6344" xr:uid="{00000000-0005-0000-0000-0000C8180000}"/>
    <cellStyle name="RISKtlandrEdge 5" xfId="3059" xr:uid="{00000000-0005-0000-0000-0000F30B0000}"/>
    <cellStyle name="RISKtlandrEdge 5 2" xfId="6345" xr:uid="{00000000-0005-0000-0000-0000C9180000}"/>
    <cellStyle name="RISKtlandrEdge 6" xfId="3060" xr:uid="{00000000-0005-0000-0000-0000F40B0000}"/>
    <cellStyle name="RISKtlandrEdge 6 2" xfId="6346" xr:uid="{00000000-0005-0000-0000-0000CA180000}"/>
    <cellStyle name="RISKtlandrEdge 7" xfId="3061" xr:uid="{00000000-0005-0000-0000-0000F50B0000}"/>
    <cellStyle name="RISKtlandrEdge 7 2" xfId="6347" xr:uid="{00000000-0005-0000-0000-0000CB180000}"/>
    <cellStyle name="RISKtlandrEdge 8" xfId="6348" xr:uid="{00000000-0005-0000-0000-0000CC180000}"/>
    <cellStyle name="RISKtlandrEdge_PyG" xfId="3062" xr:uid="{00000000-0005-0000-0000-0000F60B0000}"/>
    <cellStyle name="RISKtlCorner" xfId="3063" xr:uid="{00000000-0005-0000-0000-0000F70B0000}"/>
    <cellStyle name="RISKtlCorner 2" xfId="3064" xr:uid="{00000000-0005-0000-0000-0000F80B0000}"/>
    <cellStyle name="RISKtlCorner 2 2" xfId="3065" xr:uid="{00000000-0005-0000-0000-0000F90B0000}"/>
    <cellStyle name="RISKtlCorner 2 2 2" xfId="3066" xr:uid="{00000000-0005-0000-0000-0000FA0B0000}"/>
    <cellStyle name="RISKtlCorner 2 2 2 2" xfId="6349" xr:uid="{00000000-0005-0000-0000-0000CD180000}"/>
    <cellStyle name="RISKtlCorner 2 2 3" xfId="6350" xr:uid="{00000000-0005-0000-0000-0000CE180000}"/>
    <cellStyle name="RISKtlCorner 2 3" xfId="3067" xr:uid="{00000000-0005-0000-0000-0000FB0B0000}"/>
    <cellStyle name="RISKtlCorner 2 3 2" xfId="3068" xr:uid="{00000000-0005-0000-0000-0000FC0B0000}"/>
    <cellStyle name="RISKtlCorner 2 3 2 2" xfId="6351" xr:uid="{00000000-0005-0000-0000-0000CF180000}"/>
    <cellStyle name="RISKtlCorner 2 3 3" xfId="6352" xr:uid="{00000000-0005-0000-0000-0000D0180000}"/>
    <cellStyle name="RISKtlCorner 2 4" xfId="3069" xr:uid="{00000000-0005-0000-0000-0000FD0B0000}"/>
    <cellStyle name="RISKtlCorner 2 4 2" xfId="3070" xr:uid="{00000000-0005-0000-0000-0000FE0B0000}"/>
    <cellStyle name="RISKtlCorner 2 4 2 2" xfId="6353" xr:uid="{00000000-0005-0000-0000-0000D1180000}"/>
    <cellStyle name="RISKtlCorner 2 4 3" xfId="6354" xr:uid="{00000000-0005-0000-0000-0000D2180000}"/>
    <cellStyle name="RISKtlCorner 2 5" xfId="3071" xr:uid="{00000000-0005-0000-0000-0000FF0B0000}"/>
    <cellStyle name="RISKtlCorner 2 5 2" xfId="6355" xr:uid="{00000000-0005-0000-0000-0000D3180000}"/>
    <cellStyle name="RISKtlCorner 2 6" xfId="3072" xr:uid="{00000000-0005-0000-0000-0000000C0000}"/>
    <cellStyle name="RISKtlCorner 2 6 2" xfId="6356" xr:uid="{00000000-0005-0000-0000-0000D4180000}"/>
    <cellStyle name="RISKtlCorner 2 7" xfId="6357" xr:uid="{00000000-0005-0000-0000-0000D5180000}"/>
    <cellStyle name="RISKtlCorner 3" xfId="3073" xr:uid="{00000000-0005-0000-0000-0000010C0000}"/>
    <cellStyle name="RISKtlCorner 3 2" xfId="3074" xr:uid="{00000000-0005-0000-0000-0000020C0000}"/>
    <cellStyle name="RISKtlCorner 3 2 2" xfId="3075" xr:uid="{00000000-0005-0000-0000-0000030C0000}"/>
    <cellStyle name="RISKtlCorner 3 2 2 2" xfId="6358" xr:uid="{00000000-0005-0000-0000-0000D6180000}"/>
    <cellStyle name="RISKtlCorner 3 2 3" xfId="6359" xr:uid="{00000000-0005-0000-0000-0000D7180000}"/>
    <cellStyle name="RISKtlCorner 3 3" xfId="3076" xr:uid="{00000000-0005-0000-0000-0000040C0000}"/>
    <cellStyle name="RISKtlCorner 3 3 2" xfId="3077" xr:uid="{00000000-0005-0000-0000-0000050C0000}"/>
    <cellStyle name="RISKtlCorner 3 3 2 2" xfId="6360" xr:uid="{00000000-0005-0000-0000-0000D8180000}"/>
    <cellStyle name="RISKtlCorner 3 3 3" xfId="6361" xr:uid="{00000000-0005-0000-0000-0000D9180000}"/>
    <cellStyle name="RISKtlCorner 3 4" xfId="3078" xr:uid="{00000000-0005-0000-0000-0000060C0000}"/>
    <cellStyle name="RISKtlCorner 3 4 2" xfId="3079" xr:uid="{00000000-0005-0000-0000-0000070C0000}"/>
    <cellStyle name="RISKtlCorner 3 4 2 2" xfId="6362" xr:uid="{00000000-0005-0000-0000-0000DA180000}"/>
    <cellStyle name="RISKtlCorner 3 4 3" xfId="6363" xr:uid="{00000000-0005-0000-0000-0000DB180000}"/>
    <cellStyle name="RISKtlCorner 3 5" xfId="3080" xr:uid="{00000000-0005-0000-0000-0000080C0000}"/>
    <cellStyle name="RISKtlCorner 3 5 2" xfId="6364" xr:uid="{00000000-0005-0000-0000-0000DC180000}"/>
    <cellStyle name="RISKtlCorner 3 6" xfId="3081" xr:uid="{00000000-0005-0000-0000-0000090C0000}"/>
    <cellStyle name="RISKtlCorner 3 6 2" xfId="6365" xr:uid="{00000000-0005-0000-0000-0000DD180000}"/>
    <cellStyle name="RISKtlCorner 3 7" xfId="6366" xr:uid="{00000000-0005-0000-0000-0000DE180000}"/>
    <cellStyle name="RISKtlCorner 4" xfId="3082" xr:uid="{00000000-0005-0000-0000-00000A0C0000}"/>
    <cellStyle name="RISKtlCorner 4 2" xfId="3083" xr:uid="{00000000-0005-0000-0000-00000B0C0000}"/>
    <cellStyle name="RISKtlCorner 4 2 2" xfId="3084" xr:uid="{00000000-0005-0000-0000-00000C0C0000}"/>
    <cellStyle name="RISKtlCorner 4 2 2 2" xfId="6367" xr:uid="{00000000-0005-0000-0000-0000DF180000}"/>
    <cellStyle name="RISKtlCorner 4 2 3" xfId="6368" xr:uid="{00000000-0005-0000-0000-0000E0180000}"/>
    <cellStyle name="RISKtlCorner 4 3" xfId="3085" xr:uid="{00000000-0005-0000-0000-00000D0C0000}"/>
    <cellStyle name="RISKtlCorner 4 3 2" xfId="3086" xr:uid="{00000000-0005-0000-0000-00000E0C0000}"/>
    <cellStyle name="RISKtlCorner 4 3 2 2" xfId="6369" xr:uid="{00000000-0005-0000-0000-0000E1180000}"/>
    <cellStyle name="RISKtlCorner 4 3 3" xfId="6370" xr:uid="{00000000-0005-0000-0000-0000E2180000}"/>
    <cellStyle name="RISKtlCorner 4 4" xfId="3087" xr:uid="{00000000-0005-0000-0000-00000F0C0000}"/>
    <cellStyle name="RISKtlCorner 4 4 2" xfId="3088" xr:uid="{00000000-0005-0000-0000-0000100C0000}"/>
    <cellStyle name="RISKtlCorner 4 4 2 2" xfId="6371" xr:uid="{00000000-0005-0000-0000-0000E3180000}"/>
    <cellStyle name="RISKtlCorner 4 4 3" xfId="6372" xr:uid="{00000000-0005-0000-0000-0000E4180000}"/>
    <cellStyle name="RISKtlCorner 4 5" xfId="3089" xr:uid="{00000000-0005-0000-0000-0000110C0000}"/>
    <cellStyle name="RISKtlCorner 4 5 2" xfId="6373" xr:uid="{00000000-0005-0000-0000-0000E5180000}"/>
    <cellStyle name="RISKtlCorner 4 6" xfId="3090" xr:uid="{00000000-0005-0000-0000-0000120C0000}"/>
    <cellStyle name="RISKtlCorner 4 6 2" xfId="6374" xr:uid="{00000000-0005-0000-0000-0000E6180000}"/>
    <cellStyle name="RISKtlCorner 4 7" xfId="6375" xr:uid="{00000000-0005-0000-0000-0000E7180000}"/>
    <cellStyle name="RISKtlCorner 5" xfId="3091" xr:uid="{00000000-0005-0000-0000-0000130C0000}"/>
    <cellStyle name="RISKtlCorner 5 2" xfId="6376" xr:uid="{00000000-0005-0000-0000-0000E8180000}"/>
    <cellStyle name="RISKtlCorner 6" xfId="3092" xr:uid="{00000000-0005-0000-0000-0000140C0000}"/>
    <cellStyle name="RISKtlCorner 6 2" xfId="6377" xr:uid="{00000000-0005-0000-0000-0000E9180000}"/>
    <cellStyle name="RISKtlCorner 7" xfId="3093" xr:uid="{00000000-0005-0000-0000-0000150C0000}"/>
    <cellStyle name="RISKtlCorner 7 2" xfId="6378" xr:uid="{00000000-0005-0000-0000-0000EA180000}"/>
    <cellStyle name="RISKtlCorner 8" xfId="6379" xr:uid="{00000000-0005-0000-0000-0000EB180000}"/>
    <cellStyle name="RISKtlCorner_PyG" xfId="3094" xr:uid="{00000000-0005-0000-0000-0000160C0000}"/>
    <cellStyle name="RISKtopEdge" xfId="3095" xr:uid="{00000000-0005-0000-0000-0000170C0000}"/>
    <cellStyle name="RISKtopEdge 2" xfId="3096" xr:uid="{00000000-0005-0000-0000-0000180C0000}"/>
    <cellStyle name="RISKtopEdge 2 2" xfId="3097" xr:uid="{00000000-0005-0000-0000-0000190C0000}"/>
    <cellStyle name="RISKtopEdge 2 2 2" xfId="3098" xr:uid="{00000000-0005-0000-0000-00001A0C0000}"/>
    <cellStyle name="RISKtopEdge 2 2 2 2" xfId="6380" xr:uid="{00000000-0005-0000-0000-0000EC180000}"/>
    <cellStyle name="RISKtopEdge 2 2 3" xfId="6381" xr:uid="{00000000-0005-0000-0000-0000ED180000}"/>
    <cellStyle name="RISKtopEdge 2 3" xfId="3099" xr:uid="{00000000-0005-0000-0000-00001B0C0000}"/>
    <cellStyle name="RISKtopEdge 2 3 2" xfId="3100" xr:uid="{00000000-0005-0000-0000-00001C0C0000}"/>
    <cellStyle name="RISKtopEdge 2 3 2 2" xfId="6382" xr:uid="{00000000-0005-0000-0000-0000EE180000}"/>
    <cellStyle name="RISKtopEdge 2 3 3" xfId="6383" xr:uid="{00000000-0005-0000-0000-0000EF180000}"/>
    <cellStyle name="RISKtopEdge 2 4" xfId="3101" xr:uid="{00000000-0005-0000-0000-00001D0C0000}"/>
    <cellStyle name="RISKtopEdge 2 4 2" xfId="3102" xr:uid="{00000000-0005-0000-0000-00001E0C0000}"/>
    <cellStyle name="RISKtopEdge 2 4 2 2" xfId="6384" xr:uid="{00000000-0005-0000-0000-0000F0180000}"/>
    <cellStyle name="RISKtopEdge 2 4 3" xfId="6385" xr:uid="{00000000-0005-0000-0000-0000F1180000}"/>
    <cellStyle name="RISKtopEdge 2 5" xfId="3103" xr:uid="{00000000-0005-0000-0000-00001F0C0000}"/>
    <cellStyle name="RISKtopEdge 2 5 2" xfId="6386" xr:uid="{00000000-0005-0000-0000-0000F2180000}"/>
    <cellStyle name="RISKtopEdge 2 6" xfId="3104" xr:uid="{00000000-0005-0000-0000-0000200C0000}"/>
    <cellStyle name="RISKtopEdge 2 6 2" xfId="6387" xr:uid="{00000000-0005-0000-0000-0000F3180000}"/>
    <cellStyle name="RISKtopEdge 2 7" xfId="6388" xr:uid="{00000000-0005-0000-0000-0000F4180000}"/>
    <cellStyle name="RISKtopEdge 3" xfId="3105" xr:uid="{00000000-0005-0000-0000-0000210C0000}"/>
    <cellStyle name="RISKtopEdge 3 2" xfId="3106" xr:uid="{00000000-0005-0000-0000-0000220C0000}"/>
    <cellStyle name="RISKtopEdge 3 2 2" xfId="3107" xr:uid="{00000000-0005-0000-0000-0000230C0000}"/>
    <cellStyle name="RISKtopEdge 3 2 2 2" xfId="6389" xr:uid="{00000000-0005-0000-0000-0000F5180000}"/>
    <cellStyle name="RISKtopEdge 3 2 3" xfId="6390" xr:uid="{00000000-0005-0000-0000-0000F6180000}"/>
    <cellStyle name="RISKtopEdge 3 3" xfId="3108" xr:uid="{00000000-0005-0000-0000-0000240C0000}"/>
    <cellStyle name="RISKtopEdge 3 3 2" xfId="3109" xr:uid="{00000000-0005-0000-0000-0000250C0000}"/>
    <cellStyle name="RISKtopEdge 3 3 2 2" xfId="6391" xr:uid="{00000000-0005-0000-0000-0000F7180000}"/>
    <cellStyle name="RISKtopEdge 3 3 3" xfId="6392" xr:uid="{00000000-0005-0000-0000-0000F8180000}"/>
    <cellStyle name="RISKtopEdge 3 4" xfId="3110" xr:uid="{00000000-0005-0000-0000-0000260C0000}"/>
    <cellStyle name="RISKtopEdge 3 4 2" xfId="3111" xr:uid="{00000000-0005-0000-0000-0000270C0000}"/>
    <cellStyle name="RISKtopEdge 3 4 2 2" xfId="6393" xr:uid="{00000000-0005-0000-0000-0000F9180000}"/>
    <cellStyle name="RISKtopEdge 3 4 3" xfId="6394" xr:uid="{00000000-0005-0000-0000-0000FA180000}"/>
    <cellStyle name="RISKtopEdge 3 5" xfId="3112" xr:uid="{00000000-0005-0000-0000-0000280C0000}"/>
    <cellStyle name="RISKtopEdge 3 5 2" xfId="6395" xr:uid="{00000000-0005-0000-0000-0000FB180000}"/>
    <cellStyle name="RISKtopEdge 3 6" xfId="3113" xr:uid="{00000000-0005-0000-0000-0000290C0000}"/>
    <cellStyle name="RISKtopEdge 3 6 2" xfId="6396" xr:uid="{00000000-0005-0000-0000-0000FC180000}"/>
    <cellStyle name="RISKtopEdge 3 7" xfId="6397" xr:uid="{00000000-0005-0000-0000-0000FD180000}"/>
    <cellStyle name="RISKtopEdge 4" xfId="3114" xr:uid="{00000000-0005-0000-0000-00002A0C0000}"/>
    <cellStyle name="RISKtopEdge 4 2" xfId="3115" xr:uid="{00000000-0005-0000-0000-00002B0C0000}"/>
    <cellStyle name="RISKtopEdge 4 2 2" xfId="3116" xr:uid="{00000000-0005-0000-0000-00002C0C0000}"/>
    <cellStyle name="RISKtopEdge 4 2 2 2" xfId="6398" xr:uid="{00000000-0005-0000-0000-0000FE180000}"/>
    <cellStyle name="RISKtopEdge 4 2 3" xfId="6399" xr:uid="{00000000-0005-0000-0000-0000FF180000}"/>
    <cellStyle name="RISKtopEdge 4 3" xfId="3117" xr:uid="{00000000-0005-0000-0000-00002D0C0000}"/>
    <cellStyle name="RISKtopEdge 4 3 2" xfId="3118" xr:uid="{00000000-0005-0000-0000-00002E0C0000}"/>
    <cellStyle name="RISKtopEdge 4 3 2 2" xfId="6400" xr:uid="{00000000-0005-0000-0000-000000190000}"/>
    <cellStyle name="RISKtopEdge 4 3 3" xfId="6401" xr:uid="{00000000-0005-0000-0000-000001190000}"/>
    <cellStyle name="RISKtopEdge 4 4" xfId="3119" xr:uid="{00000000-0005-0000-0000-00002F0C0000}"/>
    <cellStyle name="RISKtopEdge 4 4 2" xfId="3120" xr:uid="{00000000-0005-0000-0000-0000300C0000}"/>
    <cellStyle name="RISKtopEdge 4 4 2 2" xfId="6402" xr:uid="{00000000-0005-0000-0000-000002190000}"/>
    <cellStyle name="RISKtopEdge 4 4 3" xfId="6403" xr:uid="{00000000-0005-0000-0000-000003190000}"/>
    <cellStyle name="RISKtopEdge 4 5" xfId="3121" xr:uid="{00000000-0005-0000-0000-0000310C0000}"/>
    <cellStyle name="RISKtopEdge 4 5 2" xfId="6404" xr:uid="{00000000-0005-0000-0000-000004190000}"/>
    <cellStyle name="RISKtopEdge 4 6" xfId="3122" xr:uid="{00000000-0005-0000-0000-0000320C0000}"/>
    <cellStyle name="RISKtopEdge 4 6 2" xfId="6405" xr:uid="{00000000-0005-0000-0000-000005190000}"/>
    <cellStyle name="RISKtopEdge 4 7" xfId="6406" xr:uid="{00000000-0005-0000-0000-000006190000}"/>
    <cellStyle name="RISKtopEdge 5" xfId="3123" xr:uid="{00000000-0005-0000-0000-0000330C0000}"/>
    <cellStyle name="RISKtopEdge 5 2" xfId="6407" xr:uid="{00000000-0005-0000-0000-000007190000}"/>
    <cellStyle name="RISKtopEdge 6" xfId="3124" xr:uid="{00000000-0005-0000-0000-0000340C0000}"/>
    <cellStyle name="RISKtopEdge 6 2" xfId="6408" xr:uid="{00000000-0005-0000-0000-000008190000}"/>
    <cellStyle name="RISKtopEdge 7" xfId="3125" xr:uid="{00000000-0005-0000-0000-0000350C0000}"/>
    <cellStyle name="RISKtopEdge 7 2" xfId="6409" xr:uid="{00000000-0005-0000-0000-000009190000}"/>
    <cellStyle name="RISKtopEdge 8" xfId="6410" xr:uid="{00000000-0005-0000-0000-00000A190000}"/>
    <cellStyle name="RISKtopEdge_PyG" xfId="3126" xr:uid="{00000000-0005-0000-0000-0000360C0000}"/>
    <cellStyle name="RISKtrCorner" xfId="3127" xr:uid="{00000000-0005-0000-0000-0000370C0000}"/>
    <cellStyle name="RISKtrCorner 2" xfId="3128" xr:uid="{00000000-0005-0000-0000-0000380C0000}"/>
    <cellStyle name="RISKtrCorner 2 2" xfId="3129" xr:uid="{00000000-0005-0000-0000-0000390C0000}"/>
    <cellStyle name="RISKtrCorner 2 2 2" xfId="3130" xr:uid="{00000000-0005-0000-0000-00003A0C0000}"/>
    <cellStyle name="RISKtrCorner 2 2 2 2" xfId="6411" xr:uid="{00000000-0005-0000-0000-00000B190000}"/>
    <cellStyle name="RISKtrCorner 2 2 3" xfId="6412" xr:uid="{00000000-0005-0000-0000-00000C190000}"/>
    <cellStyle name="RISKtrCorner 2 3" xfId="3131" xr:uid="{00000000-0005-0000-0000-00003B0C0000}"/>
    <cellStyle name="RISKtrCorner 2 3 2" xfId="3132" xr:uid="{00000000-0005-0000-0000-00003C0C0000}"/>
    <cellStyle name="RISKtrCorner 2 3 2 2" xfId="6413" xr:uid="{00000000-0005-0000-0000-00000D190000}"/>
    <cellStyle name="RISKtrCorner 2 3 3" xfId="6414" xr:uid="{00000000-0005-0000-0000-00000E190000}"/>
    <cellStyle name="RISKtrCorner 2 4" xfId="3133" xr:uid="{00000000-0005-0000-0000-00003D0C0000}"/>
    <cellStyle name="RISKtrCorner 2 4 2" xfId="3134" xr:uid="{00000000-0005-0000-0000-00003E0C0000}"/>
    <cellStyle name="RISKtrCorner 2 4 2 2" xfId="6415" xr:uid="{00000000-0005-0000-0000-00000F190000}"/>
    <cellStyle name="RISKtrCorner 2 4 3" xfId="6416" xr:uid="{00000000-0005-0000-0000-000010190000}"/>
    <cellStyle name="RISKtrCorner 2 5" xfId="3135" xr:uid="{00000000-0005-0000-0000-00003F0C0000}"/>
    <cellStyle name="RISKtrCorner 2 5 2" xfId="6417" xr:uid="{00000000-0005-0000-0000-000011190000}"/>
    <cellStyle name="RISKtrCorner 2 6" xfId="3136" xr:uid="{00000000-0005-0000-0000-0000400C0000}"/>
    <cellStyle name="RISKtrCorner 2 6 2" xfId="6418" xr:uid="{00000000-0005-0000-0000-000012190000}"/>
    <cellStyle name="RISKtrCorner 2 7" xfId="6419" xr:uid="{00000000-0005-0000-0000-000013190000}"/>
    <cellStyle name="RISKtrCorner 3" xfId="3137" xr:uid="{00000000-0005-0000-0000-0000410C0000}"/>
    <cellStyle name="RISKtrCorner 3 2" xfId="3138" xr:uid="{00000000-0005-0000-0000-0000420C0000}"/>
    <cellStyle name="RISKtrCorner 3 2 2" xfId="3139" xr:uid="{00000000-0005-0000-0000-0000430C0000}"/>
    <cellStyle name="RISKtrCorner 3 2 2 2" xfId="6420" xr:uid="{00000000-0005-0000-0000-000014190000}"/>
    <cellStyle name="RISKtrCorner 3 2 3" xfId="6421" xr:uid="{00000000-0005-0000-0000-000015190000}"/>
    <cellStyle name="RISKtrCorner 3 3" xfId="3140" xr:uid="{00000000-0005-0000-0000-0000440C0000}"/>
    <cellStyle name="RISKtrCorner 3 3 2" xfId="3141" xr:uid="{00000000-0005-0000-0000-0000450C0000}"/>
    <cellStyle name="RISKtrCorner 3 3 2 2" xfId="6422" xr:uid="{00000000-0005-0000-0000-000016190000}"/>
    <cellStyle name="RISKtrCorner 3 3 3" xfId="6423" xr:uid="{00000000-0005-0000-0000-000017190000}"/>
    <cellStyle name="RISKtrCorner 3 4" xfId="3142" xr:uid="{00000000-0005-0000-0000-0000460C0000}"/>
    <cellStyle name="RISKtrCorner 3 4 2" xfId="3143" xr:uid="{00000000-0005-0000-0000-0000470C0000}"/>
    <cellStyle name="RISKtrCorner 3 4 2 2" xfId="6424" xr:uid="{00000000-0005-0000-0000-000018190000}"/>
    <cellStyle name="RISKtrCorner 3 4 3" xfId="6425" xr:uid="{00000000-0005-0000-0000-000019190000}"/>
    <cellStyle name="RISKtrCorner 3 5" xfId="3144" xr:uid="{00000000-0005-0000-0000-0000480C0000}"/>
    <cellStyle name="RISKtrCorner 3 5 2" xfId="6426" xr:uid="{00000000-0005-0000-0000-00001A190000}"/>
    <cellStyle name="RISKtrCorner 3 6" xfId="3145" xr:uid="{00000000-0005-0000-0000-0000490C0000}"/>
    <cellStyle name="RISKtrCorner 3 6 2" xfId="6427" xr:uid="{00000000-0005-0000-0000-00001B190000}"/>
    <cellStyle name="RISKtrCorner 3 7" xfId="6428" xr:uid="{00000000-0005-0000-0000-00001C190000}"/>
    <cellStyle name="RISKtrCorner 4" xfId="3146" xr:uid="{00000000-0005-0000-0000-00004A0C0000}"/>
    <cellStyle name="RISKtrCorner 4 2" xfId="3147" xr:uid="{00000000-0005-0000-0000-00004B0C0000}"/>
    <cellStyle name="RISKtrCorner 4 2 2" xfId="3148" xr:uid="{00000000-0005-0000-0000-00004C0C0000}"/>
    <cellStyle name="RISKtrCorner 4 2 2 2" xfId="6429" xr:uid="{00000000-0005-0000-0000-00001D190000}"/>
    <cellStyle name="RISKtrCorner 4 2 3" xfId="6430" xr:uid="{00000000-0005-0000-0000-00001E190000}"/>
    <cellStyle name="RISKtrCorner 4 3" xfId="3149" xr:uid="{00000000-0005-0000-0000-00004D0C0000}"/>
    <cellStyle name="RISKtrCorner 4 3 2" xfId="3150" xr:uid="{00000000-0005-0000-0000-00004E0C0000}"/>
    <cellStyle name="RISKtrCorner 4 3 2 2" xfId="6431" xr:uid="{00000000-0005-0000-0000-00001F190000}"/>
    <cellStyle name="RISKtrCorner 4 3 3" xfId="6432" xr:uid="{00000000-0005-0000-0000-000020190000}"/>
    <cellStyle name="RISKtrCorner 4 4" xfId="3151" xr:uid="{00000000-0005-0000-0000-00004F0C0000}"/>
    <cellStyle name="RISKtrCorner 4 4 2" xfId="3152" xr:uid="{00000000-0005-0000-0000-0000500C0000}"/>
    <cellStyle name="RISKtrCorner 4 4 2 2" xfId="6433" xr:uid="{00000000-0005-0000-0000-000021190000}"/>
    <cellStyle name="RISKtrCorner 4 4 3" xfId="6434" xr:uid="{00000000-0005-0000-0000-000022190000}"/>
    <cellStyle name="RISKtrCorner 4 5" xfId="3153" xr:uid="{00000000-0005-0000-0000-0000510C0000}"/>
    <cellStyle name="RISKtrCorner 4 5 2" xfId="6435" xr:uid="{00000000-0005-0000-0000-000023190000}"/>
    <cellStyle name="RISKtrCorner 4 6" xfId="3154" xr:uid="{00000000-0005-0000-0000-0000520C0000}"/>
    <cellStyle name="RISKtrCorner 4 6 2" xfId="6436" xr:uid="{00000000-0005-0000-0000-000024190000}"/>
    <cellStyle name="RISKtrCorner 4 7" xfId="6437" xr:uid="{00000000-0005-0000-0000-000025190000}"/>
    <cellStyle name="RISKtrCorner 5" xfId="3155" xr:uid="{00000000-0005-0000-0000-0000530C0000}"/>
    <cellStyle name="RISKtrCorner 5 2" xfId="6438" xr:uid="{00000000-0005-0000-0000-000026190000}"/>
    <cellStyle name="RISKtrCorner 6" xfId="3156" xr:uid="{00000000-0005-0000-0000-0000540C0000}"/>
    <cellStyle name="RISKtrCorner 6 2" xfId="6439" xr:uid="{00000000-0005-0000-0000-000027190000}"/>
    <cellStyle name="RISKtrCorner 7" xfId="3157" xr:uid="{00000000-0005-0000-0000-0000550C0000}"/>
    <cellStyle name="RISKtrCorner 7 2" xfId="6440" xr:uid="{00000000-0005-0000-0000-000028190000}"/>
    <cellStyle name="RISKtrCorner 8" xfId="6441" xr:uid="{00000000-0005-0000-0000-000029190000}"/>
    <cellStyle name="RISKtrCorner_PyG" xfId="3158" xr:uid="{00000000-0005-0000-0000-0000560C0000}"/>
    <cellStyle name="Saída" xfId="3159" xr:uid="{00000000-0005-0000-0000-0000570C0000}"/>
    <cellStyle name="Salida 10" xfId="6442" xr:uid="{00000000-0005-0000-0000-00002A190000}"/>
    <cellStyle name="Salida 11" xfId="6443" xr:uid="{00000000-0005-0000-0000-00002B190000}"/>
    <cellStyle name="Salida 11 2" xfId="6444" xr:uid="{00000000-0005-0000-0000-00002C190000}"/>
    <cellStyle name="Salida 12" xfId="6445" xr:uid="{00000000-0005-0000-0000-00002D190000}"/>
    <cellStyle name="Salida 12 2" xfId="6446" xr:uid="{00000000-0005-0000-0000-00002E190000}"/>
    <cellStyle name="Salida 13" xfId="6447" xr:uid="{00000000-0005-0000-0000-00002F190000}"/>
    <cellStyle name="Salida 13 2" xfId="6448" xr:uid="{00000000-0005-0000-0000-000030190000}"/>
    <cellStyle name="Salida 14" xfId="6449" xr:uid="{00000000-0005-0000-0000-000031190000}"/>
    <cellStyle name="Salida 14 2" xfId="6450" xr:uid="{00000000-0005-0000-0000-000032190000}"/>
    <cellStyle name="Salida 15" xfId="6451" xr:uid="{00000000-0005-0000-0000-000033190000}"/>
    <cellStyle name="Salida 15 2" xfId="6452" xr:uid="{00000000-0005-0000-0000-000034190000}"/>
    <cellStyle name="Salida 16" xfId="6453" xr:uid="{00000000-0005-0000-0000-000035190000}"/>
    <cellStyle name="Salida 2" xfId="3160" xr:uid="{00000000-0005-0000-0000-0000580C0000}"/>
    <cellStyle name="Salida 2 2" xfId="3161" xr:uid="{00000000-0005-0000-0000-0000590C0000}"/>
    <cellStyle name="Salida 2 2 2" xfId="6454" xr:uid="{00000000-0005-0000-0000-000036190000}"/>
    <cellStyle name="Salida 2 2 3" xfId="6455" xr:uid="{00000000-0005-0000-0000-000037190000}"/>
    <cellStyle name="Salida 2 2 4" xfId="6456" xr:uid="{00000000-0005-0000-0000-000038190000}"/>
    <cellStyle name="Salida 2 2 4 2" xfId="6457" xr:uid="{00000000-0005-0000-0000-000039190000}"/>
    <cellStyle name="Salida 2 3" xfId="6458" xr:uid="{00000000-0005-0000-0000-00003A190000}"/>
    <cellStyle name="Salida 2 4" xfId="6459" xr:uid="{00000000-0005-0000-0000-00003B190000}"/>
    <cellStyle name="Salida 2 4 2" xfId="6460" xr:uid="{00000000-0005-0000-0000-00003C190000}"/>
    <cellStyle name="Salida 2 5" xfId="6461" xr:uid="{00000000-0005-0000-0000-00003D190000}"/>
    <cellStyle name="Salida 2_GRUPO4Q-2009 COMPLETO" xfId="3644" xr:uid="{00000000-0005-0000-0000-00003C0E0000}"/>
    <cellStyle name="Salida 3" xfId="3645" xr:uid="{00000000-0005-0000-0000-00003D0E0000}"/>
    <cellStyle name="Salida 3 2" xfId="6462" xr:uid="{00000000-0005-0000-0000-00003E190000}"/>
    <cellStyle name="Salida 3 3" xfId="6463" xr:uid="{00000000-0005-0000-0000-00003F190000}"/>
    <cellStyle name="Salida 4" xfId="6464" xr:uid="{00000000-0005-0000-0000-000040190000}"/>
    <cellStyle name="Salida 4 2" xfId="6465" xr:uid="{00000000-0005-0000-0000-000041190000}"/>
    <cellStyle name="Salida 4 3" xfId="6466" xr:uid="{00000000-0005-0000-0000-000042190000}"/>
    <cellStyle name="Salida 5" xfId="6467" xr:uid="{00000000-0005-0000-0000-000043190000}"/>
    <cellStyle name="Salida 6" xfId="6468" xr:uid="{00000000-0005-0000-0000-000044190000}"/>
    <cellStyle name="Salida 7" xfId="6469" xr:uid="{00000000-0005-0000-0000-000045190000}"/>
    <cellStyle name="Salida 8" xfId="6470" xr:uid="{00000000-0005-0000-0000-000046190000}"/>
    <cellStyle name="Salida 9" xfId="6471" xr:uid="{00000000-0005-0000-0000-000047190000}"/>
    <cellStyle name="SAPBorder" xfId="50" xr:uid="{00000000-0005-0000-0000-000032000000}"/>
    <cellStyle name="SAPBorder 2" xfId="76" xr:uid="{00000000-0005-0000-0000-00004C000000}"/>
    <cellStyle name="SAPDataCell" xfId="33" xr:uid="{00000000-0005-0000-0000-000021000000}"/>
    <cellStyle name="SAPDataCell 2" xfId="74" xr:uid="{00000000-0005-0000-0000-00004A000000}"/>
    <cellStyle name="SAPDataTotalCell" xfId="34" xr:uid="{00000000-0005-0000-0000-000022000000}"/>
    <cellStyle name="SAPDataTotalCell 2" xfId="75" xr:uid="{00000000-0005-0000-0000-00004B000000}"/>
    <cellStyle name="SAPDimensionCell" xfId="32" xr:uid="{00000000-0005-0000-0000-000020000000}"/>
    <cellStyle name="SAPDimensionCell 2" xfId="73" xr:uid="{00000000-0005-0000-0000-000049000000}"/>
    <cellStyle name="SAPEditableDataCell" xfId="35" xr:uid="{00000000-0005-0000-0000-000023000000}"/>
    <cellStyle name="SAPEditableDataTotalCell" xfId="38" xr:uid="{00000000-0005-0000-0000-000026000000}"/>
    <cellStyle name="SAPEmphasized" xfId="58" xr:uid="{00000000-0005-0000-0000-00003A000000}"/>
    <cellStyle name="SAPEmphasizedEditableDataCell" xfId="60" xr:uid="{00000000-0005-0000-0000-00003C000000}"/>
    <cellStyle name="SAPEmphasizedEditableDataTotalCell" xfId="61" xr:uid="{00000000-0005-0000-0000-00003D000000}"/>
    <cellStyle name="SAPEmphasizedLockedDataCell" xfId="64" xr:uid="{00000000-0005-0000-0000-000040000000}"/>
    <cellStyle name="SAPEmphasizedLockedDataTotalCell" xfId="65" xr:uid="{00000000-0005-0000-0000-000041000000}"/>
    <cellStyle name="SAPEmphasizedReadonlyDataCell" xfId="62" xr:uid="{00000000-0005-0000-0000-00003E000000}"/>
    <cellStyle name="SAPEmphasizedReadonlyDataTotalCell" xfId="63" xr:uid="{00000000-0005-0000-0000-00003F000000}"/>
    <cellStyle name="SAPEmphasizedTotal" xfId="59" xr:uid="{00000000-0005-0000-0000-00003B000000}"/>
    <cellStyle name="SAPExceptionLevel1" xfId="41" xr:uid="{00000000-0005-0000-0000-000029000000}"/>
    <cellStyle name="SAPExceptionLevel2" xfId="42" xr:uid="{00000000-0005-0000-0000-00002A000000}"/>
    <cellStyle name="SAPExceptionLevel3" xfId="43" xr:uid="{00000000-0005-0000-0000-00002B000000}"/>
    <cellStyle name="SAPExceptionLevel4" xfId="44" xr:uid="{00000000-0005-0000-0000-00002C000000}"/>
    <cellStyle name="SAPExceptionLevel5" xfId="45" xr:uid="{00000000-0005-0000-0000-00002D000000}"/>
    <cellStyle name="SAPExceptionLevel6" xfId="46" xr:uid="{00000000-0005-0000-0000-00002E000000}"/>
    <cellStyle name="SAPExceptionLevel7" xfId="47" xr:uid="{00000000-0005-0000-0000-00002F000000}"/>
    <cellStyle name="SAPExceptionLevel8" xfId="48" xr:uid="{00000000-0005-0000-0000-000030000000}"/>
    <cellStyle name="SAPExceptionLevel9" xfId="49" xr:uid="{00000000-0005-0000-0000-000031000000}"/>
    <cellStyle name="SAPFormula" xfId="67" xr:uid="{00000000-0005-0000-0000-000043000000}"/>
    <cellStyle name="SAPGroupingFillCell" xfId="83" xr:uid="{00000000-0005-0000-0000-000053000000}"/>
    <cellStyle name="SAPHierarchyCell0" xfId="53" xr:uid="{00000000-0005-0000-0000-000035000000}"/>
    <cellStyle name="SAPHierarchyCell0 2" xfId="79" xr:uid="{00000000-0005-0000-0000-00004F000000}"/>
    <cellStyle name="SAPHierarchyCell1" xfId="54" xr:uid="{00000000-0005-0000-0000-000036000000}"/>
    <cellStyle name="SAPHierarchyCell1 2" xfId="80" xr:uid="{00000000-0005-0000-0000-000050000000}"/>
    <cellStyle name="SAPHierarchyCell2" xfId="55" xr:uid="{00000000-0005-0000-0000-000037000000}"/>
    <cellStyle name="SAPHierarchyCell3" xfId="56" xr:uid="{00000000-0005-0000-0000-000038000000}"/>
    <cellStyle name="SAPHierarchyCell4" xfId="57" xr:uid="{00000000-0005-0000-0000-000039000000}"/>
    <cellStyle name="SAPLockedDataCell" xfId="37" xr:uid="{00000000-0005-0000-0000-000025000000}"/>
    <cellStyle name="SAPLockedDataTotalCell" xfId="40" xr:uid="{00000000-0005-0000-0000-000028000000}"/>
    <cellStyle name="SAPMemberCell" xfId="51" xr:uid="{00000000-0005-0000-0000-000033000000}"/>
    <cellStyle name="SAPMemberCell 2" xfId="77" xr:uid="{00000000-0005-0000-0000-00004D000000}"/>
    <cellStyle name="SAPMemberTotalCell" xfId="52" xr:uid="{00000000-0005-0000-0000-000034000000}"/>
    <cellStyle name="SAPMemberTotalCell 2" xfId="78" xr:uid="{00000000-0005-0000-0000-00004E000000}"/>
    <cellStyle name="SAPMessageText" xfId="66" xr:uid="{00000000-0005-0000-0000-000042000000}"/>
    <cellStyle name="SAPReadonlyDataCell" xfId="36" xr:uid="{00000000-0005-0000-0000-000024000000}"/>
    <cellStyle name="SAPReadonlyDataTotalCell" xfId="39" xr:uid="{00000000-0005-0000-0000-000027000000}"/>
    <cellStyle name="Separador de milhares [0]" xfId="3162" xr:uid="{00000000-0005-0000-0000-00005A0C0000}"/>
    <cellStyle name="Separador de milhares [0] 2" xfId="6472" xr:uid="{00000000-0005-0000-0000-000048190000}"/>
    <cellStyle name="Separador de milhares_CARGA_CTEEP_DEZ" xfId="3646" xr:uid="{00000000-0005-0000-0000-00003E0E0000}"/>
    <cellStyle name="Subtit - Modelo2" xfId="3163" xr:uid="{00000000-0005-0000-0000-00005B0C0000}"/>
    <cellStyle name="Subtit - Modelo2 2" xfId="3164" xr:uid="{00000000-0005-0000-0000-00005C0C0000}"/>
    <cellStyle name="Subtit - Modelo2 2 2" xfId="3165" xr:uid="{00000000-0005-0000-0000-00005D0C0000}"/>
    <cellStyle name="Subtit - Modelo2 2 3" xfId="3166" xr:uid="{00000000-0005-0000-0000-00005E0C0000}"/>
    <cellStyle name="Subtit - Modelo2 2 4" xfId="3167" xr:uid="{00000000-0005-0000-0000-00005F0C0000}"/>
    <cellStyle name="Subtit - Modelo2 2 5" xfId="3168" xr:uid="{00000000-0005-0000-0000-0000600C0000}"/>
    <cellStyle name="Subtit - Modelo2 2 6" xfId="3169" xr:uid="{00000000-0005-0000-0000-0000610C0000}"/>
    <cellStyle name="Subtit - Modelo2 2_ActiFijos" xfId="3170" xr:uid="{00000000-0005-0000-0000-0000620C0000}"/>
    <cellStyle name="Subtit - Modelo2 3" xfId="3171" xr:uid="{00000000-0005-0000-0000-0000630C0000}"/>
    <cellStyle name="Subtit - Modelo2 3 2" xfId="3172" xr:uid="{00000000-0005-0000-0000-0000640C0000}"/>
    <cellStyle name="Subtit - Modelo2 3 3" xfId="3173" xr:uid="{00000000-0005-0000-0000-0000650C0000}"/>
    <cellStyle name="Subtit - Modelo2 3 4" xfId="3174" xr:uid="{00000000-0005-0000-0000-0000660C0000}"/>
    <cellStyle name="Subtit - Modelo2 3 5" xfId="3175" xr:uid="{00000000-0005-0000-0000-0000670C0000}"/>
    <cellStyle name="Subtit - Modelo2 3 6" xfId="3176" xr:uid="{00000000-0005-0000-0000-0000680C0000}"/>
    <cellStyle name="Subtit - Modelo2 3_ActiFijos" xfId="3177" xr:uid="{00000000-0005-0000-0000-0000690C0000}"/>
    <cellStyle name="Subtit - Modelo2 4" xfId="3178" xr:uid="{00000000-0005-0000-0000-00006A0C0000}"/>
    <cellStyle name="Subtit - Modelo2 4 2" xfId="3179" xr:uid="{00000000-0005-0000-0000-00006B0C0000}"/>
    <cellStyle name="Subtit - Modelo2 4 3" xfId="3180" xr:uid="{00000000-0005-0000-0000-00006C0C0000}"/>
    <cellStyle name="Subtit - Modelo2 4 4" xfId="3181" xr:uid="{00000000-0005-0000-0000-00006D0C0000}"/>
    <cellStyle name="Subtit - Modelo2 4 5" xfId="3182" xr:uid="{00000000-0005-0000-0000-00006E0C0000}"/>
    <cellStyle name="Subtit - Modelo2 4 6" xfId="3183" xr:uid="{00000000-0005-0000-0000-00006F0C0000}"/>
    <cellStyle name="Subtit - Modelo2 4_ActiFijos" xfId="3184" xr:uid="{00000000-0005-0000-0000-0000700C0000}"/>
    <cellStyle name="Subtit - Modelo2_Bases_Generales" xfId="3185" xr:uid="{00000000-0005-0000-0000-0000710C0000}"/>
    <cellStyle name="Subtitle" xfId="3647" xr:uid="{00000000-0005-0000-0000-00003F0E0000}"/>
    <cellStyle name="Subtitulo" xfId="3186" xr:uid="{00000000-0005-0000-0000-0000720C0000}"/>
    <cellStyle name="Subtitulo 2" xfId="3187" xr:uid="{00000000-0005-0000-0000-0000730C0000}"/>
    <cellStyle name="Subtitulo 2 2" xfId="3188" xr:uid="{00000000-0005-0000-0000-0000740C0000}"/>
    <cellStyle name="Subtitulo 2 3" xfId="3189" xr:uid="{00000000-0005-0000-0000-0000750C0000}"/>
    <cellStyle name="Subtitulo 2 4" xfId="3190" xr:uid="{00000000-0005-0000-0000-0000760C0000}"/>
    <cellStyle name="Subtitulo 2 5" xfId="3191" xr:uid="{00000000-0005-0000-0000-0000770C0000}"/>
    <cellStyle name="Subtitulo 2 6" xfId="3192" xr:uid="{00000000-0005-0000-0000-0000780C0000}"/>
    <cellStyle name="Subtitulo 2_ActiFijos" xfId="3193" xr:uid="{00000000-0005-0000-0000-0000790C0000}"/>
    <cellStyle name="Subtitulo 3" xfId="3194" xr:uid="{00000000-0005-0000-0000-00007A0C0000}"/>
    <cellStyle name="Subtitulo 3 2" xfId="3195" xr:uid="{00000000-0005-0000-0000-00007B0C0000}"/>
    <cellStyle name="Subtitulo 3 3" xfId="3196" xr:uid="{00000000-0005-0000-0000-00007C0C0000}"/>
    <cellStyle name="Subtitulo 3 4" xfId="3197" xr:uid="{00000000-0005-0000-0000-00007D0C0000}"/>
    <cellStyle name="Subtitulo 3 5" xfId="3198" xr:uid="{00000000-0005-0000-0000-00007E0C0000}"/>
    <cellStyle name="Subtitulo 3 6" xfId="3199" xr:uid="{00000000-0005-0000-0000-00007F0C0000}"/>
    <cellStyle name="Subtitulo 3_ActiFijos" xfId="3200" xr:uid="{00000000-0005-0000-0000-0000800C0000}"/>
    <cellStyle name="Subtitulo 4" xfId="3201" xr:uid="{00000000-0005-0000-0000-0000810C0000}"/>
    <cellStyle name="Subtitulo 4 2" xfId="3202" xr:uid="{00000000-0005-0000-0000-0000820C0000}"/>
    <cellStyle name="Subtitulo 4 3" xfId="3203" xr:uid="{00000000-0005-0000-0000-0000830C0000}"/>
    <cellStyle name="Subtitulo 4 4" xfId="3204" xr:uid="{00000000-0005-0000-0000-0000840C0000}"/>
    <cellStyle name="Subtitulo 4 5" xfId="3205" xr:uid="{00000000-0005-0000-0000-0000850C0000}"/>
    <cellStyle name="Subtitulo 4 6" xfId="3206" xr:uid="{00000000-0005-0000-0000-0000860C0000}"/>
    <cellStyle name="Subtitulo 4_ActiFijos" xfId="3207" xr:uid="{00000000-0005-0000-0000-0000870C0000}"/>
    <cellStyle name="Subtitulo_Bases_Generales" xfId="3208" xr:uid="{00000000-0005-0000-0000-0000880C0000}"/>
    <cellStyle name="texto" xfId="3209" xr:uid="{00000000-0005-0000-0000-0000890C0000}"/>
    <cellStyle name="texto 10" xfId="3648" xr:uid="{00000000-0005-0000-0000-0000400E0000}"/>
    <cellStyle name="texto 2" xfId="3210" xr:uid="{00000000-0005-0000-0000-00008A0C0000}"/>
    <cellStyle name="texto 2 2" xfId="3211" xr:uid="{00000000-0005-0000-0000-00008B0C0000}"/>
    <cellStyle name="texto 2 3" xfId="3212" xr:uid="{00000000-0005-0000-0000-00008C0C0000}"/>
    <cellStyle name="texto 2 4" xfId="3213" xr:uid="{00000000-0005-0000-0000-00008D0C0000}"/>
    <cellStyle name="texto 2 5" xfId="3214" xr:uid="{00000000-0005-0000-0000-00008E0C0000}"/>
    <cellStyle name="texto 2 6" xfId="3215" xr:uid="{00000000-0005-0000-0000-00008F0C0000}"/>
    <cellStyle name="texto 2_ActiFijos" xfId="3216" xr:uid="{00000000-0005-0000-0000-0000900C0000}"/>
    <cellStyle name="texto 3" xfId="3217" xr:uid="{00000000-0005-0000-0000-0000910C0000}"/>
    <cellStyle name="texto 3 2" xfId="3218" xr:uid="{00000000-0005-0000-0000-0000920C0000}"/>
    <cellStyle name="texto 3 3" xfId="3219" xr:uid="{00000000-0005-0000-0000-0000930C0000}"/>
    <cellStyle name="texto 3 4" xfId="3220" xr:uid="{00000000-0005-0000-0000-0000940C0000}"/>
    <cellStyle name="texto 3 5" xfId="3221" xr:uid="{00000000-0005-0000-0000-0000950C0000}"/>
    <cellStyle name="texto 3 6" xfId="3222" xr:uid="{00000000-0005-0000-0000-0000960C0000}"/>
    <cellStyle name="texto 3_ActiFijos" xfId="3223" xr:uid="{00000000-0005-0000-0000-0000970C0000}"/>
    <cellStyle name="texto 4" xfId="3224" xr:uid="{00000000-0005-0000-0000-0000980C0000}"/>
    <cellStyle name="texto 4 2" xfId="3225" xr:uid="{00000000-0005-0000-0000-0000990C0000}"/>
    <cellStyle name="texto 4 3" xfId="3226" xr:uid="{00000000-0005-0000-0000-00009A0C0000}"/>
    <cellStyle name="texto 4 4" xfId="3227" xr:uid="{00000000-0005-0000-0000-00009B0C0000}"/>
    <cellStyle name="texto 4 5" xfId="3228" xr:uid="{00000000-0005-0000-0000-00009C0C0000}"/>
    <cellStyle name="texto 4 6" xfId="3229" xr:uid="{00000000-0005-0000-0000-00009D0C0000}"/>
    <cellStyle name="texto 4_ActiFijos" xfId="3230" xr:uid="{00000000-0005-0000-0000-00009E0C0000}"/>
    <cellStyle name="texto 5" xfId="3649" xr:uid="{00000000-0005-0000-0000-0000410E0000}"/>
    <cellStyle name="texto 6" xfId="3650" xr:uid="{00000000-0005-0000-0000-0000420E0000}"/>
    <cellStyle name="texto 7" xfId="3651" xr:uid="{00000000-0005-0000-0000-0000430E0000}"/>
    <cellStyle name="texto 8" xfId="3652" xr:uid="{00000000-0005-0000-0000-0000440E0000}"/>
    <cellStyle name="texto 9" xfId="3653" xr:uid="{00000000-0005-0000-0000-0000450E0000}"/>
    <cellStyle name="Texto de advertencia 10" xfId="6473" xr:uid="{00000000-0005-0000-0000-000049190000}"/>
    <cellStyle name="Texto de advertencia 10 2" xfId="6474" xr:uid="{00000000-0005-0000-0000-00004A190000}"/>
    <cellStyle name="Texto de advertencia 11" xfId="6475" xr:uid="{00000000-0005-0000-0000-00004B190000}"/>
    <cellStyle name="Texto de advertencia 11 2" xfId="6476" xr:uid="{00000000-0005-0000-0000-00004C190000}"/>
    <cellStyle name="Texto de advertencia 12" xfId="6477" xr:uid="{00000000-0005-0000-0000-00004D190000}"/>
    <cellStyle name="Texto de advertencia 12 2" xfId="6478" xr:uid="{00000000-0005-0000-0000-00004E190000}"/>
    <cellStyle name="Texto de advertencia 13" xfId="6479" xr:uid="{00000000-0005-0000-0000-00004F190000}"/>
    <cellStyle name="Texto de advertencia 13 2" xfId="6480" xr:uid="{00000000-0005-0000-0000-000050190000}"/>
    <cellStyle name="Texto de advertencia 14" xfId="6481" xr:uid="{00000000-0005-0000-0000-000051190000}"/>
    <cellStyle name="Texto de advertencia 14 2" xfId="6482" xr:uid="{00000000-0005-0000-0000-000052190000}"/>
    <cellStyle name="Texto de advertencia 15" xfId="6483" xr:uid="{00000000-0005-0000-0000-000053190000}"/>
    <cellStyle name="Texto de advertencia 2" xfId="3654" xr:uid="{00000000-0005-0000-0000-0000460E0000}"/>
    <cellStyle name="Texto de advertencia 2 2" xfId="6484" xr:uid="{00000000-0005-0000-0000-000054190000}"/>
    <cellStyle name="Texto de advertencia 2 2 2" xfId="6485" xr:uid="{00000000-0005-0000-0000-000055190000}"/>
    <cellStyle name="Texto de advertencia 2 3" xfId="6486" xr:uid="{00000000-0005-0000-0000-000056190000}"/>
    <cellStyle name="Texto de advertencia 2 3 2" xfId="6487" xr:uid="{00000000-0005-0000-0000-000057190000}"/>
    <cellStyle name="Texto de advertencia 2 4" xfId="6488" xr:uid="{00000000-0005-0000-0000-000058190000}"/>
    <cellStyle name="Texto de advertencia 3" xfId="3655" xr:uid="{00000000-0005-0000-0000-0000470E0000}"/>
    <cellStyle name="Texto de advertencia 3 2" xfId="6489" xr:uid="{00000000-0005-0000-0000-000059190000}"/>
    <cellStyle name="Texto de advertencia 3 3" xfId="6490" xr:uid="{00000000-0005-0000-0000-00005A190000}"/>
    <cellStyle name="Texto de advertencia 4" xfId="6491" xr:uid="{00000000-0005-0000-0000-00005B190000}"/>
    <cellStyle name="Texto de advertencia 4 2" xfId="6492" xr:uid="{00000000-0005-0000-0000-00005C190000}"/>
    <cellStyle name="Texto de advertencia 4 3" xfId="6493" xr:uid="{00000000-0005-0000-0000-00005D190000}"/>
    <cellStyle name="Texto de advertencia 5" xfId="6494" xr:uid="{00000000-0005-0000-0000-00005E190000}"/>
    <cellStyle name="Texto de advertencia 5 2" xfId="6495" xr:uid="{00000000-0005-0000-0000-00005F190000}"/>
    <cellStyle name="Texto de advertencia 6" xfId="6496" xr:uid="{00000000-0005-0000-0000-000060190000}"/>
    <cellStyle name="Texto de advertencia 6 2" xfId="6497" xr:uid="{00000000-0005-0000-0000-000061190000}"/>
    <cellStyle name="Texto de advertencia 7" xfId="6498" xr:uid="{00000000-0005-0000-0000-000062190000}"/>
    <cellStyle name="Texto de advertencia 7 2" xfId="6499" xr:uid="{00000000-0005-0000-0000-000063190000}"/>
    <cellStyle name="Texto de advertencia 8" xfId="6500" xr:uid="{00000000-0005-0000-0000-000064190000}"/>
    <cellStyle name="Texto de advertencia 8 2" xfId="6501" xr:uid="{00000000-0005-0000-0000-000065190000}"/>
    <cellStyle name="Texto de advertencia 9" xfId="6502" xr:uid="{00000000-0005-0000-0000-000066190000}"/>
    <cellStyle name="Texto de advertencia 9 2" xfId="6503" xr:uid="{00000000-0005-0000-0000-000067190000}"/>
    <cellStyle name="Texto de Aviso" xfId="3231" xr:uid="{00000000-0005-0000-0000-00009F0C0000}"/>
    <cellStyle name="Texto explicativo 10" xfId="6504" xr:uid="{00000000-0005-0000-0000-000068190000}"/>
    <cellStyle name="Texto explicativo 10 2" xfId="6505" xr:uid="{00000000-0005-0000-0000-000069190000}"/>
    <cellStyle name="Texto explicativo 11" xfId="6506" xr:uid="{00000000-0005-0000-0000-00006A190000}"/>
    <cellStyle name="Texto explicativo 11 2" xfId="6507" xr:uid="{00000000-0005-0000-0000-00006B190000}"/>
    <cellStyle name="Texto explicativo 12" xfId="6508" xr:uid="{00000000-0005-0000-0000-00006C190000}"/>
    <cellStyle name="Texto explicativo 12 2" xfId="6509" xr:uid="{00000000-0005-0000-0000-00006D190000}"/>
    <cellStyle name="Texto explicativo 13" xfId="6510" xr:uid="{00000000-0005-0000-0000-00006E190000}"/>
    <cellStyle name="Texto explicativo 13 2" xfId="6511" xr:uid="{00000000-0005-0000-0000-00006F190000}"/>
    <cellStyle name="Texto explicativo 14" xfId="6512" xr:uid="{00000000-0005-0000-0000-000070190000}"/>
    <cellStyle name="Texto explicativo 14 2" xfId="6513" xr:uid="{00000000-0005-0000-0000-000071190000}"/>
    <cellStyle name="Texto explicativo 15" xfId="6514" xr:uid="{00000000-0005-0000-0000-000072190000}"/>
    <cellStyle name="Texto explicativo 2" xfId="3656" xr:uid="{00000000-0005-0000-0000-0000480E0000}"/>
    <cellStyle name="Texto explicativo 2 2" xfId="6515" xr:uid="{00000000-0005-0000-0000-000073190000}"/>
    <cellStyle name="Texto explicativo 2 3" xfId="6516" xr:uid="{00000000-0005-0000-0000-000074190000}"/>
    <cellStyle name="Texto explicativo 2 4" xfId="6517" xr:uid="{00000000-0005-0000-0000-000075190000}"/>
    <cellStyle name="Texto explicativo 3" xfId="3657" xr:uid="{00000000-0005-0000-0000-0000490E0000}"/>
    <cellStyle name="Texto explicativo 3 2" xfId="6518" xr:uid="{00000000-0005-0000-0000-000076190000}"/>
    <cellStyle name="Texto explicativo 3 3" xfId="6519" xr:uid="{00000000-0005-0000-0000-000077190000}"/>
    <cellStyle name="Texto explicativo 4" xfId="6520" xr:uid="{00000000-0005-0000-0000-000078190000}"/>
    <cellStyle name="Texto explicativo 4 2" xfId="6521" xr:uid="{00000000-0005-0000-0000-000079190000}"/>
    <cellStyle name="Texto explicativo 4 3" xfId="6522" xr:uid="{00000000-0005-0000-0000-00007A190000}"/>
    <cellStyle name="Texto explicativo 5" xfId="6523" xr:uid="{00000000-0005-0000-0000-00007B190000}"/>
    <cellStyle name="Texto explicativo 6" xfId="6524" xr:uid="{00000000-0005-0000-0000-00007C190000}"/>
    <cellStyle name="Texto explicativo 7" xfId="6525" xr:uid="{00000000-0005-0000-0000-00007D190000}"/>
    <cellStyle name="Texto explicativo 8" xfId="6526" xr:uid="{00000000-0005-0000-0000-00007E190000}"/>
    <cellStyle name="Texto explicativo 9" xfId="6527" xr:uid="{00000000-0005-0000-0000-00007F190000}"/>
    <cellStyle name="Title" xfId="3658" xr:uid="{00000000-0005-0000-0000-00004A0E0000}"/>
    <cellStyle name="titulo" xfId="3232" xr:uid="{00000000-0005-0000-0000-0000A00C0000}"/>
    <cellStyle name="Título 1 10" xfId="6528" xr:uid="{00000000-0005-0000-0000-000080190000}"/>
    <cellStyle name="Título 1 10 2" xfId="6529" xr:uid="{00000000-0005-0000-0000-000081190000}"/>
    <cellStyle name="Título 1 11" xfId="6530" xr:uid="{00000000-0005-0000-0000-000082190000}"/>
    <cellStyle name="Título 1 11 2" xfId="6531" xr:uid="{00000000-0005-0000-0000-000083190000}"/>
    <cellStyle name="Título 1 12" xfId="6532" xr:uid="{00000000-0005-0000-0000-000084190000}"/>
    <cellStyle name="Título 1 12 2" xfId="6533" xr:uid="{00000000-0005-0000-0000-000085190000}"/>
    <cellStyle name="Título 1 13" xfId="6534" xr:uid="{00000000-0005-0000-0000-000086190000}"/>
    <cellStyle name="Título 1 13 2" xfId="6535" xr:uid="{00000000-0005-0000-0000-000087190000}"/>
    <cellStyle name="Título 1 14" xfId="6536" xr:uid="{00000000-0005-0000-0000-000088190000}"/>
    <cellStyle name="Título 1 14 2" xfId="6537" xr:uid="{00000000-0005-0000-0000-000089190000}"/>
    <cellStyle name="Título 1 15" xfId="6538" xr:uid="{00000000-0005-0000-0000-00008A190000}"/>
    <cellStyle name="Título 1 2" xfId="3659" xr:uid="{00000000-0005-0000-0000-00004B0E0000}"/>
    <cellStyle name="Título 1 2 2" xfId="6539" xr:uid="{00000000-0005-0000-0000-00008B190000}"/>
    <cellStyle name="Título 1 2 3" xfId="6540" xr:uid="{00000000-0005-0000-0000-00008C190000}"/>
    <cellStyle name="Título 1 2 4" xfId="6541" xr:uid="{00000000-0005-0000-0000-00008D190000}"/>
    <cellStyle name="Título 1 3" xfId="3660" xr:uid="{00000000-0005-0000-0000-00004C0E0000}"/>
    <cellStyle name="Título 1 3 2" xfId="6542" xr:uid="{00000000-0005-0000-0000-00008E190000}"/>
    <cellStyle name="Título 1 3 3" xfId="6543" xr:uid="{00000000-0005-0000-0000-00008F190000}"/>
    <cellStyle name="Título 1 4" xfId="6544" xr:uid="{00000000-0005-0000-0000-000090190000}"/>
    <cellStyle name="Título 1 4 2" xfId="6545" xr:uid="{00000000-0005-0000-0000-000091190000}"/>
    <cellStyle name="Título 1 4 3" xfId="6546" xr:uid="{00000000-0005-0000-0000-000092190000}"/>
    <cellStyle name="Título 1 5" xfId="6547" xr:uid="{00000000-0005-0000-0000-000093190000}"/>
    <cellStyle name="Título 1 6" xfId="6548" xr:uid="{00000000-0005-0000-0000-000094190000}"/>
    <cellStyle name="Título 1 7" xfId="6549" xr:uid="{00000000-0005-0000-0000-000095190000}"/>
    <cellStyle name="Título 1 8" xfId="6550" xr:uid="{00000000-0005-0000-0000-000096190000}"/>
    <cellStyle name="Título 1 9" xfId="6551" xr:uid="{00000000-0005-0000-0000-000097190000}"/>
    <cellStyle name="Título 10" xfId="6552" xr:uid="{00000000-0005-0000-0000-000098190000}"/>
    <cellStyle name="Título 11" xfId="6553" xr:uid="{00000000-0005-0000-0000-000099190000}"/>
    <cellStyle name="Título 12" xfId="6554" xr:uid="{00000000-0005-0000-0000-00009A190000}"/>
    <cellStyle name="Título 12 2" xfId="6555" xr:uid="{00000000-0005-0000-0000-00009B190000}"/>
    <cellStyle name="Título 13" xfId="6556" xr:uid="{00000000-0005-0000-0000-00009C190000}"/>
    <cellStyle name="Título 13 2" xfId="6557" xr:uid="{00000000-0005-0000-0000-00009D190000}"/>
    <cellStyle name="Título 14" xfId="6558" xr:uid="{00000000-0005-0000-0000-00009E190000}"/>
    <cellStyle name="Título 14 2" xfId="6559" xr:uid="{00000000-0005-0000-0000-00009F190000}"/>
    <cellStyle name="Título 15" xfId="6560" xr:uid="{00000000-0005-0000-0000-0000A0190000}"/>
    <cellStyle name="Título 15 2" xfId="6561" xr:uid="{00000000-0005-0000-0000-0000A1190000}"/>
    <cellStyle name="Título 16" xfId="6562" xr:uid="{00000000-0005-0000-0000-0000A2190000}"/>
    <cellStyle name="Título 16 2" xfId="6563" xr:uid="{00000000-0005-0000-0000-0000A3190000}"/>
    <cellStyle name="Título 17" xfId="6564" xr:uid="{00000000-0005-0000-0000-0000A4190000}"/>
    <cellStyle name="titulo 2" xfId="3233" xr:uid="{00000000-0005-0000-0000-0000A10C0000}"/>
    <cellStyle name="Título 2 10" xfId="6565" xr:uid="{00000000-0005-0000-0000-0000A5190000}"/>
    <cellStyle name="Título 2 10 2" xfId="6566" xr:uid="{00000000-0005-0000-0000-0000A6190000}"/>
    <cellStyle name="Título 2 11" xfId="6567" xr:uid="{00000000-0005-0000-0000-0000A7190000}"/>
    <cellStyle name="Título 2 11 2" xfId="6568" xr:uid="{00000000-0005-0000-0000-0000A8190000}"/>
    <cellStyle name="Título 2 12" xfId="6569" xr:uid="{00000000-0005-0000-0000-0000A9190000}"/>
    <cellStyle name="Título 2 12 2" xfId="6570" xr:uid="{00000000-0005-0000-0000-0000AA190000}"/>
    <cellStyle name="Título 2 13" xfId="6571" xr:uid="{00000000-0005-0000-0000-0000AB190000}"/>
    <cellStyle name="Título 2 13 2" xfId="6572" xr:uid="{00000000-0005-0000-0000-0000AC190000}"/>
    <cellStyle name="Título 2 14" xfId="6573" xr:uid="{00000000-0005-0000-0000-0000AD190000}"/>
    <cellStyle name="Título 2 14 2" xfId="6574" xr:uid="{00000000-0005-0000-0000-0000AE190000}"/>
    <cellStyle name="Título 2 15" xfId="6575" xr:uid="{00000000-0005-0000-0000-0000AF190000}"/>
    <cellStyle name="titulo 2 2" xfId="3234" xr:uid="{00000000-0005-0000-0000-0000A20C0000}"/>
    <cellStyle name="Título 2 2" xfId="3661" xr:uid="{00000000-0005-0000-0000-00004D0E0000}"/>
    <cellStyle name="Título 2 2 2" xfId="6576" xr:uid="{00000000-0005-0000-0000-0000B0190000}"/>
    <cellStyle name="Título 2 2 3" xfId="6577" xr:uid="{00000000-0005-0000-0000-0000B1190000}"/>
    <cellStyle name="Título 2 2 4" xfId="6578" xr:uid="{00000000-0005-0000-0000-0000B2190000}"/>
    <cellStyle name="titulo 2 3" xfId="3235" xr:uid="{00000000-0005-0000-0000-0000A30C0000}"/>
    <cellStyle name="Título 2 3" xfId="3662" xr:uid="{00000000-0005-0000-0000-00004E0E0000}"/>
    <cellStyle name="Título 2 3 2" xfId="6579" xr:uid="{00000000-0005-0000-0000-0000B3190000}"/>
    <cellStyle name="Título 2 3 3" xfId="6580" xr:uid="{00000000-0005-0000-0000-0000B4190000}"/>
    <cellStyle name="titulo 2 4" xfId="3236" xr:uid="{00000000-0005-0000-0000-0000A40C0000}"/>
    <cellStyle name="Título 2 4" xfId="6581" xr:uid="{00000000-0005-0000-0000-0000B5190000}"/>
    <cellStyle name="Título 2 4 2" xfId="6582" xr:uid="{00000000-0005-0000-0000-0000B6190000}"/>
    <cellStyle name="Título 2 4 3" xfId="6583" xr:uid="{00000000-0005-0000-0000-0000B7190000}"/>
    <cellStyle name="titulo 2 5" xfId="3237" xr:uid="{00000000-0005-0000-0000-0000A50C0000}"/>
    <cellStyle name="Título 2 5" xfId="6584" xr:uid="{00000000-0005-0000-0000-0000B8190000}"/>
    <cellStyle name="titulo 2 6" xfId="3238" xr:uid="{00000000-0005-0000-0000-0000A60C0000}"/>
    <cellStyle name="Título 2 6" xfId="6585" xr:uid="{00000000-0005-0000-0000-0000B9190000}"/>
    <cellStyle name="Título 2 7" xfId="6586" xr:uid="{00000000-0005-0000-0000-0000BA190000}"/>
    <cellStyle name="Título 2 8" xfId="6587" xr:uid="{00000000-0005-0000-0000-0000BB190000}"/>
    <cellStyle name="Título 2 9" xfId="6588" xr:uid="{00000000-0005-0000-0000-0000BC190000}"/>
    <cellStyle name="titulo 2_ActiFijos" xfId="3239" xr:uid="{00000000-0005-0000-0000-0000A70C0000}"/>
    <cellStyle name="titulo 3" xfId="3240" xr:uid="{00000000-0005-0000-0000-0000A80C0000}"/>
    <cellStyle name="Título 3 10" xfId="6589" xr:uid="{00000000-0005-0000-0000-0000BD190000}"/>
    <cellStyle name="Título 3 10 2" xfId="6590" xr:uid="{00000000-0005-0000-0000-0000BE190000}"/>
    <cellStyle name="Título 3 11" xfId="6591" xr:uid="{00000000-0005-0000-0000-0000BF190000}"/>
    <cellStyle name="Título 3 11 2" xfId="6592" xr:uid="{00000000-0005-0000-0000-0000C0190000}"/>
    <cellStyle name="Título 3 12" xfId="6593" xr:uid="{00000000-0005-0000-0000-0000C1190000}"/>
    <cellStyle name="Título 3 12 2" xfId="6594" xr:uid="{00000000-0005-0000-0000-0000C2190000}"/>
    <cellStyle name="Título 3 13" xfId="6595" xr:uid="{00000000-0005-0000-0000-0000C3190000}"/>
    <cellStyle name="Título 3 13 2" xfId="6596" xr:uid="{00000000-0005-0000-0000-0000C4190000}"/>
    <cellStyle name="Título 3 14" xfId="6597" xr:uid="{00000000-0005-0000-0000-0000C5190000}"/>
    <cellStyle name="Título 3 14 2" xfId="6598" xr:uid="{00000000-0005-0000-0000-0000C6190000}"/>
    <cellStyle name="Título 3 15" xfId="6599" xr:uid="{00000000-0005-0000-0000-0000C7190000}"/>
    <cellStyle name="titulo 3 2" xfId="3241" xr:uid="{00000000-0005-0000-0000-0000A90C0000}"/>
    <cellStyle name="Título 3 2" xfId="3663" xr:uid="{00000000-0005-0000-0000-00004F0E0000}"/>
    <cellStyle name="Título 3 2 2" xfId="6600" xr:uid="{00000000-0005-0000-0000-0000C8190000}"/>
    <cellStyle name="Título 3 2 3" xfId="6601" xr:uid="{00000000-0005-0000-0000-0000C9190000}"/>
    <cellStyle name="Título 3 2 4" xfId="6602" xr:uid="{00000000-0005-0000-0000-0000CA190000}"/>
    <cellStyle name="titulo 3 3" xfId="3242" xr:uid="{00000000-0005-0000-0000-0000AA0C0000}"/>
    <cellStyle name="Título 3 3" xfId="3664" xr:uid="{00000000-0005-0000-0000-0000500E0000}"/>
    <cellStyle name="Título 3 3 2" xfId="6603" xr:uid="{00000000-0005-0000-0000-0000CB190000}"/>
    <cellStyle name="Título 3 3 3" xfId="6604" xr:uid="{00000000-0005-0000-0000-0000CC190000}"/>
    <cellStyle name="titulo 3 4" xfId="3243" xr:uid="{00000000-0005-0000-0000-0000AB0C0000}"/>
    <cellStyle name="Título 3 4" xfId="6605" xr:uid="{00000000-0005-0000-0000-0000CD190000}"/>
    <cellStyle name="Título 3 4 2" xfId="6606" xr:uid="{00000000-0005-0000-0000-0000CE190000}"/>
    <cellStyle name="Título 3 4 3" xfId="6607" xr:uid="{00000000-0005-0000-0000-0000CF190000}"/>
    <cellStyle name="titulo 3 5" xfId="3244" xr:uid="{00000000-0005-0000-0000-0000AC0C0000}"/>
    <cellStyle name="Título 3 5" xfId="6608" xr:uid="{00000000-0005-0000-0000-0000D0190000}"/>
    <cellStyle name="titulo 3 6" xfId="3245" xr:uid="{00000000-0005-0000-0000-0000AD0C0000}"/>
    <cellStyle name="Título 3 6" xfId="6609" xr:uid="{00000000-0005-0000-0000-0000D1190000}"/>
    <cellStyle name="Título 3 7" xfId="6610" xr:uid="{00000000-0005-0000-0000-0000D2190000}"/>
    <cellStyle name="Título 3 8" xfId="6611" xr:uid="{00000000-0005-0000-0000-0000D3190000}"/>
    <cellStyle name="Título 3 9" xfId="6612" xr:uid="{00000000-0005-0000-0000-0000D4190000}"/>
    <cellStyle name="titulo 3_ActiFijos" xfId="3246" xr:uid="{00000000-0005-0000-0000-0000AE0C0000}"/>
    <cellStyle name="titulo 4" xfId="3247" xr:uid="{00000000-0005-0000-0000-0000AF0C0000}"/>
    <cellStyle name="Título 4" xfId="3248" xr:uid="{00000000-0005-0000-0000-0000B00C0000}"/>
    <cellStyle name="Título 4 10" xfId="6613" xr:uid="{00000000-0005-0000-0000-0000D5190000}"/>
    <cellStyle name="titulo 4 2" xfId="3249" xr:uid="{00000000-0005-0000-0000-0000B10C0000}"/>
    <cellStyle name="Título 4 2" xfId="6614" xr:uid="{00000000-0005-0000-0000-0000D6190000}"/>
    <cellStyle name="titulo 4 3" xfId="3250" xr:uid="{00000000-0005-0000-0000-0000B20C0000}"/>
    <cellStyle name="Título 4 3" xfId="6615" xr:uid="{00000000-0005-0000-0000-0000D7190000}"/>
    <cellStyle name="titulo 4 4" xfId="3251" xr:uid="{00000000-0005-0000-0000-0000B30C0000}"/>
    <cellStyle name="Título 4 4" xfId="6616" xr:uid="{00000000-0005-0000-0000-0000D8190000}"/>
    <cellStyle name="titulo 4 5" xfId="3252" xr:uid="{00000000-0005-0000-0000-0000B40C0000}"/>
    <cellStyle name="Título 4 5" xfId="6617" xr:uid="{00000000-0005-0000-0000-0000D9190000}"/>
    <cellStyle name="titulo 4 6" xfId="3253" xr:uid="{00000000-0005-0000-0000-0000B50C0000}"/>
    <cellStyle name="Título 4 6" xfId="6618" xr:uid="{00000000-0005-0000-0000-0000DA190000}"/>
    <cellStyle name="Título 4 7" xfId="6619" xr:uid="{00000000-0005-0000-0000-0000DB190000}"/>
    <cellStyle name="Título 4 8" xfId="6620" xr:uid="{00000000-0005-0000-0000-0000DC190000}"/>
    <cellStyle name="Título 4 9" xfId="6621" xr:uid="{00000000-0005-0000-0000-0000DD190000}"/>
    <cellStyle name="titulo 4_ActiFijos" xfId="3254" xr:uid="{00000000-0005-0000-0000-0000B60C0000}"/>
    <cellStyle name="Título 5" xfId="6622" xr:uid="{00000000-0005-0000-0000-0000DE190000}"/>
    <cellStyle name="Título 5 2" xfId="6623" xr:uid="{00000000-0005-0000-0000-0000DF190000}"/>
    <cellStyle name="Título 5 3" xfId="6624" xr:uid="{00000000-0005-0000-0000-0000E0190000}"/>
    <cellStyle name="Título 6" xfId="6625" xr:uid="{00000000-0005-0000-0000-0000E1190000}"/>
    <cellStyle name="Título 6 2" xfId="6626" xr:uid="{00000000-0005-0000-0000-0000E2190000}"/>
    <cellStyle name="Título 6 3" xfId="6627" xr:uid="{00000000-0005-0000-0000-0000E3190000}"/>
    <cellStyle name="Título 7" xfId="6628" xr:uid="{00000000-0005-0000-0000-0000E4190000}"/>
    <cellStyle name="Título 8" xfId="6629" xr:uid="{00000000-0005-0000-0000-0000E5190000}"/>
    <cellStyle name="Título 9" xfId="6630" xr:uid="{00000000-0005-0000-0000-0000E6190000}"/>
    <cellStyle name="titulo_Balanc" xfId="3255" xr:uid="{00000000-0005-0000-0000-0000B70C0000}"/>
    <cellStyle name="Total 10" xfId="3256" xr:uid="{00000000-0005-0000-0000-0000B80C0000}"/>
    <cellStyle name="Total 11" xfId="3257" xr:uid="{00000000-0005-0000-0000-0000B90C0000}"/>
    <cellStyle name="Total 11 2" xfId="6631" xr:uid="{00000000-0005-0000-0000-0000E7190000}"/>
    <cellStyle name="Total 12" xfId="3258" xr:uid="{00000000-0005-0000-0000-0000BA0C0000}"/>
    <cellStyle name="Total 12 2" xfId="6632" xr:uid="{00000000-0005-0000-0000-0000E8190000}"/>
    <cellStyle name="Total 13" xfId="6633" xr:uid="{00000000-0005-0000-0000-0000E9190000}"/>
    <cellStyle name="Total 13 2" xfId="6634" xr:uid="{00000000-0005-0000-0000-0000EA190000}"/>
    <cellStyle name="Total 13 3" xfId="6635" xr:uid="{00000000-0005-0000-0000-0000EB190000}"/>
    <cellStyle name="Total 14" xfId="6636" xr:uid="{00000000-0005-0000-0000-0000EC190000}"/>
    <cellStyle name="Total 14 2" xfId="6637" xr:uid="{00000000-0005-0000-0000-0000ED190000}"/>
    <cellStyle name="Total 14 3" xfId="6638" xr:uid="{00000000-0005-0000-0000-0000EE190000}"/>
    <cellStyle name="Total 15" xfId="6639" xr:uid="{00000000-0005-0000-0000-0000EF190000}"/>
    <cellStyle name="Total 16" xfId="6640" xr:uid="{00000000-0005-0000-0000-0000F0190000}"/>
    <cellStyle name="Total 17" xfId="6641" xr:uid="{00000000-0005-0000-0000-0000F1190000}"/>
    <cellStyle name="Total 18" xfId="6642" xr:uid="{00000000-0005-0000-0000-0000F2190000}"/>
    <cellStyle name="Total 19" xfId="6643" xr:uid="{00000000-0005-0000-0000-0000F3190000}"/>
    <cellStyle name="Total 2" xfId="3259" xr:uid="{00000000-0005-0000-0000-0000BB0C0000}"/>
    <cellStyle name="Total 2 2" xfId="3260" xr:uid="{00000000-0005-0000-0000-0000BC0C0000}"/>
    <cellStyle name="Total 2 2 2" xfId="6644" xr:uid="{00000000-0005-0000-0000-0000F4190000}"/>
    <cellStyle name="Total 2 3" xfId="3261" xr:uid="{00000000-0005-0000-0000-0000BD0C0000}"/>
    <cellStyle name="Total 2 3 2" xfId="6645" xr:uid="{00000000-0005-0000-0000-0000F5190000}"/>
    <cellStyle name="Total 2 4" xfId="3262" xr:uid="{00000000-0005-0000-0000-0000BE0C0000}"/>
    <cellStyle name="Total 2 4 2" xfId="6646" xr:uid="{00000000-0005-0000-0000-0000F6190000}"/>
    <cellStyle name="Total 2 5" xfId="3263" xr:uid="{00000000-0005-0000-0000-0000BF0C0000}"/>
    <cellStyle name="Total 2 5 2" xfId="6647" xr:uid="{00000000-0005-0000-0000-0000F7190000}"/>
    <cellStyle name="Total 2 6" xfId="3264" xr:uid="{00000000-0005-0000-0000-0000C00C0000}"/>
    <cellStyle name="Total 2 6 2" xfId="6648" xr:uid="{00000000-0005-0000-0000-0000F8190000}"/>
    <cellStyle name="Total 2 7" xfId="6649" xr:uid="{00000000-0005-0000-0000-0000F9190000}"/>
    <cellStyle name="Total 2 8" xfId="6650" xr:uid="{00000000-0005-0000-0000-0000FA190000}"/>
    <cellStyle name="Total 2 8 2" xfId="6651" xr:uid="{00000000-0005-0000-0000-0000FB190000}"/>
    <cellStyle name="Total 2 9" xfId="6652" xr:uid="{00000000-0005-0000-0000-0000FC190000}"/>
    <cellStyle name="Total 2_GRUPO4Q-2009 COMPLETO" xfId="3665" xr:uid="{00000000-0005-0000-0000-0000510E0000}"/>
    <cellStyle name="Total 20" xfId="6653" xr:uid="{00000000-0005-0000-0000-0000FD190000}"/>
    <cellStyle name="Total 21" xfId="6654" xr:uid="{00000000-0005-0000-0000-0000FE190000}"/>
    <cellStyle name="Total 21 2" xfId="6655" xr:uid="{00000000-0005-0000-0000-0000FF190000}"/>
    <cellStyle name="Total 22" xfId="6656" xr:uid="{00000000-0005-0000-0000-0000001A0000}"/>
    <cellStyle name="Total 22 2" xfId="6657" xr:uid="{00000000-0005-0000-0000-0000011A0000}"/>
    <cellStyle name="Total 23" xfId="6658" xr:uid="{00000000-0005-0000-0000-0000021A0000}"/>
    <cellStyle name="Total 23 2" xfId="6659" xr:uid="{00000000-0005-0000-0000-0000031A0000}"/>
    <cellStyle name="Total 24" xfId="6660" xr:uid="{00000000-0005-0000-0000-0000041A0000}"/>
    <cellStyle name="Total 24 2" xfId="6661" xr:uid="{00000000-0005-0000-0000-0000051A0000}"/>
    <cellStyle name="Total 25" xfId="6662" xr:uid="{00000000-0005-0000-0000-0000061A0000}"/>
    <cellStyle name="Total 25 2" xfId="6663" xr:uid="{00000000-0005-0000-0000-0000071A0000}"/>
    <cellStyle name="Total 26" xfId="6664" xr:uid="{00000000-0005-0000-0000-0000081A0000}"/>
    <cellStyle name="Total 3" xfId="3265" xr:uid="{00000000-0005-0000-0000-0000C10C0000}"/>
    <cellStyle name="Total 3 2" xfId="3266" xr:uid="{00000000-0005-0000-0000-0000C20C0000}"/>
    <cellStyle name="Total 3 2 2" xfId="6665" xr:uid="{00000000-0005-0000-0000-0000091A0000}"/>
    <cellStyle name="Total 3 3" xfId="3267" xr:uid="{00000000-0005-0000-0000-0000C30C0000}"/>
    <cellStyle name="Total 3 3 2" xfId="6666" xr:uid="{00000000-0005-0000-0000-00000A1A0000}"/>
    <cellStyle name="Total 3 4" xfId="3268" xr:uid="{00000000-0005-0000-0000-0000C40C0000}"/>
    <cellStyle name="Total 3 4 2" xfId="6667" xr:uid="{00000000-0005-0000-0000-00000B1A0000}"/>
    <cellStyle name="Total 3 5" xfId="3269" xr:uid="{00000000-0005-0000-0000-0000C50C0000}"/>
    <cellStyle name="Total 3 5 2" xfId="6668" xr:uid="{00000000-0005-0000-0000-00000C1A0000}"/>
    <cellStyle name="Total 3 6" xfId="3270" xr:uid="{00000000-0005-0000-0000-0000C60C0000}"/>
    <cellStyle name="Total 3 6 2" xfId="6669" xr:uid="{00000000-0005-0000-0000-00000D1A0000}"/>
    <cellStyle name="Total 3 7" xfId="6670" xr:uid="{00000000-0005-0000-0000-00000E1A0000}"/>
    <cellStyle name="Total 3_GRUPO4Q-2009 COMPLETO" xfId="3666" xr:uid="{00000000-0005-0000-0000-0000520E0000}"/>
    <cellStyle name="Total 4" xfId="3271" xr:uid="{00000000-0005-0000-0000-0000C70C0000}"/>
    <cellStyle name="Total 4 2" xfId="3272" xr:uid="{00000000-0005-0000-0000-0000C80C0000}"/>
    <cellStyle name="Total 4 2 2" xfId="6671" xr:uid="{00000000-0005-0000-0000-00000F1A0000}"/>
    <cellStyle name="Total 4 3" xfId="3273" xr:uid="{00000000-0005-0000-0000-0000C90C0000}"/>
    <cellStyle name="Total 4 3 2" xfId="6672" xr:uid="{00000000-0005-0000-0000-0000101A0000}"/>
    <cellStyle name="Total 4 4" xfId="3274" xr:uid="{00000000-0005-0000-0000-0000CA0C0000}"/>
    <cellStyle name="Total 4 4 2" xfId="6673" xr:uid="{00000000-0005-0000-0000-0000111A0000}"/>
    <cellStyle name="Total 4 5" xfId="3275" xr:uid="{00000000-0005-0000-0000-0000CB0C0000}"/>
    <cellStyle name="Total 4 5 2" xfId="6674" xr:uid="{00000000-0005-0000-0000-0000121A0000}"/>
    <cellStyle name="Total 4 6" xfId="3276" xr:uid="{00000000-0005-0000-0000-0000CC0C0000}"/>
    <cellStyle name="Total 4 6 2" xfId="6675" xr:uid="{00000000-0005-0000-0000-0000131A0000}"/>
    <cellStyle name="Total 4 7" xfId="6676" xr:uid="{00000000-0005-0000-0000-0000141A0000}"/>
    <cellStyle name="Total 5" xfId="3277" xr:uid="{00000000-0005-0000-0000-0000CD0C0000}"/>
    <cellStyle name="Total 5 2" xfId="6677" xr:uid="{00000000-0005-0000-0000-0000151A0000}"/>
    <cellStyle name="Total 6" xfId="3278" xr:uid="{00000000-0005-0000-0000-0000CE0C0000}"/>
    <cellStyle name="Total 6 2" xfId="6678" xr:uid="{00000000-0005-0000-0000-0000161A0000}"/>
    <cellStyle name="Total 7" xfId="3279" xr:uid="{00000000-0005-0000-0000-0000CF0C0000}"/>
    <cellStyle name="Total 7 2" xfId="6679" xr:uid="{00000000-0005-0000-0000-0000171A0000}"/>
    <cellStyle name="Total 8" xfId="3280" xr:uid="{00000000-0005-0000-0000-0000D00C0000}"/>
    <cellStyle name="Total 8 2" xfId="6680" xr:uid="{00000000-0005-0000-0000-0000181A0000}"/>
    <cellStyle name="Total 9" xfId="3281" xr:uid="{00000000-0005-0000-0000-0000D10C0000}"/>
    <cellStyle name="Total 9 2" xfId="6681" xr:uid="{00000000-0005-0000-0000-0000191A0000}"/>
    <cellStyle name="Total2" xfId="3282" xr:uid="{00000000-0005-0000-0000-0000D20C0000}"/>
    <cellStyle name="veces" xfId="3283" xr:uid="{00000000-0005-0000-0000-0000D30C0000}"/>
    <cellStyle name="veces 2" xfId="3284" xr:uid="{00000000-0005-0000-0000-0000D40C0000}"/>
    <cellStyle name="veces 2 2" xfId="3285" xr:uid="{00000000-0005-0000-0000-0000D50C0000}"/>
    <cellStyle name="veces 2 2 2" xfId="6682" xr:uid="{00000000-0005-0000-0000-00001A1A0000}"/>
    <cellStyle name="veces 2 3" xfId="3286" xr:uid="{00000000-0005-0000-0000-0000D60C0000}"/>
    <cellStyle name="veces 2 3 2" xfId="6683" xr:uid="{00000000-0005-0000-0000-00001B1A0000}"/>
    <cellStyle name="veces 2 4" xfId="3287" xr:uid="{00000000-0005-0000-0000-0000D70C0000}"/>
    <cellStyle name="veces 2 4 2" xfId="6684" xr:uid="{00000000-0005-0000-0000-00001C1A0000}"/>
    <cellStyle name="veces 2 5" xfId="3288" xr:uid="{00000000-0005-0000-0000-0000D80C0000}"/>
    <cellStyle name="veces 2 5 2" xfId="6685" xr:uid="{00000000-0005-0000-0000-00001D1A0000}"/>
    <cellStyle name="veces 2 6" xfId="3289" xr:uid="{00000000-0005-0000-0000-0000D90C0000}"/>
    <cellStyle name="veces 2 6 2" xfId="6686" xr:uid="{00000000-0005-0000-0000-00001E1A0000}"/>
    <cellStyle name="veces 2 7" xfId="6687" xr:uid="{00000000-0005-0000-0000-00001F1A0000}"/>
    <cellStyle name="veces 3" xfId="3290" xr:uid="{00000000-0005-0000-0000-0000DA0C0000}"/>
    <cellStyle name="veces 3 2" xfId="3291" xr:uid="{00000000-0005-0000-0000-0000DB0C0000}"/>
    <cellStyle name="veces 3 2 2" xfId="6688" xr:uid="{00000000-0005-0000-0000-0000201A0000}"/>
    <cellStyle name="veces 3 3" xfId="3292" xr:uid="{00000000-0005-0000-0000-0000DC0C0000}"/>
    <cellStyle name="veces 3 3 2" xfId="6689" xr:uid="{00000000-0005-0000-0000-0000211A0000}"/>
    <cellStyle name="veces 3 4" xfId="3293" xr:uid="{00000000-0005-0000-0000-0000DD0C0000}"/>
    <cellStyle name="veces 3 4 2" xfId="6690" xr:uid="{00000000-0005-0000-0000-0000221A0000}"/>
    <cellStyle name="veces 3 5" xfId="3294" xr:uid="{00000000-0005-0000-0000-0000DE0C0000}"/>
    <cellStyle name="veces 3 5 2" xfId="6691" xr:uid="{00000000-0005-0000-0000-0000231A0000}"/>
    <cellStyle name="veces 3 6" xfId="3295" xr:uid="{00000000-0005-0000-0000-0000DF0C0000}"/>
    <cellStyle name="veces 3 6 2" xfId="6692" xr:uid="{00000000-0005-0000-0000-0000241A0000}"/>
    <cellStyle name="veces 3 7" xfId="6693" xr:uid="{00000000-0005-0000-0000-0000251A0000}"/>
    <cellStyle name="veces 4" xfId="3296" xr:uid="{00000000-0005-0000-0000-0000E00C0000}"/>
    <cellStyle name="veces 4 2" xfId="3297" xr:uid="{00000000-0005-0000-0000-0000E10C0000}"/>
    <cellStyle name="veces 4 2 2" xfId="6694" xr:uid="{00000000-0005-0000-0000-0000261A0000}"/>
    <cellStyle name="veces 4 3" xfId="3298" xr:uid="{00000000-0005-0000-0000-0000E20C0000}"/>
    <cellStyle name="veces 4 3 2" xfId="6695" xr:uid="{00000000-0005-0000-0000-0000271A0000}"/>
    <cellStyle name="veces 4 4" xfId="3299" xr:uid="{00000000-0005-0000-0000-0000E30C0000}"/>
    <cellStyle name="veces 4 4 2" xfId="6696" xr:uid="{00000000-0005-0000-0000-0000281A0000}"/>
    <cellStyle name="veces 4 5" xfId="3300" xr:uid="{00000000-0005-0000-0000-0000E40C0000}"/>
    <cellStyle name="veces 4 5 2" xfId="6697" xr:uid="{00000000-0005-0000-0000-0000291A0000}"/>
    <cellStyle name="veces 4 6" xfId="3301" xr:uid="{00000000-0005-0000-0000-0000E50C0000}"/>
    <cellStyle name="veces 4 6 2" xfId="6698" xr:uid="{00000000-0005-0000-0000-00002A1A0000}"/>
    <cellStyle name="veces 4 7" xfId="6699" xr:uid="{00000000-0005-0000-0000-00002B1A0000}"/>
    <cellStyle name="veces 5" xfId="6700" xr:uid="{00000000-0005-0000-0000-00002C1A0000}"/>
    <cellStyle name="Vírgula 13" xfId="18" xr:uid="{00000000-0005-0000-0000-000012000000}"/>
    <cellStyle name="Vírgula 13 2" xfId="6898" xr:uid="{00000000-0005-0000-0000-0000F21A0000}"/>
    <cellStyle name="Vírgula 13 2 2" xfId="7539" xr:uid="{00000000-0005-0000-0000-0000731D0000}"/>
    <cellStyle name="Vírgula 13 3" xfId="28" xr:uid="{00000000-0005-0000-0000-00001C000000}"/>
    <cellStyle name="Vírgula 13 3 2" xfId="7869" xr:uid="{E396926E-247B-4320-B412-58AD5DF3C2A1}"/>
    <cellStyle name="Vírgula 2" xfId="7867" xr:uid="{00000000-0005-0000-0000-0000BB1E0000}"/>
  </cellStyles>
  <dxfs count="0"/>
  <tableStyles count="0" defaultTableStyle="TableStyleMedium2" defaultPivotStyle="PivotStyleLight16"/>
  <colors>
    <mruColors>
      <color rgb="FF0030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9" Type="http://schemas.openxmlformats.org/officeDocument/2006/relationships/externalLink" Target="externalLinks/externalLink24.xml"/><Relationship Id="rId21" Type="http://schemas.openxmlformats.org/officeDocument/2006/relationships/externalLink" Target="externalLinks/externalLink6.xml"/><Relationship Id="rId34" Type="http://schemas.openxmlformats.org/officeDocument/2006/relationships/externalLink" Target="externalLinks/externalLink19.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1.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externalLink" Target="externalLinks/externalLink16.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customXml" Target="../customXml/item3.xml"/><Relationship Id="rId20" Type="http://schemas.openxmlformats.org/officeDocument/2006/relationships/externalLink" Target="externalLinks/externalLink5.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620230</xdr:colOff>
      <xdr:row>7</xdr:row>
      <xdr:rowOff>134936</xdr:rowOff>
    </xdr:to>
    <xdr:pic>
      <xdr:nvPicPr>
        <xdr:cNvPr id="16" name="Imagen 15">
          <a:extLst>
            <a:ext uri="{FF2B5EF4-FFF2-40B4-BE49-F238E27FC236}">
              <a16:creationId xmlns:a16="http://schemas.microsoft.com/office/drawing/2014/main" id="{D737471B-5CB7-4D82-9476-87D2DEE1C7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461730" cy="1428027"/>
        </a:xfrm>
        <a:prstGeom prst="rect">
          <a:avLst/>
        </a:prstGeom>
      </xdr:spPr>
    </xdr:pic>
    <xdr:clientData/>
  </xdr:twoCellAnchor>
  <xdr:twoCellAnchor editAs="oneCell">
    <xdr:from>
      <xdr:col>4</xdr:col>
      <xdr:colOff>655782</xdr:colOff>
      <xdr:row>0</xdr:row>
      <xdr:rowOff>0</xdr:rowOff>
    </xdr:from>
    <xdr:to>
      <xdr:col>7</xdr:col>
      <xdr:colOff>638586</xdr:colOff>
      <xdr:row>7</xdr:row>
      <xdr:rowOff>136025</xdr:rowOff>
    </xdr:to>
    <xdr:pic>
      <xdr:nvPicPr>
        <xdr:cNvPr id="17" name="Imagen 16">
          <a:extLst>
            <a:ext uri="{FF2B5EF4-FFF2-40B4-BE49-F238E27FC236}">
              <a16:creationId xmlns:a16="http://schemas.microsoft.com/office/drawing/2014/main" id="{C68FCB05-3A87-4032-929B-B644A616D57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97282" y="0"/>
          <a:ext cx="2390031" cy="1429116"/>
        </a:xfrm>
        <a:prstGeom prst="rect">
          <a:avLst/>
        </a:prstGeom>
      </xdr:spPr>
    </xdr:pic>
    <xdr:clientData/>
  </xdr:twoCellAnchor>
  <xdr:twoCellAnchor editAs="oneCell">
    <xdr:from>
      <xdr:col>13</xdr:col>
      <xdr:colOff>502853</xdr:colOff>
      <xdr:row>0</xdr:row>
      <xdr:rowOff>0</xdr:rowOff>
    </xdr:from>
    <xdr:to>
      <xdr:col>16</xdr:col>
      <xdr:colOff>59676</xdr:colOff>
      <xdr:row>7</xdr:row>
      <xdr:rowOff>134936</xdr:rowOff>
    </xdr:to>
    <xdr:pic>
      <xdr:nvPicPr>
        <xdr:cNvPr id="18" name="Imagen 17">
          <a:extLst>
            <a:ext uri="{FF2B5EF4-FFF2-40B4-BE49-F238E27FC236}">
              <a16:creationId xmlns:a16="http://schemas.microsoft.com/office/drawing/2014/main" id="{B4F7CC8E-112A-464E-BF5C-46105F03990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2126" y="0"/>
          <a:ext cx="1964050" cy="1428027"/>
        </a:xfrm>
        <a:prstGeom prst="rect">
          <a:avLst/>
        </a:prstGeom>
      </xdr:spPr>
    </xdr:pic>
    <xdr:clientData/>
  </xdr:twoCellAnchor>
  <xdr:twoCellAnchor editAs="oneCell">
    <xdr:from>
      <xdr:col>7</xdr:col>
      <xdr:colOff>691500</xdr:colOff>
      <xdr:row>0</xdr:row>
      <xdr:rowOff>19050</xdr:rowOff>
    </xdr:from>
    <xdr:to>
      <xdr:col>10</xdr:col>
      <xdr:colOff>651812</xdr:colOff>
      <xdr:row>7</xdr:row>
      <xdr:rowOff>153987</xdr:rowOff>
    </xdr:to>
    <xdr:pic>
      <xdr:nvPicPr>
        <xdr:cNvPr id="19" name="Imagen 18">
          <a:extLst>
            <a:ext uri="{FF2B5EF4-FFF2-40B4-BE49-F238E27FC236}">
              <a16:creationId xmlns:a16="http://schemas.microsoft.com/office/drawing/2014/main" id="{20C5D064-AE78-4D78-917A-AE7EE508228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40227" y="19050"/>
          <a:ext cx="2367540" cy="1428028"/>
        </a:xfrm>
        <a:prstGeom prst="rect">
          <a:avLst/>
        </a:prstGeom>
      </xdr:spPr>
    </xdr:pic>
    <xdr:clientData/>
  </xdr:twoCellAnchor>
  <xdr:twoCellAnchor editAs="oneCell">
    <xdr:from>
      <xdr:col>10</xdr:col>
      <xdr:colOff>702877</xdr:colOff>
      <xdr:row>0</xdr:row>
      <xdr:rowOff>25400</xdr:rowOff>
    </xdr:from>
    <xdr:to>
      <xdr:col>13</xdr:col>
      <xdr:colOff>464752</xdr:colOff>
      <xdr:row>7</xdr:row>
      <xdr:rowOff>160336</xdr:rowOff>
    </xdr:to>
    <xdr:pic>
      <xdr:nvPicPr>
        <xdr:cNvPr id="20" name="Imagen 19">
          <a:extLst>
            <a:ext uri="{FF2B5EF4-FFF2-40B4-BE49-F238E27FC236}">
              <a16:creationId xmlns:a16="http://schemas.microsoft.com/office/drawing/2014/main" id="{65146564-BA7C-4F3B-9893-1F4A0ED4C6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54922" y="25400"/>
          <a:ext cx="2169102" cy="1428027"/>
        </a:xfrm>
        <a:prstGeom prst="rect">
          <a:avLst/>
        </a:prstGeom>
      </xdr:spPr>
    </xdr:pic>
    <xdr:clientData/>
  </xdr:twoCellAnchor>
  <xdr:twoCellAnchor editAs="oneCell">
    <xdr:from>
      <xdr:col>13</xdr:col>
      <xdr:colOff>131194</xdr:colOff>
      <xdr:row>7</xdr:row>
      <xdr:rowOff>67137</xdr:rowOff>
    </xdr:from>
    <xdr:to>
      <xdr:col>14</xdr:col>
      <xdr:colOff>777184</xdr:colOff>
      <xdr:row>11</xdr:row>
      <xdr:rowOff>72977</xdr:rowOff>
    </xdr:to>
    <xdr:pic>
      <xdr:nvPicPr>
        <xdr:cNvPr id="21" name="Imagen 20">
          <a:extLst>
            <a:ext uri="{FF2B5EF4-FFF2-40B4-BE49-F238E27FC236}">
              <a16:creationId xmlns:a16="http://schemas.microsoft.com/office/drawing/2014/main" id="{062565C5-33ED-4DCB-AAD1-02741F45488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94376" y="1360228"/>
          <a:ext cx="1448399" cy="744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1A71F63B-D823-4CDB-882C-98614CD734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9773" y="0"/>
          <a:ext cx="1725726" cy="88463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Modelo%20ingresos%20(19%20ago%200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nanciera/NuevaEstructura/Dir%20Recursos%20Financieros/Financiamiento%20y%20Admon%20Deuda/Deuda/Deuda/PRESUPUESTO/Modelo%20de%20Deuda%20-%20DEUDA%20report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ESTADOS%20FINANCIEROS/EEFF%202005/08_AGO%202005/EEFF%20AGO%202005%20REFORMULADO%2012SET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Meus%20documentos/DESPESAS%20OPERACIONAIS/ANO%202003/BALCTEEP200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customProperty" Target="../customProperty14.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customProperty" Target="../customProperty16.bin"/></Relationships>
</file>

<file path=xl/worksheets/_rels/sheet12.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9.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8.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customProperty" Target="../customProperty22.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customProperty" Target="../customProperty12.bin"/><Relationship Id="rId1" Type="http://schemas.openxmlformats.org/officeDocument/2006/relationships/printerSettings" Target="../printerSettings/printerSettings8.bin"/><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N42"/>
  <sheetViews>
    <sheetView showGridLines="0" topLeftCell="A22" zoomScale="110" zoomScaleNormal="110" workbookViewId="0">
      <selection activeCell="B37" sqref="B37"/>
    </sheetView>
  </sheetViews>
  <sheetFormatPr baseColWidth="10" defaultColWidth="11.453125" defaultRowHeight="14.5"/>
  <cols>
    <col min="1" max="1" width="3.26953125" style="185" customWidth="1"/>
    <col min="2" max="2" width="3.453125" customWidth="1"/>
    <col min="3" max="3" width="11.453125" customWidth="1"/>
  </cols>
  <sheetData>
    <row r="1" spans="2:14" s="185" customFormat="1"/>
    <row r="2" spans="2:14" s="185" customFormat="1"/>
    <row r="3" spans="2:14" s="185" customFormat="1"/>
    <row r="4" spans="2:14" s="185" customFormat="1"/>
    <row r="5" spans="2:14" s="185" customFormat="1"/>
    <row r="6" spans="2:14" s="185" customFormat="1"/>
    <row r="7" spans="2:14" s="185" customFormat="1"/>
    <row r="8" spans="2:14" s="185" customFormat="1">
      <c r="C8" s="307" t="s">
        <v>687</v>
      </c>
      <c r="D8" s="307"/>
      <c r="E8" s="307"/>
      <c r="F8" s="307"/>
      <c r="G8" s="307"/>
      <c r="H8" s="307"/>
      <c r="I8" s="307"/>
      <c r="J8" s="307"/>
      <c r="K8" s="307"/>
      <c r="L8" s="307"/>
      <c r="M8" s="307"/>
      <c r="N8" s="307"/>
    </row>
    <row r="9" spans="2:14" s="185" customFormat="1">
      <c r="C9" s="308" t="s">
        <v>688</v>
      </c>
    </row>
    <row r="10" spans="2:14" s="185" customFormat="1">
      <c r="C10" s="5" t="s">
        <v>689</v>
      </c>
    </row>
    <row r="11" spans="2:14" s="185" customFormat="1">
      <c r="C11" s="309"/>
    </row>
    <row r="12" spans="2:14" s="185" customFormat="1">
      <c r="B12" s="472" t="s">
        <v>690</v>
      </c>
      <c r="C12" s="473"/>
      <c r="D12" s="473"/>
      <c r="E12" s="474"/>
      <c r="F12" s="474"/>
      <c r="G12" s="474"/>
      <c r="H12" s="474"/>
      <c r="I12" s="474"/>
      <c r="J12" s="474"/>
      <c r="K12" s="474"/>
      <c r="L12" s="474"/>
      <c r="M12" s="474"/>
    </row>
    <row r="13" spans="2:14" s="310" customFormat="1">
      <c r="C13" s="311"/>
      <c r="D13" s="312"/>
      <c r="E13" s="312"/>
      <c r="F13" s="312"/>
      <c r="G13" s="312"/>
      <c r="H13" s="312"/>
      <c r="I13" s="312"/>
      <c r="J13" s="312"/>
      <c r="K13" s="312"/>
      <c r="L13" s="312"/>
      <c r="M13" s="312"/>
      <c r="N13" s="312"/>
    </row>
    <row r="14" spans="2:14" ht="15" thickBot="1">
      <c r="B14" s="2" t="s">
        <v>0</v>
      </c>
    </row>
    <row r="15" spans="2:14" ht="15" thickTop="1">
      <c r="B15" s="3" t="s">
        <v>691</v>
      </c>
    </row>
    <row r="16" spans="2:14">
      <c r="B16" s="3" t="s">
        <v>693</v>
      </c>
    </row>
    <row r="17" spans="1:3" s="185" customFormat="1">
      <c r="B17" s="3"/>
      <c r="C17" s="3" t="s">
        <v>694</v>
      </c>
    </row>
    <row r="18" spans="1:3" s="185" customFormat="1">
      <c r="B18" s="3"/>
      <c r="C18" s="3" t="s">
        <v>695</v>
      </c>
    </row>
    <row r="19" spans="1:3" s="185" customFormat="1">
      <c r="B19" s="3"/>
      <c r="C19" s="3" t="s">
        <v>696</v>
      </c>
    </row>
    <row r="20" spans="1:3" s="1" customFormat="1">
      <c r="A20" s="185"/>
      <c r="B20" s="3" t="s">
        <v>697</v>
      </c>
    </row>
    <row r="21" spans="1:3" s="185" customFormat="1">
      <c r="B21" s="3" t="s">
        <v>530</v>
      </c>
    </row>
    <row r="22" spans="1:3" s="1" customFormat="1">
      <c r="A22" s="185"/>
      <c r="B22" s="3" t="s">
        <v>698</v>
      </c>
    </row>
    <row r="23" spans="1:3" s="185" customFormat="1">
      <c r="B23" s="3"/>
      <c r="C23" s="3" t="s">
        <v>699</v>
      </c>
    </row>
    <row r="24" spans="1:3" s="185" customFormat="1">
      <c r="B24" s="3"/>
      <c r="C24" s="3" t="s">
        <v>700</v>
      </c>
    </row>
    <row r="25" spans="1:3" s="185" customFormat="1">
      <c r="B25" s="3"/>
      <c r="C25" s="3" t="s">
        <v>701</v>
      </c>
    </row>
    <row r="26" spans="1:3" s="1" customFormat="1">
      <c r="A26" s="185"/>
      <c r="B26" s="3" t="s">
        <v>702</v>
      </c>
    </row>
    <row r="27" spans="1:3" s="1" customFormat="1">
      <c r="A27" s="185"/>
      <c r="B27" s="3" t="s">
        <v>703</v>
      </c>
    </row>
    <row r="28" spans="1:3" s="1" customFormat="1">
      <c r="A28" s="185"/>
      <c r="B28" s="3"/>
    </row>
    <row r="29" spans="1:3" s="1" customFormat="1" ht="15" thickBot="1">
      <c r="A29" s="185"/>
      <c r="B29" s="4" t="s">
        <v>704</v>
      </c>
    </row>
    <row r="30" spans="1:3" s="1" customFormat="1" ht="15" thickTop="1">
      <c r="A30" s="185"/>
      <c r="B30" s="3"/>
    </row>
    <row r="31" spans="1:3" s="1" customFormat="1" ht="15" thickBot="1">
      <c r="A31" s="185"/>
      <c r="B31" s="4" t="s">
        <v>705</v>
      </c>
    </row>
    <row r="32" spans="1:3" s="1" customFormat="1" ht="15" thickTop="1">
      <c r="A32" s="185"/>
      <c r="B32" s="3"/>
    </row>
    <row r="33" spans="1:3" s="1" customFormat="1" ht="15" thickBot="1">
      <c r="A33" s="185"/>
      <c r="B33" s="4" t="s">
        <v>706</v>
      </c>
    </row>
    <row r="34" spans="1:3" s="1" customFormat="1" ht="15" thickTop="1">
      <c r="A34" s="185"/>
      <c r="B34" s="3"/>
    </row>
    <row r="35" spans="1:3" ht="15" thickBot="1">
      <c r="B35" s="4" t="s">
        <v>692</v>
      </c>
    </row>
    <row r="36" spans="1:3" ht="15" thickTop="1">
      <c r="B36" s="1"/>
    </row>
    <row r="37" spans="1:3" s="185" customFormat="1" ht="15" thickBot="1">
      <c r="B37" s="4" t="s">
        <v>1155</v>
      </c>
    </row>
    <row r="38" spans="1:3" s="185" customFormat="1" ht="15" thickTop="1"/>
    <row r="39" spans="1:3" s="1" customFormat="1" ht="15" thickBot="1">
      <c r="A39" s="185"/>
      <c r="B39" s="4" t="s">
        <v>707</v>
      </c>
    </row>
    <row r="40" spans="1:3" s="1" customFormat="1" ht="15" thickTop="1">
      <c r="A40" s="185"/>
    </row>
    <row r="41" spans="1:3">
      <c r="B41" s="313" t="s">
        <v>708</v>
      </c>
      <c r="C41" s="176"/>
    </row>
    <row r="42" spans="1:3">
      <c r="B42" s="1"/>
    </row>
  </sheetData>
  <hyperlinks>
    <hyperlink ref="B20" location="'FS ET Br'!A1" display="Quarterly financial statements ET Brazil" xr:uid="{00000000-0004-0000-0000-000002000000}"/>
    <hyperlink ref="B22" location="'FS ET Per'!A1" display="Quarterly financial statements ET Peru" xr:uid="{00000000-0004-0000-0000-000003000000}"/>
    <hyperlink ref="B26" location="'FS ET Ch'!A1" display="Quarterly financial statements ET Chile" xr:uid="{00000000-0004-0000-0000-000004000000}"/>
    <hyperlink ref="B27" location="'FS Road Ch'!A1" display="Quarterly financial statements Roads Chile" xr:uid="{00000000-0004-0000-0000-000005000000}"/>
    <hyperlink ref="B29" location="'Consolidated Debt Credits'!A1" display="Consolidated Debt Credits" xr:uid="{00000000-0004-0000-0000-000007000000}"/>
    <hyperlink ref="B33" location="CAPEX!A1" display="CAPEX" xr:uid="{00000000-0004-0000-0000-000008000000}"/>
    <hyperlink ref="B35" location="'Energy Regulation'!A1" display="Energy Regulation" xr:uid="{00000000-0004-0000-0000-000009000000}"/>
    <hyperlink ref="B31" location="'Consolidated Debt Bonds'!A1" display="Consolidated Debt Bonds" xr:uid="{00000000-0004-0000-0000-00000B000000}"/>
    <hyperlink ref="C19" location="'FS ET Colombia'!A183" display="Transelca" xr:uid="{00000000-0004-0000-0000-00000E000000}"/>
    <hyperlink ref="C23" location="'FS ET Per'!A6" display="Transmantaro" xr:uid="{00000000-0004-0000-0000-00000F000000}"/>
    <hyperlink ref="C24" location="'FS ET Per'!A88" display="REP" xr:uid="{00000000-0004-0000-0000-000010000000}"/>
    <hyperlink ref="C25" location="'FS ET Per'!A168" display="ISA Perú" xr:uid="{00000000-0004-0000-0000-000011000000}"/>
    <hyperlink ref="B21" location="RBSE!A1" display="RBSE" xr:uid="{00000000-0004-0000-0000-000014000000}"/>
    <hyperlink ref="C18" location="'FS ET Colombia'!A92" display="Intercolombia" xr:uid="{00000000-0004-0000-0000-00000D000000}"/>
    <hyperlink ref="C17" location="'FS ET Colombia'!A6" display="ISA" xr:uid="{00000000-0004-0000-0000-00000C000000}"/>
    <hyperlink ref="B16" location="'FS ET Colombia'!A1" display="Quarterly financial statements ET Colombia" xr:uid="{00000000-0004-0000-0000-000001000000}"/>
    <hyperlink ref="B15" location="'FS Consolidated'!A1" display="Quarterly consolidated financial statements" xr:uid="{00000000-0004-0000-0000-000000000000}"/>
    <hyperlink ref="B41" location="Projects!A1" display="Projects" xr:uid="{05933856-BA8E-4438-8D2F-001B18A514CD}"/>
    <hyperlink ref="B39" location="Dividends!A1" display="Dividends" xr:uid="{00000000-0004-0000-0000-00000A000000}"/>
    <hyperlink ref="B37" location="'Roads Regulation'!A1" display="Roads Regulation" xr:uid="{6D22782C-AC80-404A-BDF0-1E0C45E7ED87}"/>
  </hyperlinks>
  <pageMargins left="0.7" right="0.7" top="0.75" bottom="0.75" header="0.3" footer="0.3"/>
  <pageSetup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6285A-702D-4F9E-BCF4-56CECF62D836}">
  <dimension ref="A1:T85"/>
  <sheetViews>
    <sheetView showGridLines="0" zoomScale="90" zoomScaleNormal="90" workbookViewId="0">
      <pane xSplit="1" ySplit="3" topLeftCell="B4" activePane="bottomRight" state="frozen"/>
      <selection pane="topRight" activeCell="B1" sqref="B1"/>
      <selection pane="bottomLeft" activeCell="A4" sqref="A4"/>
      <selection pane="bottomRight" activeCell="P21" sqref="P21"/>
    </sheetView>
  </sheetViews>
  <sheetFormatPr baseColWidth="10" defaultColWidth="10.81640625" defaultRowHeight="14.5"/>
  <cols>
    <col min="1" max="1" width="5.1796875" style="1" customWidth="1"/>
    <col min="2" max="2" width="17.453125" style="1" customWidth="1"/>
    <col min="3" max="3" width="10.81640625" style="1"/>
    <col min="4" max="4" width="15.453125" style="1" customWidth="1"/>
    <col min="5" max="5" width="10.81640625" style="1"/>
    <col min="6" max="7" width="14.453125" style="1" customWidth="1"/>
    <col min="8" max="12" width="10.81640625" style="1"/>
    <col min="13" max="13" width="20.453125" style="1" bestFit="1" customWidth="1"/>
    <col min="14" max="14" width="17.7265625" style="1" bestFit="1" customWidth="1"/>
    <col min="15" max="15" width="15.26953125" style="1" customWidth="1"/>
    <col min="16" max="16384" width="10.81640625" style="1"/>
  </cols>
  <sheetData>
    <row r="1" spans="1:15">
      <c r="A1" s="3" t="s">
        <v>686</v>
      </c>
    </row>
    <row r="3" spans="1:15" s="91" customFormat="1" ht="36" customHeight="1">
      <c r="B3" s="135" t="s">
        <v>146</v>
      </c>
      <c r="C3" s="342" t="s">
        <v>147</v>
      </c>
      <c r="D3" s="273" t="s">
        <v>148</v>
      </c>
      <c r="E3" s="275" t="s">
        <v>149</v>
      </c>
      <c r="F3" s="136" t="s">
        <v>159</v>
      </c>
      <c r="G3" s="274" t="s">
        <v>151</v>
      </c>
      <c r="H3" s="136" t="s">
        <v>152</v>
      </c>
      <c r="I3" s="682" t="s">
        <v>153</v>
      </c>
      <c r="J3" s="683"/>
      <c r="K3" s="684"/>
      <c r="L3" s="292"/>
      <c r="M3" s="549" t="s">
        <v>1053</v>
      </c>
      <c r="N3" s="549" t="s">
        <v>1054</v>
      </c>
      <c r="O3" s="549" t="s">
        <v>1055</v>
      </c>
    </row>
    <row r="4" spans="1:15" s="91" customFormat="1" ht="3.75" customHeight="1">
      <c r="B4" s="92"/>
      <c r="C4" s="92"/>
      <c r="D4" s="92"/>
      <c r="E4" s="92"/>
      <c r="F4" s="92"/>
      <c r="G4" s="92"/>
      <c r="H4" s="92"/>
      <c r="I4" s="92"/>
      <c r="J4" s="92"/>
      <c r="K4" s="92"/>
      <c r="L4" s="133"/>
      <c r="M4" s="92"/>
      <c r="N4" s="92"/>
      <c r="O4" s="92"/>
    </row>
    <row r="5" spans="1:15" s="91" customFormat="1" ht="15" thickBot="1">
      <c r="A5" s="225" t="s">
        <v>492</v>
      </c>
      <c r="B5" s="93" t="s">
        <v>967</v>
      </c>
      <c r="C5" s="93"/>
      <c r="D5" s="93"/>
      <c r="E5" s="93"/>
      <c r="F5" s="93"/>
      <c r="G5" s="93"/>
      <c r="H5" s="93"/>
      <c r="I5" s="93"/>
      <c r="J5" s="94"/>
      <c r="K5" s="94"/>
      <c r="L5" s="531"/>
      <c r="M5" s="94"/>
      <c r="N5" s="95">
        <v>4491590.2014150014</v>
      </c>
      <c r="O5" s="96">
        <v>1308547.7644326293</v>
      </c>
    </row>
    <row r="6" spans="1:15" s="91" customFormat="1" ht="4.5" customHeight="1" thickTop="1">
      <c r="B6" s="532"/>
      <c r="C6" s="449"/>
      <c r="D6" s="450"/>
      <c r="E6" s="450"/>
      <c r="F6" s="450"/>
      <c r="G6" s="450"/>
      <c r="H6" s="450"/>
      <c r="I6" s="450"/>
      <c r="J6" s="450"/>
      <c r="K6" s="450"/>
      <c r="L6" s="525"/>
      <c r="M6" s="450"/>
      <c r="N6" s="452"/>
      <c r="O6" s="533"/>
    </row>
    <row r="7" spans="1:15" s="91" customFormat="1" ht="14">
      <c r="B7" s="685" t="s">
        <v>694</v>
      </c>
      <c r="C7" s="534" t="s">
        <v>997</v>
      </c>
      <c r="D7" s="97" t="s">
        <v>998</v>
      </c>
      <c r="E7" s="98" t="s">
        <v>867</v>
      </c>
      <c r="F7" s="99">
        <v>40878</v>
      </c>
      <c r="G7" s="100">
        <v>45261</v>
      </c>
      <c r="H7" s="454">
        <v>12.008219178082191</v>
      </c>
      <c r="I7" s="101" t="s">
        <v>868</v>
      </c>
      <c r="J7" s="102" t="s">
        <v>155</v>
      </c>
      <c r="K7" s="105">
        <v>4.4699999999999997E-2</v>
      </c>
      <c r="L7" s="531"/>
      <c r="M7" s="446">
        <v>180000000000</v>
      </c>
      <c r="N7" s="535">
        <v>179999.99999994738</v>
      </c>
      <c r="O7" s="446">
        <v>52439.912600130338</v>
      </c>
    </row>
    <row r="8" spans="1:15" s="91" customFormat="1" ht="14">
      <c r="B8" s="686"/>
      <c r="C8" s="534" t="s">
        <v>997</v>
      </c>
      <c r="D8" s="97" t="s">
        <v>999</v>
      </c>
      <c r="E8" s="98" t="s">
        <v>867</v>
      </c>
      <c r="F8" s="99">
        <v>40878</v>
      </c>
      <c r="G8" s="100">
        <v>51836</v>
      </c>
      <c r="H8" s="454">
        <v>30.021917808219179</v>
      </c>
      <c r="I8" s="101" t="s">
        <v>868</v>
      </c>
      <c r="J8" s="102" t="s">
        <v>155</v>
      </c>
      <c r="K8" s="105">
        <v>4.8399999999999999E-2</v>
      </c>
      <c r="L8" s="525"/>
      <c r="M8" s="446">
        <v>120000000000</v>
      </c>
      <c r="N8" s="535">
        <v>119999.99999996492</v>
      </c>
      <c r="O8" s="446">
        <v>34959.941733420223</v>
      </c>
    </row>
    <row r="9" spans="1:15" s="91" customFormat="1" ht="14">
      <c r="B9" s="686"/>
      <c r="C9" s="534" t="s">
        <v>997</v>
      </c>
      <c r="D9" s="97" t="s">
        <v>1000</v>
      </c>
      <c r="E9" s="98" t="s">
        <v>867</v>
      </c>
      <c r="F9" s="99">
        <v>41416</v>
      </c>
      <c r="G9" s="100">
        <v>44703</v>
      </c>
      <c r="H9" s="454">
        <v>9.0054794520547947</v>
      </c>
      <c r="I9" s="101" t="s">
        <v>868</v>
      </c>
      <c r="J9" s="102" t="s">
        <v>155</v>
      </c>
      <c r="K9" s="105">
        <v>2.8400000000000002E-2</v>
      </c>
      <c r="L9" s="531"/>
      <c r="M9" s="446">
        <v>120000000000</v>
      </c>
      <c r="N9" s="535">
        <v>119999.99999996492</v>
      </c>
      <c r="O9" s="446">
        <v>34959.941733420223</v>
      </c>
    </row>
    <row r="10" spans="1:15" s="91" customFormat="1" ht="14">
      <c r="B10" s="686"/>
      <c r="C10" s="534" t="s">
        <v>997</v>
      </c>
      <c r="D10" s="97" t="s">
        <v>1001</v>
      </c>
      <c r="E10" s="98" t="s">
        <v>867</v>
      </c>
      <c r="F10" s="99">
        <v>41416</v>
      </c>
      <c r="G10" s="100">
        <v>46895</v>
      </c>
      <c r="H10" s="454">
        <v>15.010958904109589</v>
      </c>
      <c r="I10" s="101" t="s">
        <v>868</v>
      </c>
      <c r="J10" s="102" t="s">
        <v>155</v>
      </c>
      <c r="K10" s="105">
        <v>3.2500000000000001E-2</v>
      </c>
      <c r="L10" s="525"/>
      <c r="M10" s="446">
        <v>100000000000</v>
      </c>
      <c r="N10" s="535">
        <v>99999.999999970765</v>
      </c>
      <c r="O10" s="446">
        <v>29133.284777850185</v>
      </c>
    </row>
    <row r="11" spans="1:15" s="91" customFormat="1" ht="14">
      <c r="B11" s="686"/>
      <c r="C11" s="534" t="s">
        <v>997</v>
      </c>
      <c r="D11" s="97" t="s">
        <v>1002</v>
      </c>
      <c r="E11" s="98" t="s">
        <v>867</v>
      </c>
      <c r="F11" s="99">
        <v>42131</v>
      </c>
      <c r="G11" s="100">
        <v>45784</v>
      </c>
      <c r="H11" s="454">
        <v>10.008219178082191</v>
      </c>
      <c r="I11" s="101" t="s">
        <v>868</v>
      </c>
      <c r="J11" s="102" t="s">
        <v>155</v>
      </c>
      <c r="K11" s="105">
        <v>3.7999999999999999E-2</v>
      </c>
      <c r="L11" s="531"/>
      <c r="M11" s="446">
        <v>100000000000</v>
      </c>
      <c r="N11" s="535">
        <v>99999.999999970765</v>
      </c>
      <c r="O11" s="446">
        <v>29133.284777850185</v>
      </c>
    </row>
    <row r="12" spans="1:15" s="91" customFormat="1" ht="14">
      <c r="B12" s="686"/>
      <c r="C12" s="534" t="s">
        <v>997</v>
      </c>
      <c r="D12" s="97" t="s">
        <v>1003</v>
      </c>
      <c r="E12" s="98" t="s">
        <v>867</v>
      </c>
      <c r="F12" s="99">
        <v>42131</v>
      </c>
      <c r="G12" s="100">
        <v>47610</v>
      </c>
      <c r="H12" s="454">
        <v>15.010958904109589</v>
      </c>
      <c r="I12" s="101" t="s">
        <v>868</v>
      </c>
      <c r="J12" s="102" t="s">
        <v>155</v>
      </c>
      <c r="K12" s="105">
        <v>4.1399999999999999E-2</v>
      </c>
      <c r="L12" s="525"/>
      <c r="M12" s="446">
        <v>120000000000</v>
      </c>
      <c r="N12" s="535">
        <v>119999.99999996492</v>
      </c>
      <c r="O12" s="446">
        <v>34959.941733420223</v>
      </c>
    </row>
    <row r="13" spans="1:15" s="91" customFormat="1" ht="14">
      <c r="B13" s="686"/>
      <c r="C13" s="534" t="s">
        <v>997</v>
      </c>
      <c r="D13" s="97" t="s">
        <v>1004</v>
      </c>
      <c r="E13" s="98" t="s">
        <v>867</v>
      </c>
      <c r="F13" s="99">
        <v>42131</v>
      </c>
      <c r="G13" s="100">
        <v>49436</v>
      </c>
      <c r="H13" s="454">
        <v>20.013698630136986</v>
      </c>
      <c r="I13" s="101" t="s">
        <v>868</v>
      </c>
      <c r="J13" s="102" t="s">
        <v>155</v>
      </c>
      <c r="K13" s="105">
        <v>4.3400000000000001E-2</v>
      </c>
      <c r="L13" s="531"/>
      <c r="M13" s="446">
        <v>280000000000</v>
      </c>
      <c r="N13" s="535">
        <v>279999.99999991816</v>
      </c>
      <c r="O13" s="446">
        <v>81573.197377980541</v>
      </c>
    </row>
    <row r="14" spans="1:15" s="91" customFormat="1" ht="14">
      <c r="B14" s="686"/>
      <c r="C14" s="534" t="s">
        <v>997</v>
      </c>
      <c r="D14" s="97" t="s">
        <v>1005</v>
      </c>
      <c r="E14" s="98" t="s">
        <v>867</v>
      </c>
      <c r="F14" s="99">
        <v>42416</v>
      </c>
      <c r="G14" s="100">
        <v>45338</v>
      </c>
      <c r="H14" s="454">
        <v>8.0054794520547947</v>
      </c>
      <c r="I14" s="101" t="s">
        <v>868</v>
      </c>
      <c r="J14" s="102" t="s">
        <v>155</v>
      </c>
      <c r="K14" s="105">
        <v>4.7300000000000002E-2</v>
      </c>
      <c r="L14" s="525"/>
      <c r="M14" s="446">
        <v>115000000000</v>
      </c>
      <c r="N14" s="535">
        <v>114999.99999996639</v>
      </c>
      <c r="O14" s="446">
        <v>33503.277494527712</v>
      </c>
    </row>
    <row r="15" spans="1:15" s="91" customFormat="1" ht="14">
      <c r="B15" s="686"/>
      <c r="C15" s="534" t="s">
        <v>997</v>
      </c>
      <c r="D15" s="97" t="s">
        <v>1006</v>
      </c>
      <c r="E15" s="98" t="s">
        <v>867</v>
      </c>
      <c r="F15" s="99">
        <v>42416</v>
      </c>
      <c r="G15" s="100">
        <v>46799</v>
      </c>
      <c r="H15" s="454">
        <v>12.008219178082191</v>
      </c>
      <c r="I15" s="101" t="s">
        <v>868</v>
      </c>
      <c r="J15" s="102" t="s">
        <v>155</v>
      </c>
      <c r="K15" s="105">
        <v>5.0500000000000003E-2</v>
      </c>
      <c r="L15" s="531"/>
      <c r="M15" s="446">
        <v>152000000000</v>
      </c>
      <c r="N15" s="535">
        <v>151999.99999995556</v>
      </c>
      <c r="O15" s="446">
        <v>44282.592862332276</v>
      </c>
    </row>
    <row r="16" spans="1:15" s="91" customFormat="1" ht="14">
      <c r="B16" s="686"/>
      <c r="C16" s="534" t="s">
        <v>997</v>
      </c>
      <c r="D16" s="97" t="s">
        <v>1007</v>
      </c>
      <c r="E16" s="98" t="s">
        <v>867</v>
      </c>
      <c r="F16" s="99">
        <v>42416</v>
      </c>
      <c r="G16" s="100">
        <v>51548</v>
      </c>
      <c r="H16" s="454">
        <v>25.019178082191782</v>
      </c>
      <c r="I16" s="101" t="s">
        <v>868</v>
      </c>
      <c r="J16" s="102" t="s">
        <v>155</v>
      </c>
      <c r="K16" s="105">
        <v>5.3800000000000001E-2</v>
      </c>
      <c r="L16" s="525"/>
      <c r="M16" s="446">
        <v>133000000000</v>
      </c>
      <c r="N16" s="535">
        <v>132999.99999996112</v>
      </c>
      <c r="O16" s="446">
        <v>38747.268754540746</v>
      </c>
    </row>
    <row r="17" spans="1:15" s="91" customFormat="1" ht="14">
      <c r="B17" s="686"/>
      <c r="C17" s="534" t="s">
        <v>997</v>
      </c>
      <c r="D17" s="97" t="s">
        <v>1008</v>
      </c>
      <c r="E17" s="98" t="s">
        <v>867</v>
      </c>
      <c r="F17" s="99">
        <v>42843</v>
      </c>
      <c r="G17" s="100">
        <v>45400</v>
      </c>
      <c r="H17" s="454">
        <v>7.0054794520547947</v>
      </c>
      <c r="I17" s="115" t="s">
        <v>883</v>
      </c>
      <c r="J17" s="102">
        <v>0</v>
      </c>
      <c r="K17" s="103">
        <v>6.7500000000000004E-2</v>
      </c>
      <c r="L17" s="531"/>
      <c r="M17" s="446">
        <v>260780000000</v>
      </c>
      <c r="N17" s="535">
        <v>260779.99999992378</v>
      </c>
      <c r="O17" s="446">
        <v>75973.780043677718</v>
      </c>
    </row>
    <row r="18" spans="1:15" s="91" customFormat="1" ht="14">
      <c r="B18" s="686"/>
      <c r="C18" s="534" t="s">
        <v>997</v>
      </c>
      <c r="D18" s="97" t="s">
        <v>1009</v>
      </c>
      <c r="E18" s="98" t="s">
        <v>867</v>
      </c>
      <c r="F18" s="99">
        <v>42843</v>
      </c>
      <c r="G18" s="100">
        <v>48322</v>
      </c>
      <c r="H18" s="454">
        <v>15.010958904109589</v>
      </c>
      <c r="I18" s="101" t="s">
        <v>868</v>
      </c>
      <c r="J18" s="102" t="s">
        <v>155</v>
      </c>
      <c r="K18" s="105">
        <v>3.8100000000000002E-2</v>
      </c>
      <c r="L18" s="525"/>
      <c r="M18" s="446">
        <v>196300000000</v>
      </c>
      <c r="N18" s="535">
        <v>196299.99999994261</v>
      </c>
      <c r="O18" s="446">
        <v>57188.638018919919</v>
      </c>
    </row>
    <row r="19" spans="1:15" s="91" customFormat="1" ht="14">
      <c r="B19" s="686"/>
      <c r="C19" s="534" t="s">
        <v>997</v>
      </c>
      <c r="D19" s="97" t="s">
        <v>1010</v>
      </c>
      <c r="E19" s="98" t="s">
        <v>867</v>
      </c>
      <c r="F19" s="99">
        <v>42843</v>
      </c>
      <c r="G19" s="100">
        <v>51974</v>
      </c>
      <c r="H19" s="454">
        <v>25.016438356164382</v>
      </c>
      <c r="I19" s="101" t="s">
        <v>868</v>
      </c>
      <c r="J19" s="102" t="s">
        <v>155</v>
      </c>
      <c r="K19" s="105">
        <v>0.04</v>
      </c>
      <c r="L19" s="531"/>
      <c r="M19" s="446">
        <v>242920000000</v>
      </c>
      <c r="N19" s="535">
        <v>242919.99999992899</v>
      </c>
      <c r="O19" s="446">
        <v>70770.575382353665</v>
      </c>
    </row>
    <row r="20" spans="1:15" s="91" customFormat="1" ht="14">
      <c r="B20" s="686"/>
      <c r="C20" s="534" t="s">
        <v>997</v>
      </c>
      <c r="D20" s="97" t="s">
        <v>1011</v>
      </c>
      <c r="E20" s="98" t="s">
        <v>867</v>
      </c>
      <c r="F20" s="99">
        <v>43067</v>
      </c>
      <c r="G20" s="100">
        <v>45989</v>
      </c>
      <c r="H20" s="454">
        <v>8.0054794520547947</v>
      </c>
      <c r="I20" s="115" t="s">
        <v>883</v>
      </c>
      <c r="J20" s="102">
        <v>0</v>
      </c>
      <c r="K20" s="103">
        <v>6.9900000000000004E-2</v>
      </c>
      <c r="L20" s="525"/>
      <c r="M20" s="446">
        <v>150080000000</v>
      </c>
      <c r="N20" s="535">
        <v>150079.99999995614</v>
      </c>
      <c r="O20" s="446">
        <v>43723.23379459756</v>
      </c>
    </row>
    <row r="21" spans="1:15" s="91" customFormat="1" ht="14">
      <c r="B21" s="686"/>
      <c r="C21" s="534" t="s">
        <v>997</v>
      </c>
      <c r="D21" s="97" t="s">
        <v>1012</v>
      </c>
      <c r="E21" s="98" t="s">
        <v>867</v>
      </c>
      <c r="F21" s="99">
        <v>43067</v>
      </c>
      <c r="G21" s="100">
        <v>48180</v>
      </c>
      <c r="H21" s="454">
        <v>14.008219178082191</v>
      </c>
      <c r="I21" s="101" t="s">
        <v>868</v>
      </c>
      <c r="J21" s="102" t="s">
        <v>155</v>
      </c>
      <c r="K21" s="105">
        <v>3.7499999999999999E-2</v>
      </c>
      <c r="L21" s="531"/>
      <c r="M21" s="446">
        <v>120100000000</v>
      </c>
      <c r="N21" s="535">
        <v>120099.99999996489</v>
      </c>
      <c r="O21" s="446">
        <v>34989.075018198069</v>
      </c>
    </row>
    <row r="22" spans="1:15" s="91" customFormat="1" ht="14">
      <c r="B22" s="686"/>
      <c r="C22" s="534" t="s">
        <v>997</v>
      </c>
      <c r="D22" s="97" t="s">
        <v>1013</v>
      </c>
      <c r="E22" s="98" t="s">
        <v>867</v>
      </c>
      <c r="F22" s="99">
        <v>43067</v>
      </c>
      <c r="G22" s="100">
        <v>54024</v>
      </c>
      <c r="H22" s="454">
        <v>30.019178082191782</v>
      </c>
      <c r="I22" s="101" t="s">
        <v>868</v>
      </c>
      <c r="J22" s="102" t="s">
        <v>155</v>
      </c>
      <c r="K22" s="105">
        <v>3.9800000000000002E-2</v>
      </c>
      <c r="L22" s="525"/>
      <c r="M22" s="446">
        <v>229820000000</v>
      </c>
      <c r="N22" s="535">
        <v>229819.99999993283</v>
      </c>
      <c r="O22" s="446">
        <v>66954.115076455317</v>
      </c>
    </row>
    <row r="23" spans="1:15" s="91" customFormat="1" ht="14">
      <c r="B23" s="686"/>
      <c r="C23" s="534" t="s">
        <v>997</v>
      </c>
      <c r="D23" s="97" t="s">
        <v>1014</v>
      </c>
      <c r="E23" s="98" t="s">
        <v>867</v>
      </c>
      <c r="F23" s="99">
        <v>43306</v>
      </c>
      <c r="G23" s="100">
        <v>46593</v>
      </c>
      <c r="H23" s="454">
        <v>9.0054794520547947</v>
      </c>
      <c r="I23" s="101" t="s">
        <v>868</v>
      </c>
      <c r="J23" s="102" t="s">
        <v>155</v>
      </c>
      <c r="K23" s="105">
        <v>3.49E-2</v>
      </c>
      <c r="L23" s="531"/>
      <c r="M23" s="446">
        <v>156500000000</v>
      </c>
      <c r="N23" s="535">
        <v>156499.99999995425</v>
      </c>
      <c r="O23" s="446">
        <v>45593.590677335538</v>
      </c>
    </row>
    <row r="24" spans="1:15" s="91" customFormat="1" ht="14">
      <c r="B24" s="686"/>
      <c r="C24" s="534" t="s">
        <v>997</v>
      </c>
      <c r="D24" s="97" t="s">
        <v>1015</v>
      </c>
      <c r="E24" s="98" t="s">
        <v>867</v>
      </c>
      <c r="F24" s="99">
        <v>43306</v>
      </c>
      <c r="G24" s="100">
        <v>48785</v>
      </c>
      <c r="H24" s="454">
        <v>15.010958904109589</v>
      </c>
      <c r="I24" s="101" t="s">
        <v>868</v>
      </c>
      <c r="J24" s="102" t="s">
        <v>155</v>
      </c>
      <c r="K24" s="105">
        <v>3.8899999999999997E-2</v>
      </c>
      <c r="L24" s="525"/>
      <c r="M24" s="446">
        <v>142063000000</v>
      </c>
      <c r="N24" s="535">
        <v>142062.99999995847</v>
      </c>
      <c r="O24" s="446">
        <v>41387.61835395731</v>
      </c>
    </row>
    <row r="25" spans="1:15" s="91" customFormat="1" ht="14">
      <c r="B25" s="686"/>
      <c r="C25" s="534" t="s">
        <v>997</v>
      </c>
      <c r="D25" s="97" t="s">
        <v>1016</v>
      </c>
      <c r="E25" s="98" t="s">
        <v>867</v>
      </c>
      <c r="F25" s="99">
        <v>43306</v>
      </c>
      <c r="G25" s="100">
        <v>52437</v>
      </c>
      <c r="H25" s="454">
        <v>25.016438356164382</v>
      </c>
      <c r="I25" s="101" t="s">
        <v>868</v>
      </c>
      <c r="J25" s="102" t="s">
        <v>155</v>
      </c>
      <c r="K25" s="105">
        <v>4.07E-2</v>
      </c>
      <c r="L25" s="531"/>
      <c r="M25" s="446">
        <v>201437000000</v>
      </c>
      <c r="N25" s="535">
        <v>201436.99999994112</v>
      </c>
      <c r="O25" s="446">
        <v>58685.21485795809</v>
      </c>
    </row>
    <row r="26" spans="1:15" s="91" customFormat="1" ht="14">
      <c r="B26" s="686"/>
      <c r="C26" s="293" t="s">
        <v>997</v>
      </c>
      <c r="D26" s="97" t="s">
        <v>1017</v>
      </c>
      <c r="E26" s="98" t="s">
        <v>867</v>
      </c>
      <c r="F26" s="99">
        <v>44056</v>
      </c>
      <c r="G26" s="100">
        <v>47343</v>
      </c>
      <c r="H26" s="454">
        <v>9.0054794520547947</v>
      </c>
      <c r="I26" s="115" t="s">
        <v>883</v>
      </c>
      <c r="J26" s="102">
        <v>0</v>
      </c>
      <c r="K26" s="105" t="s">
        <v>1018</v>
      </c>
      <c r="L26" s="525"/>
      <c r="M26" s="446">
        <v>160000000000</v>
      </c>
      <c r="N26" s="535">
        <v>159999.99999995323</v>
      </c>
      <c r="O26" s="446">
        <v>46613.255644560297</v>
      </c>
    </row>
    <row r="27" spans="1:15" s="91" customFormat="1" ht="20.5" customHeight="1">
      <c r="B27" s="687"/>
      <c r="C27" s="293" t="s">
        <v>997</v>
      </c>
      <c r="D27" s="97" t="s">
        <v>1019</v>
      </c>
      <c r="E27" s="98" t="s">
        <v>970</v>
      </c>
      <c r="F27" s="99">
        <v>44056</v>
      </c>
      <c r="G27" s="100">
        <v>51361</v>
      </c>
      <c r="H27" s="454">
        <v>20.013698630136986</v>
      </c>
      <c r="I27" s="115" t="s">
        <v>883</v>
      </c>
      <c r="J27" s="102">
        <v>0</v>
      </c>
      <c r="K27" s="105">
        <v>3.6700000000000003E-2</v>
      </c>
      <c r="L27" s="531"/>
      <c r="M27" s="446">
        <v>509780000</v>
      </c>
      <c r="N27" s="535">
        <v>140221.41222795902</v>
      </c>
      <c r="O27" s="446">
        <v>40851.103343906485</v>
      </c>
    </row>
    <row r="28" spans="1:15" s="91" customFormat="1" ht="14">
      <c r="B28" s="455"/>
      <c r="C28" s="536"/>
      <c r="D28" s="442"/>
      <c r="E28" s="525"/>
      <c r="F28" s="525"/>
      <c r="G28" s="525"/>
      <c r="H28" s="525"/>
      <c r="I28" s="525"/>
      <c r="J28" s="525"/>
      <c r="K28" s="537"/>
      <c r="L28" s="525"/>
      <c r="M28" s="537"/>
      <c r="N28" s="107">
        <v>3420221.4122270015</v>
      </c>
      <c r="O28" s="108">
        <v>996422.84405739268</v>
      </c>
    </row>
    <row r="29" spans="1:15" s="91" customFormat="1" ht="14">
      <c r="B29" s="688" t="s">
        <v>1020</v>
      </c>
      <c r="C29" s="534" t="s">
        <v>997</v>
      </c>
      <c r="D29" s="97" t="s">
        <v>1021</v>
      </c>
      <c r="E29" s="98" t="s">
        <v>872</v>
      </c>
      <c r="F29" s="99">
        <v>42559</v>
      </c>
      <c r="G29" s="100">
        <v>48959</v>
      </c>
      <c r="H29" s="454">
        <v>17.534246575342465</v>
      </c>
      <c r="I29" s="101" t="s">
        <v>883</v>
      </c>
      <c r="J29" s="102">
        <v>0</v>
      </c>
      <c r="K29" s="105">
        <v>6.7500000000000004E-2</v>
      </c>
      <c r="L29" s="531"/>
      <c r="M29" s="446">
        <v>150800000</v>
      </c>
      <c r="N29" s="535">
        <v>517621.0000002468</v>
      </c>
      <c r="O29" s="446">
        <v>150800.00000007189</v>
      </c>
    </row>
    <row r="30" spans="1:15" s="91" customFormat="1" ht="14">
      <c r="B30" s="689"/>
      <c r="C30" s="534" t="s">
        <v>997</v>
      </c>
      <c r="D30" s="97" t="s">
        <v>1022</v>
      </c>
      <c r="E30" s="98" t="s">
        <v>970</v>
      </c>
      <c r="F30" s="99">
        <v>42559</v>
      </c>
      <c r="G30" s="100">
        <v>48959</v>
      </c>
      <c r="H30" s="454">
        <v>17.534246575342465</v>
      </c>
      <c r="I30" s="101" t="s">
        <v>883</v>
      </c>
      <c r="J30" s="102">
        <v>0</v>
      </c>
      <c r="K30" s="105">
        <v>6.25E-2</v>
      </c>
      <c r="L30" s="531"/>
      <c r="M30" s="446">
        <v>1358773563.5</v>
      </c>
      <c r="N30" s="535">
        <v>373747.78918775328</v>
      </c>
      <c r="O30" s="446">
        <v>108885.00777501916</v>
      </c>
    </row>
    <row r="31" spans="1:15" s="91" customFormat="1" ht="21.65" customHeight="1">
      <c r="B31" s="442"/>
      <c r="C31" s="536"/>
      <c r="D31" s="442"/>
      <c r="E31" s="525"/>
      <c r="F31" s="525"/>
      <c r="G31" s="525"/>
      <c r="H31" s="525"/>
      <c r="I31" s="525"/>
      <c r="J31" s="525"/>
      <c r="K31" s="537"/>
      <c r="L31" s="531"/>
      <c r="M31" s="538"/>
      <c r="N31" s="107">
        <v>891368.78918800014</v>
      </c>
      <c r="O31" s="107">
        <v>259685.00777509104</v>
      </c>
    </row>
    <row r="32" spans="1:15" s="91" customFormat="1">
      <c r="A32" s="225" t="s">
        <v>492</v>
      </c>
      <c r="B32" s="442"/>
      <c r="C32" s="536"/>
      <c r="D32" s="442"/>
      <c r="E32" s="525"/>
      <c r="F32" s="525"/>
      <c r="G32" s="525"/>
      <c r="H32" s="525"/>
      <c r="I32" s="525"/>
      <c r="J32" s="525"/>
      <c r="K32" s="537"/>
      <c r="L32" s="531"/>
      <c r="M32" s="537"/>
      <c r="N32" s="452"/>
      <c r="O32" s="452"/>
    </row>
    <row r="33" spans="1:15" s="91" customFormat="1" ht="15" customHeight="1">
      <c r="B33" s="688" t="s">
        <v>1023</v>
      </c>
      <c r="C33" s="534" t="s">
        <v>997</v>
      </c>
      <c r="D33" s="97" t="s">
        <v>1024</v>
      </c>
      <c r="E33" s="98" t="s">
        <v>867</v>
      </c>
      <c r="F33" s="99">
        <v>40827</v>
      </c>
      <c r="G33" s="100">
        <v>44480</v>
      </c>
      <c r="H33" s="454">
        <v>10.008219178082191</v>
      </c>
      <c r="I33" s="101" t="s">
        <v>868</v>
      </c>
      <c r="J33" s="102" t="s">
        <v>155</v>
      </c>
      <c r="K33" s="105">
        <v>4.2000000000000003E-2</v>
      </c>
      <c r="L33" s="525"/>
      <c r="M33" s="446">
        <v>80000000000</v>
      </c>
      <c r="N33" s="535">
        <v>80000</v>
      </c>
      <c r="O33" s="446">
        <v>23306.627822286962</v>
      </c>
    </row>
    <row r="34" spans="1:15" s="91" customFormat="1" ht="14">
      <c r="B34" s="689"/>
      <c r="C34" s="534" t="s">
        <v>997</v>
      </c>
      <c r="D34" s="97" t="s">
        <v>1025</v>
      </c>
      <c r="E34" s="98" t="s">
        <v>867</v>
      </c>
      <c r="F34" s="99">
        <v>40827</v>
      </c>
      <c r="G34" s="100">
        <v>46306</v>
      </c>
      <c r="H34" s="454">
        <v>15.010958904109589</v>
      </c>
      <c r="I34" s="101" t="s">
        <v>868</v>
      </c>
      <c r="J34" s="102" t="s">
        <v>155</v>
      </c>
      <c r="K34" s="105">
        <v>4.48E-2</v>
      </c>
      <c r="L34" s="531"/>
      <c r="M34" s="446">
        <v>100000000000</v>
      </c>
      <c r="N34" s="535">
        <v>100000</v>
      </c>
      <c r="O34" s="446">
        <v>29133.284777858706</v>
      </c>
    </row>
    <row r="35" spans="1:15" s="91" customFormat="1" ht="14">
      <c r="B35" s="442"/>
      <c r="C35" s="536"/>
      <c r="D35" s="442"/>
      <c r="E35" s="525"/>
      <c r="F35" s="525"/>
      <c r="G35" s="525"/>
      <c r="H35" s="525"/>
      <c r="I35" s="525"/>
      <c r="J35" s="525"/>
      <c r="K35" s="537"/>
      <c r="L35" s="525"/>
      <c r="M35" s="537"/>
      <c r="N35" s="107">
        <v>180000</v>
      </c>
      <c r="O35" s="108">
        <v>52439.912600145668</v>
      </c>
    </row>
    <row r="36" spans="1:15" s="91" customFormat="1" ht="14">
      <c r="B36" s="442"/>
      <c r="C36" s="536"/>
      <c r="D36" s="442"/>
      <c r="E36" s="525"/>
      <c r="F36" s="525"/>
      <c r="G36" s="525"/>
      <c r="H36" s="525"/>
      <c r="I36" s="525"/>
      <c r="J36" s="525"/>
      <c r="K36" s="525"/>
      <c r="L36" s="531"/>
      <c r="M36" s="525"/>
      <c r="N36" s="452"/>
      <c r="O36" s="533"/>
    </row>
    <row r="37" spans="1:15" s="91" customFormat="1" thickBot="1">
      <c r="B37" s="93" t="s">
        <v>973</v>
      </c>
      <c r="C37" s="93"/>
      <c r="D37" s="93"/>
      <c r="E37" s="93"/>
      <c r="F37" s="93"/>
      <c r="G37" s="93"/>
      <c r="H37" s="93"/>
      <c r="I37" s="93"/>
      <c r="J37" s="94"/>
      <c r="K37" s="94"/>
      <c r="L37" s="525"/>
      <c r="M37" s="94"/>
      <c r="N37" s="95">
        <v>4132846.0782255</v>
      </c>
      <c r="O37" s="96">
        <v>1204033.8174000001</v>
      </c>
    </row>
    <row r="38" spans="1:15" s="91" customFormat="1" thickTop="1">
      <c r="B38" s="449"/>
      <c r="C38" s="449"/>
      <c r="D38" s="450"/>
      <c r="E38" s="450"/>
      <c r="F38" s="450"/>
      <c r="G38" s="450"/>
      <c r="H38" s="450"/>
      <c r="I38" s="450"/>
      <c r="J38" s="450"/>
      <c r="K38" s="450"/>
      <c r="L38" s="531"/>
      <c r="M38" s="450"/>
      <c r="N38" s="452"/>
      <c r="O38" s="533"/>
    </row>
    <row r="39" spans="1:15" s="91" customFormat="1" ht="14">
      <c r="B39" s="685" t="s">
        <v>700</v>
      </c>
      <c r="C39" s="534" t="s">
        <v>997</v>
      </c>
      <c r="D39" s="117" t="s">
        <v>1026</v>
      </c>
      <c r="E39" s="137" t="s">
        <v>872</v>
      </c>
      <c r="F39" s="100">
        <v>40563</v>
      </c>
      <c r="G39" s="100">
        <v>46041</v>
      </c>
      <c r="H39" s="118">
        <v>15.008219178082191</v>
      </c>
      <c r="I39" s="115" t="s">
        <v>883</v>
      </c>
      <c r="J39" s="102">
        <v>0</v>
      </c>
      <c r="K39" s="103">
        <v>6.5000000000000002E-2</v>
      </c>
      <c r="L39" s="525"/>
      <c r="M39" s="104">
        <v>38000000</v>
      </c>
      <c r="N39" s="294">
        <v>130634.1268498592</v>
      </c>
      <c r="O39" s="104">
        <v>38058.012192238653</v>
      </c>
    </row>
    <row r="40" spans="1:15" s="91" customFormat="1" ht="14">
      <c r="B40" s="686"/>
      <c r="C40" s="534" t="s">
        <v>997</v>
      </c>
      <c r="D40" s="117" t="s">
        <v>1027</v>
      </c>
      <c r="E40" s="137" t="s">
        <v>872</v>
      </c>
      <c r="F40" s="100">
        <v>41201</v>
      </c>
      <c r="G40" s="100">
        <v>47957</v>
      </c>
      <c r="H40" s="118">
        <v>18.509589041095889</v>
      </c>
      <c r="I40" s="115" t="s">
        <v>883</v>
      </c>
      <c r="J40" s="102">
        <v>0</v>
      </c>
      <c r="K40" s="103">
        <v>5.8749999999999997E-2</v>
      </c>
      <c r="L40" s="531"/>
      <c r="M40" s="104">
        <v>40000000</v>
      </c>
      <c r="N40" s="294">
        <v>137509.6072103781</v>
      </c>
      <c r="O40" s="104">
        <v>40061.065465514381</v>
      </c>
    </row>
    <row r="41" spans="1:15" s="91" customFormat="1" ht="14">
      <c r="B41" s="686"/>
      <c r="C41" s="534" t="s">
        <v>997</v>
      </c>
      <c r="D41" s="117" t="s">
        <v>1028</v>
      </c>
      <c r="E41" s="137" t="s">
        <v>887</v>
      </c>
      <c r="F41" s="100">
        <v>41220</v>
      </c>
      <c r="G41" s="100">
        <v>44873</v>
      </c>
      <c r="H41" s="118">
        <v>10.008219178082191</v>
      </c>
      <c r="I41" s="115" t="s">
        <v>883</v>
      </c>
      <c r="J41" s="102">
        <v>0</v>
      </c>
      <c r="K41" s="103">
        <v>5.3749999999999999E-2</v>
      </c>
      <c r="L41" s="525"/>
      <c r="M41" s="104">
        <v>104140000</v>
      </c>
      <c r="N41" s="294">
        <v>98869.445559850705</v>
      </c>
      <c r="O41" s="104">
        <v>28803.917133241284</v>
      </c>
    </row>
    <row r="42" spans="1:15" s="91" customFormat="1" ht="16" customHeight="1">
      <c r="B42" s="686"/>
      <c r="C42" s="534" t="s">
        <v>997</v>
      </c>
      <c r="D42" s="117" t="s">
        <v>1029</v>
      </c>
      <c r="E42" s="137" t="s">
        <v>887</v>
      </c>
      <c r="F42" s="100">
        <v>41312</v>
      </c>
      <c r="G42" s="100">
        <v>44964</v>
      </c>
      <c r="H42" s="118">
        <v>10.005479452054795</v>
      </c>
      <c r="I42" s="115" t="s">
        <v>883</v>
      </c>
      <c r="J42" s="102">
        <v>0</v>
      </c>
      <c r="K42" s="103">
        <v>5.1249999999999997E-2</v>
      </c>
      <c r="L42" s="531"/>
      <c r="M42" s="104">
        <v>77305000</v>
      </c>
      <c r="N42" s="294">
        <v>73392.572392973481</v>
      </c>
      <c r="O42" s="104">
        <v>21381.667121041071</v>
      </c>
    </row>
    <row r="43" spans="1:15" s="91" customFormat="1" ht="14">
      <c r="B43" s="686"/>
      <c r="C43" s="534" t="s">
        <v>997</v>
      </c>
      <c r="D43" s="117" t="s">
        <v>1030</v>
      </c>
      <c r="E43" s="137" t="s">
        <v>872</v>
      </c>
      <c r="F43" s="100">
        <v>41834</v>
      </c>
      <c r="G43" s="100">
        <v>44391</v>
      </c>
      <c r="H43" s="118">
        <v>7.0054794520547947</v>
      </c>
      <c r="I43" s="115" t="s">
        <v>883</v>
      </c>
      <c r="J43" s="102">
        <v>0</v>
      </c>
      <c r="K43" s="103">
        <v>3.7499999999999999E-2</v>
      </c>
      <c r="L43" s="525"/>
      <c r="M43" s="104">
        <v>3333333</v>
      </c>
      <c r="N43" s="294">
        <v>11459.132788284784</v>
      </c>
      <c r="O43" s="104">
        <v>3338.4217882839862</v>
      </c>
    </row>
    <row r="44" spans="1:15" s="91" customFormat="1" ht="14">
      <c r="B44" s="686"/>
      <c r="C44" s="539" t="s">
        <v>1031</v>
      </c>
      <c r="D44" s="97" t="s">
        <v>895</v>
      </c>
      <c r="E44" s="137" t="s">
        <v>872</v>
      </c>
      <c r="F44" s="100">
        <v>41221</v>
      </c>
      <c r="G44" s="100">
        <v>44873</v>
      </c>
      <c r="H44" s="454">
        <v>10.005479452054795</v>
      </c>
      <c r="I44" s="115" t="s">
        <v>883</v>
      </c>
      <c r="J44" s="102">
        <v>0</v>
      </c>
      <c r="K44" s="103">
        <v>5.3749999999999999E-2</v>
      </c>
      <c r="L44" s="531"/>
      <c r="M44" s="104">
        <v>12318207.960000001</v>
      </c>
      <c r="N44" s="294">
        <v>42346.798452883828</v>
      </c>
      <c r="O44" s="446">
        <v>12337.013387584509</v>
      </c>
    </row>
    <row r="45" spans="1:15" s="91" customFormat="1" ht="14">
      <c r="B45" s="687"/>
      <c r="C45" s="539" t="s">
        <v>1031</v>
      </c>
      <c r="D45" s="97" t="s">
        <v>895</v>
      </c>
      <c r="E45" s="137" t="s">
        <v>872</v>
      </c>
      <c r="F45" s="100">
        <v>41312</v>
      </c>
      <c r="G45" s="100">
        <v>44964</v>
      </c>
      <c r="H45" s="454">
        <v>10.005479452054795</v>
      </c>
      <c r="I45" s="115" t="s">
        <v>883</v>
      </c>
      <c r="J45" s="102">
        <v>0</v>
      </c>
      <c r="K45" s="103">
        <v>5.1249999999999997E-2</v>
      </c>
      <c r="L45" s="525"/>
      <c r="M45" s="104">
        <v>10038395.33</v>
      </c>
      <c r="N45" s="294">
        <v>34509.394971269845</v>
      </c>
      <c r="O45" s="446">
        <v>10053.720312096095</v>
      </c>
    </row>
    <row r="46" spans="1:15" s="91" customFormat="1" ht="17.149999999999999" customHeight="1">
      <c r="B46" s="455"/>
      <c r="C46" s="536"/>
      <c r="D46" s="109"/>
      <c r="E46" s="119"/>
      <c r="F46" s="110"/>
      <c r="G46" s="110"/>
      <c r="H46" s="525"/>
      <c r="I46" s="112"/>
      <c r="J46" s="112"/>
      <c r="K46" s="120"/>
      <c r="L46" s="531"/>
      <c r="M46" s="120"/>
      <c r="N46" s="107">
        <v>528721.07822549995</v>
      </c>
      <c r="O46" s="108">
        <v>154033.81739999997</v>
      </c>
    </row>
    <row r="47" spans="1:15" s="91" customFormat="1">
      <c r="A47" s="225" t="s">
        <v>492</v>
      </c>
      <c r="B47" s="442"/>
      <c r="C47" s="536"/>
      <c r="D47" s="109"/>
      <c r="E47" s="119"/>
      <c r="F47" s="110"/>
      <c r="G47" s="110"/>
      <c r="H47" s="525"/>
      <c r="I47" s="112"/>
      <c r="J47" s="112"/>
      <c r="K47" s="120"/>
      <c r="L47" s="525"/>
      <c r="M47" s="120"/>
      <c r="N47" s="452"/>
      <c r="O47" s="452"/>
    </row>
    <row r="48" spans="1:15" s="91" customFormat="1" ht="15.75" customHeight="1">
      <c r="B48" s="690" t="s">
        <v>974</v>
      </c>
      <c r="C48" s="540" t="s">
        <v>997</v>
      </c>
      <c r="D48" s="97" t="s">
        <v>1032</v>
      </c>
      <c r="E48" s="98" t="s">
        <v>872</v>
      </c>
      <c r="F48" s="99">
        <v>41401</v>
      </c>
      <c r="G48" s="100">
        <v>45047</v>
      </c>
      <c r="H48" s="454">
        <v>9.9890410958904106</v>
      </c>
      <c r="I48" s="115" t="s">
        <v>883</v>
      </c>
      <c r="J48" s="138">
        <v>0</v>
      </c>
      <c r="K48" s="105">
        <v>4.3749999999999997E-2</v>
      </c>
      <c r="L48" s="531"/>
      <c r="M48" s="446">
        <v>450000000</v>
      </c>
      <c r="N48" s="535">
        <v>1544625</v>
      </c>
      <c r="O48" s="104">
        <v>450000</v>
      </c>
    </row>
    <row r="49" spans="1:15" s="91" customFormat="1" ht="14">
      <c r="B49" s="689"/>
      <c r="C49" s="540" t="s">
        <v>997</v>
      </c>
      <c r="D49" s="97" t="s">
        <v>1032</v>
      </c>
      <c r="E49" s="98" t="s">
        <v>872</v>
      </c>
      <c r="F49" s="99">
        <v>43571</v>
      </c>
      <c r="G49" s="100">
        <v>49050</v>
      </c>
      <c r="H49" s="454">
        <v>15.010958904109589</v>
      </c>
      <c r="I49" s="115" t="s">
        <v>883</v>
      </c>
      <c r="J49" s="138">
        <v>0</v>
      </c>
      <c r="K49" s="105">
        <v>4.7E-2</v>
      </c>
      <c r="L49" s="525"/>
      <c r="M49" s="446">
        <v>600000000</v>
      </c>
      <c r="N49" s="535">
        <v>2059500</v>
      </c>
      <c r="O49" s="104">
        <v>600000</v>
      </c>
    </row>
    <row r="50" spans="1:15" s="91" customFormat="1" ht="14">
      <c r="B50" s="442"/>
      <c r="C50" s="536"/>
      <c r="D50" s="109"/>
      <c r="E50" s="119"/>
      <c r="F50" s="110"/>
      <c r="G50" s="110"/>
      <c r="H50" s="525"/>
      <c r="I50" s="112"/>
      <c r="J50" s="112"/>
      <c r="K50" s="120"/>
      <c r="L50" s="531"/>
      <c r="M50" s="120"/>
      <c r="N50" s="107">
        <v>3604125</v>
      </c>
      <c r="O50" s="108">
        <v>1050000</v>
      </c>
    </row>
    <row r="51" spans="1:15" s="91" customFormat="1" ht="14">
      <c r="B51" s="442"/>
      <c r="C51" s="536"/>
      <c r="D51" s="109"/>
      <c r="E51" s="119"/>
      <c r="F51" s="110"/>
      <c r="G51" s="110"/>
      <c r="H51" s="525"/>
      <c r="I51" s="112"/>
      <c r="J51" s="112"/>
      <c r="K51" s="112"/>
      <c r="L51" s="525"/>
      <c r="M51" s="112"/>
      <c r="N51" s="452"/>
      <c r="O51" s="533"/>
    </row>
    <row r="52" spans="1:15" s="91" customFormat="1" thickBot="1">
      <c r="B52" s="93" t="s">
        <v>977</v>
      </c>
      <c r="C52" s="93"/>
      <c r="D52" s="93"/>
      <c r="E52" s="93"/>
      <c r="F52" s="93"/>
      <c r="G52" s="93"/>
      <c r="H52" s="93"/>
      <c r="I52" s="93"/>
      <c r="J52" s="94"/>
      <c r="K52" s="94"/>
      <c r="L52" s="531"/>
      <c r="M52" s="94"/>
      <c r="N52" s="95">
        <v>2200308.0177015029</v>
      </c>
      <c r="O52" s="96">
        <v>641022.00078703661</v>
      </c>
    </row>
    <row r="53" spans="1:15" s="91" customFormat="1" thickTop="1">
      <c r="B53" s="449"/>
      <c r="C53" s="449"/>
      <c r="D53" s="450"/>
      <c r="E53" s="450"/>
      <c r="F53" s="450"/>
      <c r="G53" s="450"/>
      <c r="H53" s="450"/>
      <c r="I53" s="450"/>
      <c r="J53" s="450"/>
      <c r="K53" s="450"/>
      <c r="L53" s="525"/>
      <c r="M53" s="450"/>
      <c r="N53" s="452"/>
      <c r="O53" s="533"/>
    </row>
    <row r="54" spans="1:15" s="91" customFormat="1" ht="14">
      <c r="B54" s="691" t="s">
        <v>978</v>
      </c>
      <c r="C54" s="540" t="s">
        <v>997</v>
      </c>
      <c r="D54" s="97" t="s">
        <v>1033</v>
      </c>
      <c r="E54" s="98" t="s">
        <v>889</v>
      </c>
      <c r="F54" s="99">
        <v>42566</v>
      </c>
      <c r="G54" s="99">
        <v>44392</v>
      </c>
      <c r="H54" s="454">
        <v>5.0027397260273974</v>
      </c>
      <c r="I54" s="101" t="s">
        <v>1034</v>
      </c>
      <c r="J54" s="138" t="s">
        <v>155</v>
      </c>
      <c r="K54" s="105">
        <v>6.0413000000000001E-2</v>
      </c>
      <c r="L54" s="531"/>
      <c r="M54" s="104">
        <v>172537857.98340002</v>
      </c>
      <c r="N54" s="535">
        <v>113963.89968999685</v>
      </c>
      <c r="O54" s="446">
        <v>33201.427440640007</v>
      </c>
    </row>
    <row r="55" spans="1:15" s="91" customFormat="1" ht="14.5" customHeight="1">
      <c r="B55" s="692"/>
      <c r="C55" s="540" t="s">
        <v>997</v>
      </c>
      <c r="D55" s="97" t="s">
        <v>1035</v>
      </c>
      <c r="E55" s="98" t="s">
        <v>889</v>
      </c>
      <c r="F55" s="99">
        <v>42824</v>
      </c>
      <c r="G55" s="99">
        <v>45337</v>
      </c>
      <c r="H55" s="454">
        <v>6.8849315068493153</v>
      </c>
      <c r="I55" s="101" t="s">
        <v>1034</v>
      </c>
      <c r="J55" s="138" t="s">
        <v>155</v>
      </c>
      <c r="K55" s="105">
        <v>5.0373000000000001E-2</v>
      </c>
      <c r="L55" s="525"/>
      <c r="M55" s="104">
        <v>341791029</v>
      </c>
      <c r="N55" s="535">
        <v>225758.21329394492</v>
      </c>
      <c r="O55" s="446">
        <v>65770.783188330635</v>
      </c>
    </row>
    <row r="56" spans="1:15" s="91" customFormat="1" ht="14">
      <c r="B56" s="692"/>
      <c r="C56" s="540" t="s">
        <v>997</v>
      </c>
      <c r="D56" s="97" t="s">
        <v>1036</v>
      </c>
      <c r="E56" s="98" t="s">
        <v>889</v>
      </c>
      <c r="F56" s="99">
        <v>43084</v>
      </c>
      <c r="G56" s="99">
        <v>44178</v>
      </c>
      <c r="H56" s="454">
        <v>2.9972602739726026</v>
      </c>
      <c r="I56" s="101" t="s">
        <v>900</v>
      </c>
      <c r="J56" s="138">
        <v>0</v>
      </c>
      <c r="K56" s="132">
        <v>1.0565</v>
      </c>
      <c r="L56" s="531"/>
      <c r="M56" s="104">
        <v>0</v>
      </c>
      <c r="N56" s="535">
        <v>0</v>
      </c>
      <c r="O56" s="446">
        <v>0</v>
      </c>
    </row>
    <row r="57" spans="1:15" s="91" customFormat="1" ht="14">
      <c r="B57" s="692"/>
      <c r="C57" s="540" t="s">
        <v>997</v>
      </c>
      <c r="D57" s="97" t="s">
        <v>1037</v>
      </c>
      <c r="E57" s="98" t="s">
        <v>889</v>
      </c>
      <c r="F57" s="99">
        <v>43222</v>
      </c>
      <c r="G57" s="99">
        <v>45762</v>
      </c>
      <c r="H57" s="454">
        <v>6.9589041095890414</v>
      </c>
      <c r="I57" s="101" t="s">
        <v>1034</v>
      </c>
      <c r="J57" s="138" t="s">
        <v>155</v>
      </c>
      <c r="K57" s="132">
        <v>4.7E-2</v>
      </c>
      <c r="L57" s="525"/>
      <c r="M57" s="104">
        <v>687345739.73999989</v>
      </c>
      <c r="N57" s="535">
        <v>454002.39606320171</v>
      </c>
      <c r="O57" s="446">
        <v>132265.81094339452</v>
      </c>
    </row>
    <row r="58" spans="1:15" s="91" customFormat="1" ht="14.5" customHeight="1">
      <c r="B58" s="692"/>
      <c r="C58" s="540" t="s">
        <v>997</v>
      </c>
      <c r="D58" s="97" t="s">
        <v>1038</v>
      </c>
      <c r="E58" s="98" t="s">
        <v>889</v>
      </c>
      <c r="F58" s="99">
        <v>43819</v>
      </c>
      <c r="G58" s="99">
        <v>47467</v>
      </c>
      <c r="H58" s="454">
        <v>9.9945205479452053</v>
      </c>
      <c r="I58" s="101" t="s">
        <v>1034</v>
      </c>
      <c r="J58" s="138" t="s">
        <v>155</v>
      </c>
      <c r="K58" s="132">
        <v>3.5000000000000003E-2</v>
      </c>
      <c r="L58" s="531"/>
      <c r="M58" s="104">
        <v>425996524.81575</v>
      </c>
      <c r="N58" s="535">
        <v>281377.23389993771</v>
      </c>
      <c r="O58" s="446">
        <v>81974.430852130434</v>
      </c>
    </row>
    <row r="59" spans="1:15" s="91" customFormat="1">
      <c r="A59" s="225" t="s">
        <v>492</v>
      </c>
      <c r="B59" s="692"/>
      <c r="C59" s="540" t="s">
        <v>997</v>
      </c>
      <c r="D59" s="97" t="s">
        <v>1039</v>
      </c>
      <c r="E59" s="98" t="s">
        <v>889</v>
      </c>
      <c r="F59" s="99">
        <v>44172</v>
      </c>
      <c r="G59" s="99">
        <v>47072</v>
      </c>
      <c r="H59" s="454">
        <v>7.9452054794520546</v>
      </c>
      <c r="I59" s="101" t="s">
        <v>900</v>
      </c>
      <c r="J59" s="138" t="s">
        <v>155</v>
      </c>
      <c r="K59" s="132">
        <v>2.8299999999999999E-2</v>
      </c>
      <c r="L59" s="531"/>
      <c r="M59" s="104">
        <v>800000000</v>
      </c>
      <c r="N59" s="535">
        <v>528412.26161952876</v>
      </c>
      <c r="O59" s="446">
        <v>153943.84897874107</v>
      </c>
    </row>
    <row r="60" spans="1:15" s="91" customFormat="1" ht="14.25" customHeight="1">
      <c r="B60" s="693"/>
      <c r="C60" s="540" t="s">
        <v>997</v>
      </c>
      <c r="D60" s="97" t="s">
        <v>1040</v>
      </c>
      <c r="E60" s="98" t="s">
        <v>889</v>
      </c>
      <c r="F60" s="99">
        <v>44172</v>
      </c>
      <c r="G60" s="99">
        <v>52732</v>
      </c>
      <c r="H60" s="454">
        <v>23.452054794520549</v>
      </c>
      <c r="I60" s="101" t="s">
        <v>1034</v>
      </c>
      <c r="J60" s="138" t="s">
        <v>155</v>
      </c>
      <c r="K60" s="132">
        <v>5.2999999999999999E-2</v>
      </c>
      <c r="L60" s="531"/>
      <c r="M60" s="104">
        <v>802027880</v>
      </c>
      <c r="N60" s="535">
        <v>529751.70744089514</v>
      </c>
      <c r="O60" s="446">
        <v>154334.07354432487</v>
      </c>
    </row>
    <row r="61" spans="1:15" s="91" customFormat="1" ht="14.25" customHeight="1">
      <c r="B61" s="442"/>
      <c r="C61" s="536"/>
      <c r="D61" s="109"/>
      <c r="E61" s="119"/>
      <c r="F61" s="110"/>
      <c r="G61" s="110"/>
      <c r="H61" s="456"/>
      <c r="I61" s="119"/>
      <c r="J61" s="119"/>
      <c r="K61" s="525"/>
      <c r="L61" s="525"/>
      <c r="M61" s="139"/>
      <c r="N61" s="107">
        <v>2133265.7120075049</v>
      </c>
      <c r="O61" s="108">
        <v>621490.37494756153</v>
      </c>
    </row>
    <row r="62" spans="1:15" s="91" customFormat="1" ht="14">
      <c r="B62" s="442"/>
      <c r="C62" s="536"/>
      <c r="D62" s="109"/>
      <c r="E62" s="119"/>
      <c r="F62" s="110"/>
      <c r="G62" s="110"/>
      <c r="H62" s="456"/>
      <c r="I62" s="119"/>
      <c r="J62" s="119"/>
      <c r="K62" s="139"/>
      <c r="L62" s="531"/>
      <c r="M62" s="139"/>
      <c r="N62" s="452"/>
      <c r="O62" s="533"/>
    </row>
    <row r="63" spans="1:15" s="91" customFormat="1" ht="14.15" customHeight="1">
      <c r="B63" s="541" t="s">
        <v>1041</v>
      </c>
      <c r="C63" s="534" t="s">
        <v>997</v>
      </c>
      <c r="D63" s="97" t="s">
        <v>1042</v>
      </c>
      <c r="E63" s="98" t="s">
        <v>889</v>
      </c>
      <c r="F63" s="99">
        <v>42888</v>
      </c>
      <c r="G63" s="99">
        <v>44714</v>
      </c>
      <c r="H63" s="454">
        <v>5.0027397260273974</v>
      </c>
      <c r="I63" s="101" t="s">
        <v>900</v>
      </c>
      <c r="J63" s="138" t="s">
        <v>155</v>
      </c>
      <c r="K63" s="132">
        <v>1.6799999999999999E-2</v>
      </c>
      <c r="L63" s="525"/>
      <c r="M63" s="104">
        <v>101500000</v>
      </c>
      <c r="N63" s="535">
        <v>67042.305693998118</v>
      </c>
      <c r="O63" s="446">
        <v>19531.625839475051</v>
      </c>
    </row>
    <row r="64" spans="1:15" s="91" customFormat="1" ht="14">
      <c r="B64" s="442"/>
      <c r="C64" s="536"/>
      <c r="D64" s="109"/>
      <c r="E64" s="119"/>
      <c r="F64" s="110"/>
      <c r="G64" s="110"/>
      <c r="H64" s="456"/>
      <c r="I64" s="119"/>
      <c r="J64" s="119"/>
      <c r="K64" s="139"/>
      <c r="L64" s="531"/>
      <c r="M64" s="139"/>
      <c r="N64" s="107">
        <v>67042.305693998118</v>
      </c>
      <c r="O64" s="108">
        <v>19531.625839475051</v>
      </c>
    </row>
    <row r="65" spans="1:20" s="91" customFormat="1" ht="14">
      <c r="B65" s="442"/>
      <c r="C65" s="536"/>
      <c r="D65" s="109"/>
      <c r="E65" s="119"/>
      <c r="F65" s="110"/>
      <c r="G65" s="110"/>
      <c r="H65" s="456"/>
      <c r="I65" s="119"/>
      <c r="J65" s="119"/>
      <c r="K65" s="139"/>
      <c r="L65" s="525"/>
      <c r="M65" s="139"/>
      <c r="N65" s="452"/>
      <c r="O65" s="533"/>
    </row>
    <row r="66" spans="1:20" s="91" customFormat="1" thickBot="1">
      <c r="B66" s="93" t="s">
        <v>987</v>
      </c>
      <c r="C66" s="93"/>
      <c r="D66" s="93"/>
      <c r="E66" s="93"/>
      <c r="F66" s="93"/>
      <c r="G66" s="93"/>
      <c r="H66" s="93"/>
      <c r="I66" s="93"/>
      <c r="J66" s="94"/>
      <c r="K66" s="94"/>
      <c r="L66" s="531"/>
      <c r="M66" s="94"/>
      <c r="N66" s="95">
        <v>3526632.5290251262</v>
      </c>
      <c r="O66" s="96">
        <v>1027423.8977494903</v>
      </c>
    </row>
    <row r="67" spans="1:20" s="91" customFormat="1" thickTop="1">
      <c r="B67" s="449"/>
      <c r="C67" s="449"/>
      <c r="D67" s="450"/>
      <c r="E67" s="450"/>
      <c r="F67" s="450"/>
      <c r="G67" s="450"/>
      <c r="H67" s="450"/>
      <c r="I67" s="450"/>
      <c r="J67" s="450"/>
      <c r="K67" s="542"/>
      <c r="L67" s="525"/>
      <c r="M67" s="542"/>
      <c r="N67" s="452"/>
      <c r="O67" s="533"/>
    </row>
    <row r="68" spans="1:20" s="91" customFormat="1" ht="21" customHeight="1">
      <c r="B68" s="694" t="s">
        <v>1043</v>
      </c>
      <c r="C68" s="534" t="s">
        <v>997</v>
      </c>
      <c r="D68" s="97" t="s">
        <v>1044</v>
      </c>
      <c r="E68" s="98" t="s">
        <v>872</v>
      </c>
      <c r="F68" s="99">
        <v>37132</v>
      </c>
      <c r="G68" s="99">
        <v>44727</v>
      </c>
      <c r="H68" s="454">
        <v>20.80821917808219</v>
      </c>
      <c r="I68" s="115" t="s">
        <v>883</v>
      </c>
      <c r="J68" s="138">
        <v>0</v>
      </c>
      <c r="K68" s="105">
        <v>7.3730000000000004E-2</v>
      </c>
      <c r="L68" s="531"/>
      <c r="M68" s="446">
        <v>59757482</v>
      </c>
      <c r="N68" s="535">
        <v>205117.34876566567</v>
      </c>
      <c r="O68" s="104">
        <v>59757.421344695023</v>
      </c>
    </row>
    <row r="69" spans="1:20" s="91" customFormat="1" ht="14.15" customHeight="1">
      <c r="B69" s="695"/>
      <c r="C69" s="534" t="s">
        <v>997</v>
      </c>
      <c r="D69" s="97" t="s">
        <v>1045</v>
      </c>
      <c r="E69" s="98" t="s">
        <v>915</v>
      </c>
      <c r="F69" s="99">
        <v>43313</v>
      </c>
      <c r="G69" s="99">
        <v>45823</v>
      </c>
      <c r="H69" s="454">
        <v>6.8767123287671232</v>
      </c>
      <c r="I69" s="115" t="s">
        <v>883</v>
      </c>
      <c r="J69" s="138">
        <v>0</v>
      </c>
      <c r="K69" s="105">
        <v>4.8500000000000001E-2</v>
      </c>
      <c r="L69" s="525"/>
      <c r="M69" s="446">
        <v>5800000</v>
      </c>
      <c r="N69" s="535">
        <v>814046.10361205146</v>
      </c>
      <c r="O69" s="446">
        <v>237158.36958836167</v>
      </c>
    </row>
    <row r="70" spans="1:20" s="91" customFormat="1" ht="14">
      <c r="B70" s="695"/>
      <c r="C70" s="534" t="s">
        <v>997</v>
      </c>
      <c r="D70" s="97" t="s">
        <v>1046</v>
      </c>
      <c r="E70" s="98" t="s">
        <v>915</v>
      </c>
      <c r="F70" s="99">
        <v>43313</v>
      </c>
      <c r="G70" s="99">
        <v>47832</v>
      </c>
      <c r="H70" s="454">
        <v>12.38082191780822</v>
      </c>
      <c r="I70" s="115" t="s">
        <v>883</v>
      </c>
      <c r="J70" s="138">
        <v>0</v>
      </c>
      <c r="K70" s="105">
        <v>3.2000000000000001E-2</v>
      </c>
      <c r="L70" s="531"/>
      <c r="M70" s="446">
        <v>9317041.9795715325</v>
      </c>
      <c r="N70" s="535">
        <v>1307672.7104586416</v>
      </c>
      <c r="O70" s="446">
        <v>380968.01470025972</v>
      </c>
    </row>
    <row r="71" spans="1:20" s="91" customFormat="1" ht="14.15" customHeight="1">
      <c r="B71" s="695"/>
      <c r="C71" s="534" t="s">
        <v>997</v>
      </c>
      <c r="D71" s="97" t="s">
        <v>1047</v>
      </c>
      <c r="E71" s="98" t="s">
        <v>915</v>
      </c>
      <c r="F71" s="99">
        <v>43319</v>
      </c>
      <c r="G71" s="99">
        <v>45641</v>
      </c>
      <c r="H71" s="454">
        <v>6.3616438356164382</v>
      </c>
      <c r="I71" s="115" t="s">
        <v>883</v>
      </c>
      <c r="J71" s="138">
        <v>0</v>
      </c>
      <c r="K71" s="105">
        <v>2.3E-2</v>
      </c>
      <c r="L71" s="525"/>
      <c r="M71" s="446">
        <v>1000000</v>
      </c>
      <c r="N71" s="535">
        <v>140352.77648483647</v>
      </c>
      <c r="O71" s="446">
        <v>40889.374066958917</v>
      </c>
    </row>
    <row r="72" spans="1:20" s="91" customFormat="1" ht="23.5" customHeight="1">
      <c r="B72" s="695"/>
      <c r="C72" s="534" t="s">
        <v>997</v>
      </c>
      <c r="D72" s="97" t="s">
        <v>1048</v>
      </c>
      <c r="E72" s="98" t="s">
        <v>915</v>
      </c>
      <c r="F72" s="99">
        <v>43636</v>
      </c>
      <c r="G72" s="99">
        <v>47832</v>
      </c>
      <c r="H72" s="454">
        <v>11.495890410958904</v>
      </c>
      <c r="I72" s="115" t="s">
        <v>883</v>
      </c>
      <c r="J72" s="138">
        <v>0</v>
      </c>
      <c r="K72" s="105">
        <v>2.3E-2</v>
      </c>
      <c r="L72" s="531"/>
      <c r="M72" s="446">
        <v>5057173.1233999999</v>
      </c>
      <c r="N72" s="535">
        <v>709788.28903368232</v>
      </c>
      <c r="O72" s="446">
        <v>206784.64356407351</v>
      </c>
    </row>
    <row r="73" spans="1:20" s="91" customFormat="1" ht="21" customHeight="1">
      <c r="A73" s="225" t="s">
        <v>492</v>
      </c>
      <c r="B73" s="696"/>
      <c r="C73" s="539" t="s">
        <v>1031</v>
      </c>
      <c r="D73" s="97" t="s">
        <v>895</v>
      </c>
      <c r="E73" s="98" t="s">
        <v>915</v>
      </c>
      <c r="F73" s="99">
        <v>38489</v>
      </c>
      <c r="G73" s="99">
        <v>44727</v>
      </c>
      <c r="H73" s="454">
        <v>17.090410958904108</v>
      </c>
      <c r="I73" s="115" t="s">
        <v>883</v>
      </c>
      <c r="J73" s="138">
        <v>0</v>
      </c>
      <c r="K73" s="105">
        <v>7.3730000000000004E-2</v>
      </c>
      <c r="L73" s="525"/>
      <c r="M73" s="446">
        <v>23631451.91</v>
      </c>
      <c r="N73" s="535">
        <v>81114.87634740911</v>
      </c>
      <c r="O73" s="446">
        <v>23631.42792349865</v>
      </c>
    </row>
    <row r="74" spans="1:20" s="91" customFormat="1" ht="14">
      <c r="B74" s="442"/>
      <c r="C74" s="536"/>
      <c r="D74" s="109"/>
      <c r="E74" s="119"/>
      <c r="F74" s="110"/>
      <c r="G74" s="110"/>
      <c r="H74" s="456"/>
      <c r="I74" s="543"/>
      <c r="J74" s="544"/>
      <c r="K74" s="545"/>
      <c r="L74" s="531"/>
      <c r="M74" s="545"/>
      <c r="N74" s="107">
        <v>3258092.1047022869</v>
      </c>
      <c r="O74" s="108">
        <v>949189.25118784746</v>
      </c>
    </row>
    <row r="75" spans="1:20" s="91" customFormat="1" ht="14">
      <c r="B75" s="442"/>
      <c r="C75" s="536"/>
      <c r="D75" s="109"/>
      <c r="E75" s="119"/>
      <c r="F75" s="110"/>
      <c r="G75" s="110"/>
      <c r="H75" s="456"/>
      <c r="I75" s="543"/>
      <c r="J75" s="544"/>
      <c r="K75" s="545"/>
      <c r="L75" s="525"/>
      <c r="M75" s="545"/>
      <c r="N75" s="452"/>
      <c r="O75" s="533"/>
    </row>
    <row r="76" spans="1:20" s="91" customFormat="1" ht="14">
      <c r="B76" s="679" t="s">
        <v>1049</v>
      </c>
      <c r="C76" s="534" t="s">
        <v>997</v>
      </c>
      <c r="D76" s="97" t="s">
        <v>1050</v>
      </c>
      <c r="E76" s="98" t="s">
        <v>915</v>
      </c>
      <c r="F76" s="99">
        <v>36948</v>
      </c>
      <c r="G76" s="99">
        <v>44270</v>
      </c>
      <c r="H76" s="454">
        <v>20.06027397260274</v>
      </c>
      <c r="I76" s="115" t="s">
        <v>883</v>
      </c>
      <c r="J76" s="138">
        <v>0</v>
      </c>
      <c r="K76" s="105">
        <v>6.3E-2</v>
      </c>
      <c r="L76" s="531"/>
      <c r="M76" s="446">
        <v>322635.04459999932</v>
      </c>
      <c r="N76" s="445">
        <v>45282.770281800251</v>
      </c>
      <c r="O76" s="446">
        <v>13192.358421500438</v>
      </c>
    </row>
    <row r="77" spans="1:20" s="271" customFormat="1" ht="14">
      <c r="B77" s="679"/>
      <c r="C77" s="534" t="s">
        <v>997</v>
      </c>
      <c r="D77" s="97" t="s">
        <v>1051</v>
      </c>
      <c r="E77" s="98" t="s">
        <v>915</v>
      </c>
      <c r="F77" s="99">
        <v>39037</v>
      </c>
      <c r="G77" s="99">
        <v>44727</v>
      </c>
      <c r="H77" s="454">
        <v>15.58904109589041</v>
      </c>
      <c r="I77" s="115" t="s">
        <v>883</v>
      </c>
      <c r="J77" s="138">
        <v>0</v>
      </c>
      <c r="K77" s="105">
        <v>3.4000000000000002E-2</v>
      </c>
      <c r="L77" s="525"/>
      <c r="M77" s="446">
        <v>1590687.6439</v>
      </c>
      <c r="N77" s="445">
        <v>223257.65404103886</v>
      </c>
      <c r="O77" s="446">
        <v>65042.288140142417</v>
      </c>
      <c r="P77" s="91"/>
      <c r="Q77" s="91"/>
    </row>
    <row r="78" spans="1:20" s="271" customFormat="1" ht="14">
      <c r="B78" s="442"/>
      <c r="C78" s="536"/>
      <c r="D78" s="109"/>
      <c r="E78" s="119"/>
      <c r="F78" s="110"/>
      <c r="G78" s="110"/>
      <c r="H78" s="456"/>
      <c r="I78" s="544"/>
      <c r="J78" s="544"/>
      <c r="K78" s="537"/>
      <c r="L78" s="531"/>
      <c r="M78" s="140"/>
      <c r="N78" s="107">
        <v>268540.42432283913</v>
      </c>
      <c r="O78" s="108">
        <v>78234.646561642847</v>
      </c>
    </row>
    <row r="79" spans="1:20" s="207" customFormat="1">
      <c r="B79" s="442"/>
      <c r="C79" s="442"/>
      <c r="D79" s="109"/>
      <c r="E79" s="119"/>
      <c r="F79" s="110"/>
      <c r="G79" s="110"/>
      <c r="H79" s="456"/>
      <c r="I79" s="544"/>
      <c r="J79" s="544"/>
      <c r="K79" s="544"/>
      <c r="L79" s="525"/>
      <c r="M79" s="544"/>
      <c r="N79" s="452"/>
      <c r="O79" s="533"/>
    </row>
    <row r="80" spans="1:20" s="207" customFormat="1" ht="15" thickBot="1">
      <c r="B80" s="680" t="s">
        <v>1052</v>
      </c>
      <c r="C80" s="680"/>
      <c r="D80" s="680"/>
      <c r="E80" s="680"/>
      <c r="F80" s="680"/>
      <c r="G80" s="680"/>
      <c r="H80" s="680"/>
      <c r="I80" s="680"/>
      <c r="J80" s="546"/>
      <c r="K80" s="546"/>
      <c r="L80" s="531"/>
      <c r="M80" s="546"/>
      <c r="N80" s="547">
        <v>14351376.826367131</v>
      </c>
      <c r="O80" s="547">
        <v>4181027.4803691562</v>
      </c>
      <c r="P80" s="272"/>
      <c r="S80" s="272"/>
      <c r="T80" s="272"/>
    </row>
    <row r="81" spans="2:15" s="207" customFormat="1" ht="15" thickTop="1">
      <c r="B81" s="442"/>
      <c r="C81" s="442"/>
      <c r="D81" s="442"/>
      <c r="E81" s="525"/>
      <c r="F81" s="525"/>
      <c r="G81" s="525"/>
      <c r="H81" s="525"/>
      <c r="I81" s="525"/>
      <c r="J81" s="525"/>
      <c r="K81" s="525"/>
      <c r="L81" s="525"/>
      <c r="M81" s="442"/>
      <c r="N81" s="442"/>
      <c r="O81" s="442"/>
    </row>
    <row r="82" spans="2:15">
      <c r="B82" s="442" t="s">
        <v>1056</v>
      </c>
      <c r="C82" s="442"/>
      <c r="D82" s="442"/>
      <c r="E82" s="442"/>
      <c r="F82" s="442"/>
      <c r="G82" s="442"/>
      <c r="H82" s="442"/>
      <c r="I82" s="442"/>
      <c r="J82" s="442"/>
      <c r="K82" s="442"/>
      <c r="L82" s="531"/>
      <c r="M82" s="442"/>
      <c r="N82" s="442"/>
      <c r="O82" s="442"/>
    </row>
    <row r="83" spans="2:15">
      <c r="B83" s="442" t="s">
        <v>1057</v>
      </c>
      <c r="C83" s="442"/>
      <c r="D83" s="442"/>
      <c r="E83" s="442"/>
      <c r="F83" s="442"/>
      <c r="G83" s="442"/>
      <c r="H83" s="442"/>
      <c r="I83" s="442"/>
      <c r="J83" s="442"/>
      <c r="K83" s="442"/>
      <c r="L83" s="525"/>
      <c r="M83" s="442"/>
      <c r="N83" s="442"/>
      <c r="O83" s="442"/>
    </row>
    <row r="84" spans="2:15">
      <c r="B84" s="442" t="s">
        <v>1058</v>
      </c>
      <c r="C84" s="442"/>
      <c r="D84" s="442"/>
      <c r="E84" s="442"/>
      <c r="F84" s="442"/>
      <c r="G84" s="442"/>
      <c r="H84" s="442"/>
      <c r="I84" s="442"/>
      <c r="J84" s="442"/>
      <c r="K84" s="442"/>
      <c r="L84" s="531"/>
      <c r="M84" s="310"/>
      <c r="N84" s="310"/>
      <c r="O84" s="310"/>
    </row>
    <row r="85" spans="2:15">
      <c r="B85" s="548"/>
      <c r="C85" s="548"/>
      <c r="D85" s="548"/>
      <c r="E85" s="548"/>
      <c r="F85" s="548"/>
      <c r="G85" s="548"/>
      <c r="H85" s="548"/>
      <c r="I85" s="548"/>
      <c r="J85" s="681"/>
      <c r="K85" s="681"/>
      <c r="L85" s="681"/>
      <c r="M85" s="548"/>
      <c r="N85" s="310"/>
      <c r="O85" s="310"/>
    </row>
  </sheetData>
  <mergeCells count="11">
    <mergeCell ref="B76:B77"/>
    <mergeCell ref="B80:I80"/>
    <mergeCell ref="J85:L85"/>
    <mergeCell ref="I3:K3"/>
    <mergeCell ref="B7:B27"/>
    <mergeCell ref="B29:B30"/>
    <mergeCell ref="B33:B34"/>
    <mergeCell ref="B39:B45"/>
    <mergeCell ref="B48:B49"/>
    <mergeCell ref="B54:B60"/>
    <mergeCell ref="B68:B73"/>
  </mergeCells>
  <hyperlinks>
    <hyperlink ref="A1" location="'Table of Contents'!A1" display="Return to Table of Contents" xr:uid="{00000000-0004-0000-0C00-000000000000}"/>
  </hyperlinks>
  <pageMargins left="0.7" right="0.7" top="0.75" bottom="0.75" header="0.3" footer="0.3"/>
  <pageSetup orientation="portrait"/>
  <customProperties>
    <customPr name="_pios_id" r:id="rId1"/>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1"/>
  <sheetViews>
    <sheetView showGridLines="0" zoomScale="90" zoomScaleNormal="90" workbookViewId="0">
      <pane xSplit="1" ySplit="4" topLeftCell="B5" activePane="bottomRight" state="frozen"/>
      <selection pane="topRight" activeCell="B1" sqref="B1"/>
      <selection pane="bottomLeft" activeCell="A5" sqref="A5"/>
      <selection pane="bottomRight" activeCell="I10" sqref="I10"/>
    </sheetView>
  </sheetViews>
  <sheetFormatPr baseColWidth="10" defaultColWidth="11.453125" defaultRowHeight="14.5"/>
  <cols>
    <col min="1" max="1" width="7.453125" customWidth="1"/>
    <col min="2" max="2" width="24.453125" customWidth="1"/>
    <col min="3" max="10" width="13.81640625" customWidth="1"/>
    <col min="11" max="11" width="14.81640625" customWidth="1"/>
  </cols>
  <sheetData>
    <row r="1" spans="1:11">
      <c r="A1" s="3" t="s">
        <v>686</v>
      </c>
      <c r="B1" s="1"/>
      <c r="C1" s="1"/>
      <c r="D1" s="1"/>
      <c r="E1" s="1"/>
      <c r="F1" s="1"/>
      <c r="G1" s="1"/>
      <c r="H1" s="1"/>
      <c r="I1" s="1"/>
      <c r="J1" s="1"/>
    </row>
    <row r="3" spans="1:11">
      <c r="A3" s="1"/>
      <c r="B3" s="88" t="s">
        <v>160</v>
      </c>
      <c r="C3" s="89"/>
      <c r="D3" s="89"/>
      <c r="E3" s="89"/>
      <c r="F3" s="89"/>
      <c r="G3" s="89"/>
      <c r="H3" s="89"/>
      <c r="I3" s="89"/>
      <c r="J3" s="89"/>
      <c r="K3" s="89"/>
    </row>
    <row r="4" spans="1:11">
      <c r="A4" s="1"/>
      <c r="B4" s="90" t="s">
        <v>161</v>
      </c>
      <c r="C4" s="90">
        <v>2021</v>
      </c>
      <c r="D4" s="90">
        <v>2022</v>
      </c>
      <c r="E4" s="90">
        <v>2023</v>
      </c>
      <c r="F4" s="90">
        <v>2024</v>
      </c>
      <c r="G4" s="90">
        <v>2025</v>
      </c>
      <c r="H4" s="89"/>
      <c r="I4" s="89"/>
      <c r="J4" s="89"/>
      <c r="K4" s="89"/>
    </row>
    <row r="5" spans="1:11">
      <c r="A5" s="1"/>
      <c r="B5" s="161"/>
      <c r="C5" s="161"/>
      <c r="D5" s="161"/>
      <c r="E5" s="161"/>
      <c r="F5" s="161"/>
      <c r="G5" s="89"/>
      <c r="H5" s="89"/>
      <c r="I5" s="89"/>
      <c r="J5" s="89"/>
      <c r="K5" s="89"/>
    </row>
    <row r="6" spans="1:11" ht="15">
      <c r="A6" s="225" t="s">
        <v>492</v>
      </c>
      <c r="B6" s="551" t="s">
        <v>634</v>
      </c>
      <c r="C6" s="551"/>
      <c r="D6" s="551"/>
      <c r="E6" s="551"/>
      <c r="F6" s="551"/>
      <c r="G6" s="551"/>
      <c r="H6" s="89"/>
      <c r="I6" s="89"/>
      <c r="J6" s="89"/>
      <c r="K6" s="89"/>
    </row>
    <row r="7" spans="1:11" ht="15.5">
      <c r="A7" s="1"/>
      <c r="B7" s="559" t="s">
        <v>635</v>
      </c>
      <c r="C7" s="552">
        <v>812746.48421351996</v>
      </c>
      <c r="D7" s="552">
        <v>751856.75613640016</v>
      </c>
      <c r="E7" s="552">
        <v>349162.46961176005</v>
      </c>
      <c r="F7" s="552">
        <v>101658.25199457</v>
      </c>
      <c r="G7" s="552">
        <v>89138.682588115684</v>
      </c>
      <c r="H7" s="89"/>
      <c r="I7" s="89"/>
      <c r="J7" s="89"/>
      <c r="K7" s="89"/>
    </row>
    <row r="8" spans="1:11" ht="15.5">
      <c r="A8" s="1"/>
      <c r="B8" s="559" t="s">
        <v>215</v>
      </c>
      <c r="C8" s="552">
        <v>107922.99314064486</v>
      </c>
      <c r="D8" s="552">
        <v>0</v>
      </c>
      <c r="E8" s="552">
        <v>0</v>
      </c>
      <c r="F8" s="552">
        <v>0</v>
      </c>
      <c r="G8" s="552">
        <v>0</v>
      </c>
      <c r="H8" s="89"/>
      <c r="I8" s="89"/>
      <c r="J8" s="89"/>
      <c r="K8" s="89"/>
    </row>
    <row r="9" spans="1:11" ht="15.5">
      <c r="A9" s="1"/>
      <c r="B9" s="559" t="s">
        <v>636</v>
      </c>
      <c r="C9" s="552">
        <v>70491.461545423226</v>
      </c>
      <c r="D9" s="552">
        <v>47786.770740907799</v>
      </c>
      <c r="E9" s="552">
        <v>25876.076286538671</v>
      </c>
      <c r="F9" s="552">
        <v>15756.747889431525</v>
      </c>
      <c r="G9" s="552">
        <v>12920.177479691047</v>
      </c>
      <c r="H9" s="89"/>
      <c r="I9" s="89"/>
      <c r="J9" s="89"/>
      <c r="K9" s="89"/>
    </row>
    <row r="10" spans="1:11" ht="15.5">
      <c r="B10" s="559" t="s">
        <v>637</v>
      </c>
      <c r="C10" s="552">
        <v>63277.575027216924</v>
      </c>
      <c r="D10" s="552">
        <v>30896.186749456232</v>
      </c>
      <c r="E10" s="552">
        <v>30744.554434126967</v>
      </c>
      <c r="F10" s="552">
        <v>40846.917131529248</v>
      </c>
      <c r="G10" s="552">
        <v>42643.049284377834</v>
      </c>
      <c r="H10" s="89"/>
      <c r="I10" s="89"/>
      <c r="J10" s="89"/>
      <c r="K10" s="89"/>
    </row>
    <row r="11" spans="1:11" ht="15.5">
      <c r="A11" s="1"/>
      <c r="B11" s="559" t="s">
        <v>638</v>
      </c>
      <c r="C11" s="552">
        <v>1764.7440933938456</v>
      </c>
      <c r="D11" s="552">
        <v>1813.3986688</v>
      </c>
      <c r="E11" s="552">
        <v>0</v>
      </c>
      <c r="F11" s="552">
        <v>0</v>
      </c>
      <c r="G11" s="552">
        <v>0</v>
      </c>
      <c r="H11" s="89"/>
      <c r="I11" s="89"/>
      <c r="J11" s="89"/>
      <c r="K11" s="89"/>
    </row>
    <row r="12" spans="1:11" ht="15.5">
      <c r="B12" s="559" t="s">
        <v>216</v>
      </c>
      <c r="C12" s="552">
        <v>59275.756850733458</v>
      </c>
      <c r="D12" s="552">
        <v>50955.116562147537</v>
      </c>
      <c r="E12" s="552">
        <v>65023.068438855669</v>
      </c>
      <c r="F12" s="552">
        <v>0</v>
      </c>
      <c r="G12" s="552">
        <v>0</v>
      </c>
    </row>
    <row r="13" spans="1:11" ht="15">
      <c r="B13" s="560" t="s">
        <v>639</v>
      </c>
      <c r="C13" s="553">
        <v>1115479.0148709323</v>
      </c>
      <c r="D13" s="553">
        <v>883308.22885771166</v>
      </c>
      <c r="E13" s="553">
        <v>470806.16877128137</v>
      </c>
      <c r="F13" s="553">
        <v>158261.91701553078</v>
      </c>
      <c r="G13" s="553">
        <v>144701.90935218456</v>
      </c>
    </row>
    <row r="14" spans="1:11" ht="15.5">
      <c r="B14" s="559"/>
      <c r="C14" s="552"/>
      <c r="D14" s="552"/>
      <c r="E14" s="552"/>
      <c r="F14" s="552"/>
      <c r="G14" s="552"/>
    </row>
    <row r="15" spans="1:11" ht="15">
      <c r="A15" s="225" t="s">
        <v>492</v>
      </c>
      <c r="B15" s="554" t="s">
        <v>640</v>
      </c>
      <c r="C15" s="554"/>
      <c r="D15" s="554"/>
      <c r="E15" s="554"/>
      <c r="F15" s="554"/>
      <c r="G15" s="554"/>
    </row>
    <row r="16" spans="1:11" ht="15.5">
      <c r="B16" s="559" t="s">
        <v>217</v>
      </c>
      <c r="C16" s="552">
        <v>20586.352132439046</v>
      </c>
      <c r="D16" s="552">
        <v>26414.317750788054</v>
      </c>
      <c r="E16" s="552">
        <v>22504.020081649574</v>
      </c>
      <c r="F16" s="552">
        <v>21278.928705923285</v>
      </c>
      <c r="G16" s="552">
        <v>21814.087223246086</v>
      </c>
    </row>
    <row r="17" spans="1:7" ht="15.5">
      <c r="B17" s="559" t="s">
        <v>641</v>
      </c>
      <c r="C17" s="552">
        <v>942097.17572576494</v>
      </c>
      <c r="D17" s="552">
        <v>456259.6079335307</v>
      </c>
      <c r="E17" s="552">
        <v>15653.155785656407</v>
      </c>
      <c r="F17" s="552">
        <v>8189.7217822886714</v>
      </c>
      <c r="G17" s="552">
        <v>5001.7657945258479</v>
      </c>
    </row>
    <row r="18" spans="1:7" ht="15.5">
      <c r="B18" s="559" t="s">
        <v>157</v>
      </c>
      <c r="C18" s="552">
        <v>12822.929635260763</v>
      </c>
      <c r="D18" s="552">
        <v>14495.516046965255</v>
      </c>
      <c r="E18" s="552">
        <v>9500.5670985614379</v>
      </c>
      <c r="F18" s="552">
        <v>8536.0812114005603</v>
      </c>
      <c r="G18" s="552">
        <v>7540.598671447673</v>
      </c>
    </row>
    <row r="19" spans="1:7" ht="15.5">
      <c r="B19" s="559" t="s">
        <v>642</v>
      </c>
      <c r="C19" s="552">
        <v>121879.87338675745</v>
      </c>
      <c r="D19" s="552">
        <v>58079.879606985414</v>
      </c>
      <c r="E19" s="552">
        <v>57420.568743956719</v>
      </c>
      <c r="F19" s="552">
        <v>55316.886516792794</v>
      </c>
      <c r="G19" s="552">
        <v>38164.052068184697</v>
      </c>
    </row>
    <row r="20" spans="1:7" ht="15">
      <c r="B20" s="560" t="s">
        <v>218</v>
      </c>
      <c r="C20" s="553">
        <v>1097386.3308802221</v>
      </c>
      <c r="D20" s="553">
        <v>555249.32133826939</v>
      </c>
      <c r="E20" s="553">
        <v>105078.31170982413</v>
      </c>
      <c r="F20" s="553">
        <v>93321.618216405303</v>
      </c>
      <c r="G20" s="553">
        <v>72520.503757404309</v>
      </c>
    </row>
    <row r="21" spans="1:7" ht="15.5">
      <c r="B21" s="559"/>
      <c r="C21" s="552"/>
      <c r="D21" s="552"/>
      <c r="E21" s="552"/>
      <c r="F21" s="552"/>
      <c r="G21" s="552"/>
    </row>
    <row r="22" spans="1:7" ht="15">
      <c r="A22" s="225" t="s">
        <v>492</v>
      </c>
      <c r="B22" s="551" t="s">
        <v>164</v>
      </c>
      <c r="C22" s="554"/>
      <c r="D22" s="554"/>
      <c r="E22" s="554"/>
      <c r="F22" s="554"/>
      <c r="G22" s="554"/>
    </row>
    <row r="23" spans="1:7" ht="15.5">
      <c r="B23" s="559" t="s">
        <v>643</v>
      </c>
      <c r="C23" s="552">
        <v>1794845.2768617959</v>
      </c>
      <c r="D23" s="552">
        <v>514212.05538421049</v>
      </c>
      <c r="E23" s="552">
        <v>482649.03324658383</v>
      </c>
      <c r="F23" s="552">
        <v>477513.45017399092</v>
      </c>
      <c r="G23" s="552">
        <v>450122.2786038862</v>
      </c>
    </row>
    <row r="24" spans="1:7" ht="28">
      <c r="B24" s="561" t="s">
        <v>219</v>
      </c>
      <c r="C24" s="552">
        <v>1734877.5237591597</v>
      </c>
      <c r="D24" s="552">
        <v>470799.48390991136</v>
      </c>
      <c r="E24" s="552">
        <v>482649.03324658383</v>
      </c>
      <c r="F24" s="552">
        <v>477513.45017399092</v>
      </c>
      <c r="G24" s="552">
        <v>450122.2786038862</v>
      </c>
    </row>
    <row r="25" spans="1:7" ht="28">
      <c r="B25" s="561" t="s">
        <v>220</v>
      </c>
      <c r="C25" s="552">
        <v>59967.753102636219</v>
      </c>
      <c r="D25" s="552">
        <v>43412.571474299126</v>
      </c>
      <c r="E25" s="552">
        <v>0</v>
      </c>
      <c r="F25" s="552">
        <v>0</v>
      </c>
      <c r="G25" s="552">
        <v>0</v>
      </c>
    </row>
    <row r="26" spans="1:7" ht="15.5">
      <c r="B26" s="559" t="s">
        <v>213</v>
      </c>
      <c r="C26" s="552">
        <v>642109.81999050558</v>
      </c>
      <c r="D26" s="552">
        <v>505286.85854032135</v>
      </c>
      <c r="E26" s="552">
        <v>113051.05528121939</v>
      </c>
      <c r="F26" s="552">
        <v>309468.31482587324</v>
      </c>
      <c r="G26" s="552">
        <v>218147.24167189235</v>
      </c>
    </row>
    <row r="27" spans="1:7" ht="15.5">
      <c r="B27" s="559" t="s">
        <v>221</v>
      </c>
      <c r="C27" s="552">
        <v>34615.954751278667</v>
      </c>
      <c r="D27" s="552">
        <v>21181.93746967641</v>
      </c>
      <c r="E27" s="552">
        <v>34142.459411771393</v>
      </c>
      <c r="F27" s="552">
        <v>43649.952041395329</v>
      </c>
      <c r="G27" s="552">
        <v>20421.504242698797</v>
      </c>
    </row>
    <row r="28" spans="1:7" ht="15">
      <c r="B28" s="560" t="s">
        <v>222</v>
      </c>
      <c r="C28" s="553">
        <v>2471571.0516035808</v>
      </c>
      <c r="D28" s="553">
        <v>1040680.8513942083</v>
      </c>
      <c r="E28" s="553">
        <v>629842.54793957458</v>
      </c>
      <c r="F28" s="553">
        <v>830631.71704125952</v>
      </c>
      <c r="G28" s="553">
        <v>688691.02451847738</v>
      </c>
    </row>
    <row r="29" spans="1:7" ht="15.5">
      <c r="B29" s="559">
        <v>0</v>
      </c>
      <c r="C29" s="552">
        <v>0</v>
      </c>
      <c r="D29" s="552">
        <v>0</v>
      </c>
      <c r="E29" s="552">
        <v>0</v>
      </c>
      <c r="F29" s="552">
        <v>0</v>
      </c>
      <c r="G29" s="552">
        <v>0</v>
      </c>
    </row>
    <row r="30" spans="1:7" ht="15">
      <c r="A30" s="225" t="s">
        <v>492</v>
      </c>
      <c r="B30" s="551" t="s">
        <v>223</v>
      </c>
      <c r="C30" s="554"/>
      <c r="D30" s="554"/>
      <c r="E30" s="554"/>
      <c r="F30" s="554"/>
      <c r="G30" s="554"/>
    </row>
    <row r="31" spans="1:7" ht="15.5">
      <c r="B31" s="559" t="s">
        <v>224</v>
      </c>
      <c r="C31" s="552">
        <v>3402.1256443079483</v>
      </c>
      <c r="D31" s="552">
        <v>730.69263390647063</v>
      </c>
      <c r="E31" s="552">
        <v>3707.2480720618082</v>
      </c>
      <c r="F31" s="552">
        <v>2067.8266228603907</v>
      </c>
      <c r="G31" s="552">
        <v>537.64671274441548</v>
      </c>
    </row>
    <row r="32" spans="1:7" ht="15.5">
      <c r="B32" s="559" t="s">
        <v>225</v>
      </c>
      <c r="C32" s="552">
        <v>7317.7480633161958</v>
      </c>
      <c r="D32" s="552">
        <v>6650.0567083495689</v>
      </c>
      <c r="E32" s="552">
        <v>4567.5137970937476</v>
      </c>
      <c r="F32" s="552">
        <v>4700.4886786393527</v>
      </c>
      <c r="G32" s="552">
        <v>4862.2587449636021</v>
      </c>
    </row>
    <row r="33" spans="1:7" ht="15">
      <c r="B33" s="560" t="s">
        <v>214</v>
      </c>
      <c r="C33" s="553">
        <v>10719.873707624145</v>
      </c>
      <c r="D33" s="553">
        <v>7380.7493422560392</v>
      </c>
      <c r="E33" s="553">
        <v>8274.7618691555563</v>
      </c>
      <c r="F33" s="553">
        <v>6768.3153014997433</v>
      </c>
      <c r="G33" s="553">
        <v>5399.9054577080178</v>
      </c>
    </row>
    <row r="34" spans="1:7" ht="15">
      <c r="B34" s="555"/>
      <c r="C34" s="555"/>
      <c r="D34" s="555"/>
      <c r="E34" s="555"/>
      <c r="F34" s="555"/>
      <c r="G34" s="555"/>
    </row>
    <row r="35" spans="1:7" ht="15">
      <c r="A35" s="225" t="s">
        <v>492</v>
      </c>
      <c r="B35" s="551" t="s">
        <v>644</v>
      </c>
      <c r="C35" s="554"/>
      <c r="D35" s="554"/>
      <c r="E35" s="554"/>
      <c r="F35" s="554"/>
      <c r="G35" s="554"/>
    </row>
    <row r="36" spans="1:7" ht="28">
      <c r="B36" s="559" t="s">
        <v>226</v>
      </c>
      <c r="C36" s="552">
        <v>839072.85257372702</v>
      </c>
      <c r="D36" s="552">
        <v>893668.63828479801</v>
      </c>
      <c r="E36" s="552">
        <v>92208.588756320838</v>
      </c>
      <c r="F36" s="552">
        <v>12812.695568581943</v>
      </c>
      <c r="G36" s="552">
        <v>799.55878332376244</v>
      </c>
    </row>
    <row r="37" spans="1:7" ht="15.5">
      <c r="B37" s="559" t="s">
        <v>227</v>
      </c>
      <c r="C37" s="552">
        <v>6268.6699415318581</v>
      </c>
      <c r="D37" s="552">
        <v>10170.356189014532</v>
      </c>
      <c r="E37" s="552">
        <v>8510.9456542409243</v>
      </c>
      <c r="F37" s="552">
        <v>9011.3064722046656</v>
      </c>
      <c r="G37" s="552">
        <v>8859.8639316057634</v>
      </c>
    </row>
    <row r="38" spans="1:7" ht="15.5">
      <c r="B38" s="559" t="s">
        <v>228</v>
      </c>
      <c r="C38" s="552">
        <v>135788.72562783334</v>
      </c>
      <c r="D38" s="552">
        <v>46434.365295118288</v>
      </c>
      <c r="E38" s="552">
        <v>6377.2748216002356</v>
      </c>
      <c r="F38" s="552">
        <v>6290.0462224431531</v>
      </c>
      <c r="G38" s="552">
        <v>6246.5326864837762</v>
      </c>
    </row>
    <row r="39" spans="1:7" ht="15">
      <c r="B39" s="560" t="s">
        <v>229</v>
      </c>
      <c r="C39" s="553">
        <v>981130.24814309226</v>
      </c>
      <c r="D39" s="553">
        <v>950273.35976893082</v>
      </c>
      <c r="E39" s="553">
        <v>107096.80923216199</v>
      </c>
      <c r="F39" s="553">
        <v>28114.048263229764</v>
      </c>
      <c r="G39" s="553">
        <v>15905.955401413303</v>
      </c>
    </row>
    <row r="40" spans="1:7" ht="15.5">
      <c r="B40" s="562"/>
      <c r="C40" s="556">
        <v>0</v>
      </c>
      <c r="D40" s="556">
        <v>0</v>
      </c>
      <c r="E40" s="556">
        <v>0</v>
      </c>
      <c r="F40" s="556">
        <v>0</v>
      </c>
      <c r="G40" s="557">
        <v>0</v>
      </c>
    </row>
    <row r="41" spans="1:7" ht="15">
      <c r="A41" s="225" t="s">
        <v>492</v>
      </c>
      <c r="B41" s="563" t="s">
        <v>230</v>
      </c>
      <c r="C41" s="558">
        <f>+C13+C20+C28+C33+C39</f>
        <v>5676286.519205451</v>
      </c>
      <c r="D41" s="558">
        <f>+D13+D20+D28+D33+D39</f>
        <v>3436892.5107013765</v>
      </c>
      <c r="E41" s="558">
        <f>+E13+E20+E28+E33+E39</f>
        <v>1321098.5995219979</v>
      </c>
      <c r="F41" s="558">
        <f>+F13+F20+F28+F33+F39</f>
        <v>1117097.6158379251</v>
      </c>
      <c r="G41" s="558">
        <f>+G13+G20+G28+G33+G39</f>
        <v>927219.2984871876</v>
      </c>
    </row>
  </sheetData>
  <hyperlinks>
    <hyperlink ref="A1" location="'Table of Contents'!A1" display="Return to Table of Contents" xr:uid="{00000000-0004-0000-0D00-000000000000}"/>
  </hyperlinks>
  <pageMargins left="0.7" right="0.7" top="0.75" bottom="0.75" header="0.3" footer="0.3"/>
  <pageSetup orientation="portrait"/>
  <customProperties>
    <customPr name="_pios_id" r:id="rId1"/>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J102"/>
  <sheetViews>
    <sheetView showGridLines="0" zoomScaleNormal="100" workbookViewId="0">
      <pane xSplit="1" ySplit="4" topLeftCell="E5" activePane="bottomRight" state="frozen"/>
      <selection pane="topRight" activeCell="B1" sqref="B1"/>
      <selection pane="bottomLeft" activeCell="A5" sqref="A5"/>
      <selection pane="bottomRight" activeCell="A3" sqref="A3"/>
    </sheetView>
  </sheetViews>
  <sheetFormatPr baseColWidth="10" defaultColWidth="11.453125" defaultRowHeight="14.5"/>
  <cols>
    <col min="1" max="1" width="11.453125" customWidth="1"/>
    <col min="2" max="2" width="24.81640625" customWidth="1"/>
    <col min="3" max="3" width="24.453125" customWidth="1"/>
    <col min="4" max="4" width="9.453125" customWidth="1"/>
    <col min="5" max="5" width="60.453125" customWidth="1"/>
    <col min="6" max="8" width="11.453125" customWidth="1"/>
  </cols>
  <sheetData>
    <row r="1" spans="1:6">
      <c r="A1" s="3" t="s">
        <v>686</v>
      </c>
    </row>
    <row r="3" spans="1:6" s="163" customFormat="1" ht="26">
      <c r="A3" s="162" t="s">
        <v>485</v>
      </c>
    </row>
    <row r="4" spans="1:6" s="1" customFormat="1">
      <c r="A4" s="164" t="s">
        <v>231</v>
      </c>
      <c r="B4" s="164" t="s">
        <v>649</v>
      </c>
      <c r="C4" s="164" t="s">
        <v>232</v>
      </c>
      <c r="D4" s="165" t="s">
        <v>233</v>
      </c>
      <c r="E4" s="165" t="s">
        <v>234</v>
      </c>
      <c r="F4" s="165" t="s">
        <v>235</v>
      </c>
    </row>
    <row r="5" spans="1:6" s="1" customFormat="1">
      <c r="A5" s="1" t="s">
        <v>645</v>
      </c>
      <c r="B5" s="1" t="s">
        <v>650</v>
      </c>
      <c r="C5" s="1" t="s">
        <v>237</v>
      </c>
      <c r="D5" s="1" t="s">
        <v>662</v>
      </c>
      <c r="E5" s="3" t="s">
        <v>668</v>
      </c>
      <c r="F5" s="1" t="s">
        <v>240</v>
      </c>
    </row>
    <row r="6" spans="1:6" s="1" customFormat="1">
      <c r="A6" s="1" t="s">
        <v>645</v>
      </c>
      <c r="B6" s="1" t="s">
        <v>650</v>
      </c>
      <c r="C6" s="1" t="s">
        <v>241</v>
      </c>
      <c r="D6" s="1" t="s">
        <v>662</v>
      </c>
      <c r="E6" s="3" t="s">
        <v>668</v>
      </c>
      <c r="F6" s="1" t="s">
        <v>242</v>
      </c>
    </row>
    <row r="7" spans="1:6" s="1" customFormat="1">
      <c r="A7" s="1" t="s">
        <v>645</v>
      </c>
      <c r="B7" s="1" t="s">
        <v>650</v>
      </c>
      <c r="C7" s="1" t="s">
        <v>243</v>
      </c>
      <c r="D7" s="1" t="s">
        <v>662</v>
      </c>
      <c r="E7" s="3" t="s">
        <v>668</v>
      </c>
      <c r="F7" s="1" t="s">
        <v>244</v>
      </c>
    </row>
    <row r="8" spans="1:6" s="1" customFormat="1">
      <c r="A8" s="1" t="s">
        <v>645</v>
      </c>
      <c r="B8" s="1" t="s">
        <v>650</v>
      </c>
      <c r="C8" s="1" t="s">
        <v>245</v>
      </c>
      <c r="D8" s="1" t="s">
        <v>662</v>
      </c>
      <c r="E8" s="3" t="s">
        <v>668</v>
      </c>
      <c r="F8" s="1" t="s">
        <v>246</v>
      </c>
    </row>
    <row r="9" spans="1:6" s="1" customFormat="1">
      <c r="A9" s="1" t="s">
        <v>645</v>
      </c>
      <c r="B9" s="1" t="s">
        <v>650</v>
      </c>
      <c r="C9" s="1" t="s">
        <v>247</v>
      </c>
      <c r="D9" s="1" t="s">
        <v>662</v>
      </c>
      <c r="E9" s="3" t="s">
        <v>668</v>
      </c>
      <c r="F9" s="1" t="s">
        <v>248</v>
      </c>
    </row>
    <row r="10" spans="1:6" s="1" customFormat="1">
      <c r="A10" s="1" t="s">
        <v>645</v>
      </c>
      <c r="B10" s="1" t="s">
        <v>650</v>
      </c>
      <c r="C10" s="1" t="s">
        <v>249</v>
      </c>
      <c r="D10" s="1" t="s">
        <v>662</v>
      </c>
      <c r="E10" s="3" t="s">
        <v>668</v>
      </c>
      <c r="F10" s="1" t="s">
        <v>250</v>
      </c>
    </row>
    <row r="11" spans="1:6" s="1" customFormat="1">
      <c r="A11" s="1" t="s">
        <v>645</v>
      </c>
      <c r="B11" s="1" t="s">
        <v>650</v>
      </c>
      <c r="C11" s="1" t="s">
        <v>251</v>
      </c>
      <c r="D11" s="1" t="s">
        <v>662</v>
      </c>
      <c r="E11" s="3" t="s">
        <v>668</v>
      </c>
      <c r="F11" s="1" t="s">
        <v>252</v>
      </c>
    </row>
    <row r="12" spans="1:6" s="1" customFormat="1">
      <c r="A12" s="1" t="s">
        <v>645</v>
      </c>
      <c r="B12" s="1" t="s">
        <v>650</v>
      </c>
      <c r="C12" s="1" t="s">
        <v>253</v>
      </c>
      <c r="D12" s="1" t="s">
        <v>662</v>
      </c>
      <c r="E12" s="3" t="s">
        <v>668</v>
      </c>
      <c r="F12" s="1" t="s">
        <v>254</v>
      </c>
    </row>
    <row r="13" spans="1:6" s="1" customFormat="1">
      <c r="A13" s="1" t="s">
        <v>645</v>
      </c>
      <c r="B13" s="1" t="s">
        <v>650</v>
      </c>
      <c r="C13" s="1" t="s">
        <v>255</v>
      </c>
      <c r="D13" s="1" t="s">
        <v>662</v>
      </c>
      <c r="E13" s="3" t="s">
        <v>668</v>
      </c>
      <c r="F13" s="1" t="s">
        <v>256</v>
      </c>
    </row>
    <row r="14" spans="1:6" s="1" customFormat="1">
      <c r="A14" s="1" t="s">
        <v>645</v>
      </c>
      <c r="B14" s="1" t="s">
        <v>650</v>
      </c>
      <c r="C14" s="1" t="s">
        <v>257</v>
      </c>
      <c r="D14" s="1" t="s">
        <v>662</v>
      </c>
      <c r="E14" s="3" t="s">
        <v>668</v>
      </c>
      <c r="F14" s="1" t="s">
        <v>258</v>
      </c>
    </row>
    <row r="15" spans="1:6" s="1" customFormat="1">
      <c r="A15" s="1" t="s">
        <v>645</v>
      </c>
      <c r="B15" s="1" t="s">
        <v>650</v>
      </c>
      <c r="C15" s="1" t="s">
        <v>259</v>
      </c>
      <c r="D15" s="1" t="s">
        <v>662</v>
      </c>
      <c r="E15" s="3" t="s">
        <v>668</v>
      </c>
      <c r="F15" s="1" t="s">
        <v>260</v>
      </c>
    </row>
    <row r="16" spans="1:6" s="1" customFormat="1">
      <c r="A16" s="1" t="s">
        <v>645</v>
      </c>
      <c r="B16" s="1" t="s">
        <v>651</v>
      </c>
      <c r="C16" s="1" t="s">
        <v>261</v>
      </c>
      <c r="D16" s="1" t="s">
        <v>662</v>
      </c>
      <c r="E16" s="3" t="s">
        <v>668</v>
      </c>
      <c r="F16" s="1" t="s">
        <v>262</v>
      </c>
    </row>
    <row r="17" spans="1:10" s="1" customFormat="1">
      <c r="A17" s="1" t="s">
        <v>645</v>
      </c>
      <c r="B17" s="1" t="s">
        <v>651</v>
      </c>
      <c r="C17" s="1" t="s">
        <v>263</v>
      </c>
      <c r="D17" s="1" t="s">
        <v>662</v>
      </c>
      <c r="E17" s="3" t="s">
        <v>668</v>
      </c>
      <c r="F17" s="1" t="s">
        <v>264</v>
      </c>
    </row>
    <row r="18" spans="1:10" s="1" customFormat="1">
      <c r="A18" s="1" t="s">
        <v>645</v>
      </c>
      <c r="B18" s="1" t="s">
        <v>651</v>
      </c>
      <c r="C18" s="1" t="s">
        <v>265</v>
      </c>
      <c r="D18" s="1" t="s">
        <v>662</v>
      </c>
      <c r="E18" s="3" t="s">
        <v>668</v>
      </c>
      <c r="F18" s="1" t="s">
        <v>266</v>
      </c>
    </row>
    <row r="19" spans="1:10" s="1" customFormat="1">
      <c r="A19" s="1" t="s">
        <v>645</v>
      </c>
      <c r="B19" s="1" t="s">
        <v>651</v>
      </c>
      <c r="C19" s="1" t="s">
        <v>267</v>
      </c>
      <c r="D19" s="1" t="s">
        <v>662</v>
      </c>
      <c r="E19" s="3" t="s">
        <v>668</v>
      </c>
      <c r="F19" s="1" t="s">
        <v>268</v>
      </c>
    </row>
    <row r="20" spans="1:10" s="1" customFormat="1">
      <c r="A20" s="1" t="s">
        <v>645</v>
      </c>
      <c r="B20" s="1" t="s">
        <v>651</v>
      </c>
      <c r="C20" s="1" t="s">
        <v>269</v>
      </c>
      <c r="D20" s="1" t="s">
        <v>662</v>
      </c>
      <c r="E20" s="3" t="s">
        <v>668</v>
      </c>
      <c r="F20" s="1" t="s">
        <v>270</v>
      </c>
    </row>
    <row r="21" spans="1:10" s="1" customFormat="1">
      <c r="A21" s="1" t="s">
        <v>645</v>
      </c>
      <c r="B21" s="1" t="s">
        <v>651</v>
      </c>
      <c r="C21" s="1" t="s">
        <v>271</v>
      </c>
      <c r="D21" s="1" t="s">
        <v>662</v>
      </c>
      <c r="E21" s="3" t="s">
        <v>668</v>
      </c>
      <c r="F21" s="1" t="s">
        <v>272</v>
      </c>
    </row>
    <row r="22" spans="1:10" s="1" customFormat="1">
      <c r="A22" s="1" t="s">
        <v>645</v>
      </c>
      <c r="B22" s="1" t="s">
        <v>651</v>
      </c>
      <c r="C22" s="1" t="s">
        <v>273</v>
      </c>
      <c r="D22" s="1" t="s">
        <v>662</v>
      </c>
      <c r="E22" s="3" t="s">
        <v>668</v>
      </c>
      <c r="F22" s="1" t="s">
        <v>274</v>
      </c>
    </row>
    <row r="23" spans="1:10" s="1" customFormat="1">
      <c r="A23" s="1" t="s">
        <v>645</v>
      </c>
      <c r="B23" s="1" t="s">
        <v>651</v>
      </c>
      <c r="C23" s="1" t="s">
        <v>275</v>
      </c>
      <c r="D23" s="1" t="s">
        <v>662</v>
      </c>
      <c r="E23" s="3" t="s">
        <v>668</v>
      </c>
      <c r="F23" s="1" t="s">
        <v>276</v>
      </c>
    </row>
    <row r="24" spans="1:10" s="1" customFormat="1">
      <c r="A24" s="1" t="s">
        <v>645</v>
      </c>
      <c r="B24" s="1" t="s">
        <v>651</v>
      </c>
      <c r="C24" s="1" t="s">
        <v>277</v>
      </c>
      <c r="D24" s="1" t="s">
        <v>662</v>
      </c>
      <c r="E24" s="3" t="s">
        <v>668</v>
      </c>
      <c r="F24" s="1" t="s">
        <v>278</v>
      </c>
    </row>
    <row r="25" spans="1:10" s="1" customFormat="1">
      <c r="A25" s="1" t="s">
        <v>645</v>
      </c>
      <c r="B25" s="1" t="s">
        <v>651</v>
      </c>
      <c r="C25" s="1" t="s">
        <v>279</v>
      </c>
      <c r="D25" s="1" t="s">
        <v>662</v>
      </c>
      <c r="E25" s="3" t="s">
        <v>668</v>
      </c>
      <c r="F25" s="1" t="s">
        <v>280</v>
      </c>
    </row>
    <row r="26" spans="1:10" s="1" customFormat="1">
      <c r="A26" s="1" t="s">
        <v>645</v>
      </c>
      <c r="B26" s="1" t="s">
        <v>651</v>
      </c>
      <c r="C26" s="1" t="s">
        <v>281</v>
      </c>
      <c r="D26" s="1" t="s">
        <v>662</v>
      </c>
      <c r="E26" s="3" t="s">
        <v>668</v>
      </c>
      <c r="F26" s="1" t="s">
        <v>282</v>
      </c>
    </row>
    <row r="27" spans="1:10" s="1" customFormat="1">
      <c r="A27" s="1" t="s">
        <v>645</v>
      </c>
      <c r="B27" s="1" t="s">
        <v>651</v>
      </c>
      <c r="C27" s="1" t="s">
        <v>283</v>
      </c>
      <c r="D27" s="1" t="s">
        <v>662</v>
      </c>
      <c r="E27" s="3" t="s">
        <v>668</v>
      </c>
      <c r="F27" s="1" t="s">
        <v>284</v>
      </c>
    </row>
    <row r="28" spans="1:10" s="166" customFormat="1">
      <c r="A28" s="166" t="s">
        <v>645</v>
      </c>
      <c r="B28" s="166" t="s">
        <v>651</v>
      </c>
      <c r="C28" s="166" t="s">
        <v>285</v>
      </c>
      <c r="D28" s="166" t="s">
        <v>662</v>
      </c>
      <c r="E28" s="167" t="s">
        <v>668</v>
      </c>
      <c r="F28" s="166" t="s">
        <v>286</v>
      </c>
      <c r="J28" s="1"/>
    </row>
    <row r="29" spans="1:10" s="166" customFormat="1">
      <c r="A29" s="166" t="s">
        <v>645</v>
      </c>
      <c r="B29" s="166" t="s">
        <v>651</v>
      </c>
      <c r="C29" s="166" t="s">
        <v>287</v>
      </c>
      <c r="D29" s="166" t="s">
        <v>662</v>
      </c>
      <c r="E29" s="167" t="s">
        <v>668</v>
      </c>
      <c r="F29" s="166" t="s">
        <v>288</v>
      </c>
      <c r="J29" s="1"/>
    </row>
    <row r="30" spans="1:10" s="166" customFormat="1">
      <c r="A30" s="166" t="s">
        <v>645</v>
      </c>
      <c r="B30" s="166" t="s">
        <v>651</v>
      </c>
      <c r="C30" s="166" t="s">
        <v>289</v>
      </c>
      <c r="D30" s="166" t="s">
        <v>662</v>
      </c>
      <c r="E30" s="167" t="s">
        <v>668</v>
      </c>
      <c r="F30" s="166" t="s">
        <v>290</v>
      </c>
      <c r="J30" s="1"/>
    </row>
    <row r="31" spans="1:10" s="1" customFormat="1">
      <c r="A31" s="1" t="s">
        <v>645</v>
      </c>
      <c r="B31" s="1" t="s">
        <v>651</v>
      </c>
      <c r="C31" s="1" t="s">
        <v>291</v>
      </c>
      <c r="D31" s="1" t="s">
        <v>662</v>
      </c>
      <c r="E31" s="3" t="s">
        <v>668</v>
      </c>
      <c r="F31" s="1" t="s">
        <v>292</v>
      </c>
    </row>
    <row r="32" spans="1:10" s="166" customFormat="1">
      <c r="A32" s="166" t="s">
        <v>645</v>
      </c>
      <c r="B32" s="166" t="s">
        <v>651</v>
      </c>
      <c r="C32" s="166" t="s">
        <v>293</v>
      </c>
      <c r="D32" s="166" t="s">
        <v>662</v>
      </c>
      <c r="E32" s="167" t="s">
        <v>668</v>
      </c>
      <c r="F32" s="166" t="s">
        <v>294</v>
      </c>
      <c r="J32" s="1"/>
    </row>
    <row r="33" spans="1:10" s="166" customFormat="1">
      <c r="A33" s="166" t="s">
        <v>645</v>
      </c>
      <c r="B33" s="166" t="s">
        <v>651</v>
      </c>
      <c r="C33" s="166" t="s">
        <v>295</v>
      </c>
      <c r="D33" s="166" t="s">
        <v>662</v>
      </c>
      <c r="E33" s="167" t="s">
        <v>668</v>
      </c>
      <c r="F33" s="166" t="s">
        <v>296</v>
      </c>
      <c r="J33" s="1"/>
    </row>
    <row r="34" spans="1:10" s="1" customFormat="1">
      <c r="A34" s="1" t="s">
        <v>645</v>
      </c>
      <c r="B34" s="1" t="s">
        <v>651</v>
      </c>
      <c r="C34" s="1" t="s">
        <v>297</v>
      </c>
      <c r="D34" s="1" t="s">
        <v>662</v>
      </c>
      <c r="E34" s="3" t="s">
        <v>668</v>
      </c>
      <c r="F34" s="1" t="s">
        <v>298</v>
      </c>
    </row>
    <row r="35" spans="1:10" s="166" customFormat="1">
      <c r="A35" s="166" t="s">
        <v>645</v>
      </c>
      <c r="B35" s="166" t="s">
        <v>651</v>
      </c>
      <c r="C35" s="166" t="s">
        <v>299</v>
      </c>
      <c r="D35" s="166" t="s">
        <v>662</v>
      </c>
      <c r="E35" s="167" t="s">
        <v>668</v>
      </c>
      <c r="F35" s="166" t="s">
        <v>300</v>
      </c>
      <c r="J35" s="1"/>
    </row>
    <row r="36" spans="1:10" s="166" customFormat="1">
      <c r="A36" s="166" t="s">
        <v>645</v>
      </c>
      <c r="B36" s="166" t="s">
        <v>154</v>
      </c>
      <c r="C36" s="166" t="s">
        <v>301</v>
      </c>
      <c r="D36" s="166" t="s">
        <v>662</v>
      </c>
      <c r="E36" s="167" t="s">
        <v>668</v>
      </c>
      <c r="F36" s="166" t="s">
        <v>302</v>
      </c>
      <c r="J36" s="1"/>
    </row>
    <row r="37" spans="1:10" s="166" customFormat="1">
      <c r="A37" s="166" t="s">
        <v>645</v>
      </c>
      <c r="B37" s="166" t="s">
        <v>303</v>
      </c>
      <c r="C37" s="166" t="s">
        <v>304</v>
      </c>
      <c r="D37" s="166" t="s">
        <v>662</v>
      </c>
      <c r="E37" s="167" t="s">
        <v>668</v>
      </c>
      <c r="F37" s="166" t="s">
        <v>305</v>
      </c>
      <c r="J37" s="1"/>
    </row>
    <row r="38" spans="1:10" s="1" customFormat="1">
      <c r="A38" s="1" t="s">
        <v>645</v>
      </c>
      <c r="B38" s="1" t="s">
        <v>652</v>
      </c>
      <c r="C38" s="1" t="s">
        <v>306</v>
      </c>
      <c r="D38" s="1" t="s">
        <v>662</v>
      </c>
      <c r="E38" s="3" t="s">
        <v>668</v>
      </c>
      <c r="F38" s="295" t="s">
        <v>676</v>
      </c>
    </row>
    <row r="39" spans="1:10" s="1" customFormat="1">
      <c r="A39" s="1" t="s">
        <v>645</v>
      </c>
      <c r="B39" s="1" t="s">
        <v>652</v>
      </c>
      <c r="C39" s="1" t="s">
        <v>307</v>
      </c>
      <c r="D39" s="1" t="s">
        <v>662</v>
      </c>
      <c r="E39" s="3" t="s">
        <v>668</v>
      </c>
      <c r="F39" s="1" t="s">
        <v>308</v>
      </c>
    </row>
    <row r="40" spans="1:10" s="1" customFormat="1">
      <c r="A40" s="1" t="s">
        <v>645</v>
      </c>
      <c r="B40" s="1" t="s">
        <v>652</v>
      </c>
      <c r="C40" s="1" t="s">
        <v>309</v>
      </c>
      <c r="D40" s="1" t="s">
        <v>662</v>
      </c>
      <c r="E40" s="3" t="s">
        <v>668</v>
      </c>
      <c r="F40" s="1" t="s">
        <v>310</v>
      </c>
    </row>
    <row r="41" spans="1:10" s="1" customFormat="1">
      <c r="A41" s="1" t="s">
        <v>645</v>
      </c>
      <c r="B41" s="1" t="s">
        <v>652</v>
      </c>
      <c r="C41" s="1" t="s">
        <v>311</v>
      </c>
      <c r="D41" s="1" t="s">
        <v>662</v>
      </c>
      <c r="E41" s="3" t="s">
        <v>668</v>
      </c>
      <c r="F41" s="1" t="s">
        <v>312</v>
      </c>
    </row>
    <row r="42" spans="1:10" s="1" customFormat="1">
      <c r="A42" s="1" t="s">
        <v>645</v>
      </c>
      <c r="B42" s="1" t="s">
        <v>652</v>
      </c>
      <c r="C42" s="1" t="s">
        <v>313</v>
      </c>
      <c r="D42" s="1" t="s">
        <v>662</v>
      </c>
      <c r="E42" s="3" t="s">
        <v>668</v>
      </c>
      <c r="F42" s="1" t="s">
        <v>314</v>
      </c>
    </row>
    <row r="43" spans="1:10" s="1" customFormat="1">
      <c r="A43" s="1" t="s">
        <v>645</v>
      </c>
      <c r="B43" s="1" t="s">
        <v>652</v>
      </c>
      <c r="C43" s="1" t="s">
        <v>315</v>
      </c>
      <c r="D43" s="1" t="s">
        <v>662</v>
      </c>
      <c r="E43" s="3" t="s">
        <v>668</v>
      </c>
      <c r="F43" s="1" t="s">
        <v>316</v>
      </c>
    </row>
    <row r="44" spans="1:10" s="1" customFormat="1">
      <c r="A44" s="1" t="s">
        <v>645</v>
      </c>
      <c r="B44" s="1" t="s">
        <v>652</v>
      </c>
      <c r="C44" s="1" t="s">
        <v>317</v>
      </c>
      <c r="D44" s="1" t="s">
        <v>662</v>
      </c>
      <c r="E44" s="3" t="s">
        <v>668</v>
      </c>
      <c r="F44" s="1" t="s">
        <v>318</v>
      </c>
    </row>
    <row r="45" spans="1:10" s="1" customFormat="1">
      <c r="A45" s="1" t="s">
        <v>645</v>
      </c>
      <c r="B45" s="1" t="s">
        <v>652</v>
      </c>
      <c r="C45" s="1" t="s">
        <v>319</v>
      </c>
      <c r="D45" s="1" t="s">
        <v>662</v>
      </c>
      <c r="E45" s="3" t="s">
        <v>668</v>
      </c>
      <c r="F45" s="1" t="s">
        <v>320</v>
      </c>
    </row>
    <row r="46" spans="1:10" s="1" customFormat="1">
      <c r="A46" s="1" t="s">
        <v>645</v>
      </c>
      <c r="B46" s="1" t="s">
        <v>652</v>
      </c>
      <c r="C46" s="1" t="s">
        <v>321</v>
      </c>
      <c r="D46" s="1" t="s">
        <v>662</v>
      </c>
      <c r="E46" s="3" t="s">
        <v>668</v>
      </c>
      <c r="F46" s="1" t="s">
        <v>322</v>
      </c>
    </row>
    <row r="47" spans="1:10" s="1" customFormat="1">
      <c r="A47" s="1" t="s">
        <v>645</v>
      </c>
      <c r="B47" s="1" t="s">
        <v>652</v>
      </c>
      <c r="C47" s="1" t="s">
        <v>323</v>
      </c>
      <c r="D47" s="1" t="s">
        <v>662</v>
      </c>
      <c r="E47" s="3" t="s">
        <v>668</v>
      </c>
      <c r="F47" s="1" t="s">
        <v>324</v>
      </c>
    </row>
    <row r="48" spans="1:10" s="1" customFormat="1">
      <c r="A48" s="1" t="s">
        <v>645</v>
      </c>
      <c r="B48" s="1" t="s">
        <v>652</v>
      </c>
      <c r="C48" s="1" t="s">
        <v>325</v>
      </c>
      <c r="D48" s="1" t="s">
        <v>662</v>
      </c>
      <c r="E48" s="3" t="s">
        <v>668</v>
      </c>
      <c r="F48" s="1" t="s">
        <v>326</v>
      </c>
    </row>
    <row r="49" spans="1:6" s="1" customFormat="1">
      <c r="A49" s="1" t="s">
        <v>645</v>
      </c>
      <c r="B49" s="1" t="s">
        <v>652</v>
      </c>
      <c r="C49" s="1" t="s">
        <v>327</v>
      </c>
      <c r="D49" s="1" t="s">
        <v>662</v>
      </c>
      <c r="E49" s="3" t="s">
        <v>668</v>
      </c>
      <c r="F49" s="1" t="s">
        <v>328</v>
      </c>
    </row>
    <row r="50" spans="1:6" s="1" customFormat="1">
      <c r="A50" s="1" t="s">
        <v>645</v>
      </c>
      <c r="B50" s="1" t="s">
        <v>652</v>
      </c>
      <c r="C50" s="1" t="s">
        <v>329</v>
      </c>
      <c r="D50" s="1" t="s">
        <v>662</v>
      </c>
      <c r="E50" s="3" t="s">
        <v>668</v>
      </c>
      <c r="F50" s="1" t="s">
        <v>330</v>
      </c>
    </row>
    <row r="51" spans="1:6" s="1" customFormat="1">
      <c r="A51" s="1" t="s">
        <v>645</v>
      </c>
      <c r="B51" s="1" t="s">
        <v>652</v>
      </c>
      <c r="C51" s="1" t="s">
        <v>331</v>
      </c>
      <c r="D51" s="1" t="s">
        <v>662</v>
      </c>
      <c r="E51" s="3" t="s">
        <v>668</v>
      </c>
      <c r="F51" s="1" t="s">
        <v>332</v>
      </c>
    </row>
    <row r="52" spans="1:6" s="1" customFormat="1">
      <c r="A52" s="1" t="s">
        <v>645</v>
      </c>
      <c r="B52" s="1" t="s">
        <v>653</v>
      </c>
      <c r="C52" s="1" t="s">
        <v>333</v>
      </c>
      <c r="D52" s="1" t="s">
        <v>662</v>
      </c>
      <c r="E52" s="3" t="s">
        <v>668</v>
      </c>
      <c r="F52" s="1" t="s">
        <v>334</v>
      </c>
    </row>
    <row r="53" spans="1:6" s="1" customFormat="1">
      <c r="A53" s="1" t="s">
        <v>645</v>
      </c>
      <c r="B53" s="1" t="s">
        <v>653</v>
      </c>
      <c r="C53" s="1" t="s">
        <v>335</v>
      </c>
      <c r="D53" s="1" t="s">
        <v>662</v>
      </c>
      <c r="E53" s="3" t="s">
        <v>668</v>
      </c>
      <c r="F53" s="1" t="s">
        <v>669</v>
      </c>
    </row>
    <row r="54" spans="1:6" s="1" customFormat="1">
      <c r="A54" s="1" t="s">
        <v>645</v>
      </c>
      <c r="B54" s="1" t="s">
        <v>653</v>
      </c>
      <c r="C54" s="1" t="s">
        <v>337</v>
      </c>
      <c r="D54" s="1" t="s">
        <v>662</v>
      </c>
      <c r="E54" s="3" t="s">
        <v>668</v>
      </c>
      <c r="F54" s="1" t="s">
        <v>338</v>
      </c>
    </row>
    <row r="55" spans="1:6" s="1" customFormat="1">
      <c r="A55" s="1" t="s">
        <v>645</v>
      </c>
      <c r="B55" s="1" t="s">
        <v>653</v>
      </c>
      <c r="C55" s="1" t="s">
        <v>339</v>
      </c>
      <c r="D55" s="1" t="s">
        <v>662</v>
      </c>
      <c r="E55" s="3" t="s">
        <v>668</v>
      </c>
      <c r="F55" s="1" t="s">
        <v>336</v>
      </c>
    </row>
    <row r="56" spans="1:6" s="1" customFormat="1">
      <c r="A56" s="1" t="s">
        <v>645</v>
      </c>
      <c r="B56" s="1" t="s">
        <v>653</v>
      </c>
      <c r="C56" s="1" t="s">
        <v>340</v>
      </c>
      <c r="D56" s="1" t="s">
        <v>662</v>
      </c>
      <c r="E56" s="3" t="s">
        <v>668</v>
      </c>
      <c r="F56" s="1" t="s">
        <v>341</v>
      </c>
    </row>
    <row r="57" spans="1:6" s="1" customFormat="1">
      <c r="A57" s="1" t="s">
        <v>645</v>
      </c>
      <c r="B57" s="1" t="s">
        <v>653</v>
      </c>
      <c r="C57" s="1" t="s">
        <v>342</v>
      </c>
      <c r="D57" s="1" t="s">
        <v>662</v>
      </c>
      <c r="E57" s="3" t="s">
        <v>668</v>
      </c>
      <c r="F57" s="1" t="s">
        <v>343</v>
      </c>
    </row>
    <row r="58" spans="1:6" s="1" customFormat="1">
      <c r="A58" s="1" t="s">
        <v>162</v>
      </c>
      <c r="B58" s="1" t="s">
        <v>653</v>
      </c>
      <c r="C58" s="1" t="s">
        <v>344</v>
      </c>
      <c r="D58" s="1" t="s">
        <v>238</v>
      </c>
      <c r="E58" s="3" t="s">
        <v>239</v>
      </c>
      <c r="F58" s="1" t="s">
        <v>345</v>
      </c>
    </row>
    <row r="59" spans="1:6" s="1" customFormat="1">
      <c r="A59" s="1" t="s">
        <v>646</v>
      </c>
      <c r="B59" s="1" t="s">
        <v>650</v>
      </c>
      <c r="C59" s="1" t="s">
        <v>346</v>
      </c>
      <c r="D59" s="1" t="s">
        <v>663</v>
      </c>
      <c r="E59" s="3" t="s">
        <v>348</v>
      </c>
      <c r="F59" s="1" t="s">
        <v>670</v>
      </c>
    </row>
    <row r="60" spans="1:6" s="1" customFormat="1">
      <c r="A60" s="1" t="s">
        <v>646</v>
      </c>
      <c r="B60" s="1" t="s">
        <v>650</v>
      </c>
      <c r="C60" s="1" t="s">
        <v>350</v>
      </c>
      <c r="D60" s="1" t="s">
        <v>663</v>
      </c>
      <c r="E60" s="3" t="s">
        <v>351</v>
      </c>
      <c r="F60" s="1" t="s">
        <v>670</v>
      </c>
    </row>
    <row r="61" spans="1:6" s="1" customFormat="1">
      <c r="A61" s="1" t="s">
        <v>646</v>
      </c>
      <c r="B61" s="1" t="s">
        <v>650</v>
      </c>
      <c r="C61" s="1" t="s">
        <v>352</v>
      </c>
      <c r="D61" s="1" t="s">
        <v>663</v>
      </c>
      <c r="E61" s="3" t="s">
        <v>353</v>
      </c>
      <c r="F61" s="1" t="s">
        <v>349</v>
      </c>
    </row>
    <row r="62" spans="1:6" s="1" customFormat="1">
      <c r="A62" s="1" t="s">
        <v>646</v>
      </c>
      <c r="B62" s="1" t="s">
        <v>650</v>
      </c>
      <c r="C62" s="1" t="s">
        <v>354</v>
      </c>
      <c r="D62" s="1" t="s">
        <v>663</v>
      </c>
      <c r="E62" s="3" t="s">
        <v>355</v>
      </c>
      <c r="F62" s="1" t="s">
        <v>356</v>
      </c>
    </row>
    <row r="63" spans="1:6" s="1" customFormat="1">
      <c r="A63" s="1" t="s">
        <v>646</v>
      </c>
      <c r="B63" s="1" t="s">
        <v>650</v>
      </c>
      <c r="C63" s="1" t="s">
        <v>357</v>
      </c>
      <c r="D63" s="1" t="s">
        <v>663</v>
      </c>
      <c r="E63" s="3" t="s">
        <v>358</v>
      </c>
      <c r="F63" s="1" t="s">
        <v>359</v>
      </c>
    </row>
    <row r="64" spans="1:6" s="1" customFormat="1">
      <c r="A64" s="1" t="s">
        <v>646</v>
      </c>
      <c r="B64" s="1" t="s">
        <v>650</v>
      </c>
      <c r="C64" s="1" t="s">
        <v>360</v>
      </c>
      <c r="D64" s="1" t="s">
        <v>663</v>
      </c>
      <c r="E64" s="3" t="s">
        <v>361</v>
      </c>
      <c r="F64" s="1" t="s">
        <v>362</v>
      </c>
    </row>
    <row r="65" spans="1:6" s="1" customFormat="1">
      <c r="A65" s="1" t="s">
        <v>646</v>
      </c>
      <c r="B65" s="1" t="s">
        <v>650</v>
      </c>
      <c r="C65" s="1" t="s">
        <v>363</v>
      </c>
      <c r="D65" s="1" t="s">
        <v>663</v>
      </c>
      <c r="E65" s="3" t="s">
        <v>364</v>
      </c>
      <c r="F65" s="1" t="s">
        <v>365</v>
      </c>
    </row>
    <row r="66" spans="1:6" s="1" customFormat="1">
      <c r="A66" s="1" t="s">
        <v>646</v>
      </c>
      <c r="B66" s="1" t="s">
        <v>650</v>
      </c>
      <c r="C66" s="1" t="s">
        <v>366</v>
      </c>
      <c r="D66" s="1" t="s">
        <v>663</v>
      </c>
      <c r="E66" s="3" t="s">
        <v>367</v>
      </c>
      <c r="F66" s="1" t="s">
        <v>368</v>
      </c>
    </row>
    <row r="67" spans="1:6" s="1" customFormat="1">
      <c r="A67" s="1" t="s">
        <v>646</v>
      </c>
      <c r="B67" s="1" t="s">
        <v>650</v>
      </c>
      <c r="C67" s="1" t="s">
        <v>369</v>
      </c>
      <c r="D67" s="1" t="s">
        <v>663</v>
      </c>
      <c r="E67" s="3" t="s">
        <v>370</v>
      </c>
      <c r="F67" s="1" t="s">
        <v>371</v>
      </c>
    </row>
    <row r="68" spans="1:6" s="1" customFormat="1">
      <c r="A68" s="1" t="s">
        <v>646</v>
      </c>
      <c r="B68" s="1" t="s">
        <v>650</v>
      </c>
      <c r="C68" s="1" t="s">
        <v>372</v>
      </c>
      <c r="D68" s="1" t="s">
        <v>663</v>
      </c>
      <c r="E68" s="3" t="s">
        <v>373</v>
      </c>
      <c r="F68" s="1" t="s">
        <v>374</v>
      </c>
    </row>
    <row r="69" spans="1:6" s="1" customFormat="1">
      <c r="A69" s="1" t="s">
        <v>646</v>
      </c>
      <c r="B69" s="1" t="s">
        <v>650</v>
      </c>
      <c r="C69" s="1" t="s">
        <v>375</v>
      </c>
      <c r="D69" s="1" t="s">
        <v>663</v>
      </c>
      <c r="E69" s="3" t="s">
        <v>376</v>
      </c>
      <c r="F69" s="1" t="s">
        <v>377</v>
      </c>
    </row>
    <row r="70" spans="1:6" s="1" customFormat="1">
      <c r="A70" s="1" t="s">
        <v>646</v>
      </c>
      <c r="B70" s="1" t="s">
        <v>650</v>
      </c>
      <c r="C70" s="1" t="s">
        <v>378</v>
      </c>
      <c r="D70" s="1" t="s">
        <v>663</v>
      </c>
      <c r="E70" s="3" t="s">
        <v>379</v>
      </c>
      <c r="F70" s="1" t="s">
        <v>380</v>
      </c>
    </row>
    <row r="71" spans="1:6" s="1" customFormat="1">
      <c r="A71" s="1" t="s">
        <v>646</v>
      </c>
      <c r="B71" s="1" t="s">
        <v>650</v>
      </c>
      <c r="C71" s="1" t="s">
        <v>381</v>
      </c>
      <c r="D71" s="1" t="s">
        <v>663</v>
      </c>
      <c r="E71" s="3" t="s">
        <v>382</v>
      </c>
      <c r="F71" s="1" t="s">
        <v>383</v>
      </c>
    </row>
    <row r="72" spans="1:6" s="1" customFormat="1">
      <c r="A72" s="1" t="s">
        <v>646</v>
      </c>
      <c r="B72" s="1" t="s">
        <v>650</v>
      </c>
      <c r="C72" s="1" t="s">
        <v>384</v>
      </c>
      <c r="D72" s="1" t="s">
        <v>663</v>
      </c>
      <c r="E72" s="3" t="s">
        <v>385</v>
      </c>
      <c r="F72" s="1" t="s">
        <v>386</v>
      </c>
    </row>
    <row r="73" spans="1:6" s="1" customFormat="1">
      <c r="A73" s="1" t="s">
        <v>646</v>
      </c>
      <c r="B73" s="1" t="s">
        <v>650</v>
      </c>
      <c r="C73" s="1" t="s">
        <v>387</v>
      </c>
      <c r="D73" s="1" t="s">
        <v>347</v>
      </c>
      <c r="E73" s="3" t="s">
        <v>388</v>
      </c>
      <c r="F73" s="1" t="s">
        <v>389</v>
      </c>
    </row>
    <row r="74" spans="1:6" s="1" customFormat="1">
      <c r="A74" s="1" t="s">
        <v>646</v>
      </c>
      <c r="B74" s="1" t="s">
        <v>654</v>
      </c>
      <c r="C74" s="1" t="s">
        <v>661</v>
      </c>
      <c r="D74" s="1" t="s">
        <v>664</v>
      </c>
      <c r="E74" s="3" t="s">
        <v>392</v>
      </c>
      <c r="F74" s="1" t="s">
        <v>393</v>
      </c>
    </row>
    <row r="75" spans="1:6" s="1" customFormat="1">
      <c r="A75" s="1" t="s">
        <v>646</v>
      </c>
      <c r="B75" s="1" t="s">
        <v>655</v>
      </c>
      <c r="C75" s="1" t="s">
        <v>394</v>
      </c>
      <c r="D75" s="1" t="s">
        <v>664</v>
      </c>
      <c r="E75" s="3" t="s">
        <v>395</v>
      </c>
      <c r="F75" s="1" t="s">
        <v>671</v>
      </c>
    </row>
    <row r="76" spans="1:6" s="1" customFormat="1">
      <c r="A76" s="1" t="s">
        <v>646</v>
      </c>
      <c r="B76" s="1" t="s">
        <v>656</v>
      </c>
      <c r="C76" s="1" t="s">
        <v>390</v>
      </c>
      <c r="D76" s="1" t="s">
        <v>664</v>
      </c>
      <c r="E76" s="3" t="s">
        <v>397</v>
      </c>
      <c r="F76" s="1" t="s">
        <v>396</v>
      </c>
    </row>
    <row r="77" spans="1:6" s="1" customFormat="1">
      <c r="A77" s="1" t="s">
        <v>165</v>
      </c>
      <c r="B77" s="1" t="s">
        <v>650</v>
      </c>
      <c r="C77" s="295" t="s">
        <v>677</v>
      </c>
      <c r="D77" s="1" t="s">
        <v>391</v>
      </c>
      <c r="E77" s="3" t="s">
        <v>398</v>
      </c>
      <c r="F77" s="1" t="s">
        <v>399</v>
      </c>
    </row>
    <row r="78" spans="1:6" s="1" customFormat="1">
      <c r="A78" s="1" t="s">
        <v>647</v>
      </c>
      <c r="B78" s="1" t="s">
        <v>650</v>
      </c>
      <c r="C78" s="1" t="s">
        <v>401</v>
      </c>
      <c r="D78" s="1" t="s">
        <v>665</v>
      </c>
      <c r="E78" s="3" t="s">
        <v>403</v>
      </c>
      <c r="F78" s="1" t="s">
        <v>404</v>
      </c>
    </row>
    <row r="79" spans="1:6" s="1" customFormat="1" ht="15.75" customHeight="1">
      <c r="A79" s="1" t="s">
        <v>647</v>
      </c>
      <c r="B79" s="1" t="s">
        <v>650</v>
      </c>
      <c r="C79" s="1" t="s">
        <v>405</v>
      </c>
      <c r="D79" s="1" t="s">
        <v>665</v>
      </c>
      <c r="E79" s="3" t="s">
        <v>406</v>
      </c>
      <c r="F79" s="1" t="s">
        <v>407</v>
      </c>
    </row>
    <row r="80" spans="1:6" s="1" customFormat="1">
      <c r="A80" s="1" t="s">
        <v>647</v>
      </c>
      <c r="B80" s="1" t="s">
        <v>236</v>
      </c>
      <c r="C80" s="1" t="s">
        <v>408</v>
      </c>
      <c r="D80" s="1" t="s">
        <v>665</v>
      </c>
      <c r="E80" s="3" t="s">
        <v>409</v>
      </c>
      <c r="F80" s="1" t="s">
        <v>410</v>
      </c>
    </row>
    <row r="81" spans="1:8" s="1" customFormat="1">
      <c r="A81" s="1" t="s">
        <v>647</v>
      </c>
      <c r="B81" s="1" t="s">
        <v>657</v>
      </c>
      <c r="C81" s="1" t="s">
        <v>411</v>
      </c>
      <c r="D81" s="1" t="s">
        <v>665</v>
      </c>
      <c r="E81" s="3" t="s">
        <v>412</v>
      </c>
      <c r="F81" s="1" t="s">
        <v>413</v>
      </c>
      <c r="H81" s="1" t="s">
        <v>414</v>
      </c>
    </row>
    <row r="82" spans="1:8" s="1" customFormat="1">
      <c r="A82" s="1" t="s">
        <v>647</v>
      </c>
      <c r="B82" s="1" t="s">
        <v>657</v>
      </c>
      <c r="C82" s="1" t="s">
        <v>415</v>
      </c>
      <c r="D82" s="1" t="s">
        <v>665</v>
      </c>
      <c r="E82" s="3" t="s">
        <v>416</v>
      </c>
      <c r="F82" s="295" t="s">
        <v>678</v>
      </c>
      <c r="H82" s="295" t="s">
        <v>679</v>
      </c>
    </row>
    <row r="83" spans="1:8" s="1" customFormat="1">
      <c r="A83" s="1" t="s">
        <v>647</v>
      </c>
      <c r="B83" s="1" t="s">
        <v>657</v>
      </c>
      <c r="C83" s="1" t="s">
        <v>417</v>
      </c>
      <c r="D83" s="1" t="s">
        <v>665</v>
      </c>
      <c r="E83" s="3" t="s">
        <v>418</v>
      </c>
      <c r="F83" s="1" t="s">
        <v>419</v>
      </c>
      <c r="H83" s="1" t="s">
        <v>420</v>
      </c>
    </row>
    <row r="84" spans="1:8" s="1" customFormat="1">
      <c r="A84" s="1" t="s">
        <v>647</v>
      </c>
      <c r="B84" s="1" t="s">
        <v>657</v>
      </c>
      <c r="C84" s="1" t="s">
        <v>421</v>
      </c>
      <c r="D84" s="1" t="s">
        <v>665</v>
      </c>
      <c r="E84" s="3" t="s">
        <v>422</v>
      </c>
      <c r="F84" s="1" t="s">
        <v>423</v>
      </c>
      <c r="H84" s="1" t="s">
        <v>424</v>
      </c>
    </row>
    <row r="85" spans="1:8" s="1" customFormat="1">
      <c r="A85" s="1" t="s">
        <v>647</v>
      </c>
      <c r="B85" s="1" t="s">
        <v>657</v>
      </c>
      <c r="C85" s="1" t="s">
        <v>425</v>
      </c>
      <c r="D85" s="1" t="s">
        <v>665</v>
      </c>
      <c r="E85" s="3" t="s">
        <v>426</v>
      </c>
      <c r="F85" s="1" t="s">
        <v>427</v>
      </c>
      <c r="H85" s="1" t="s">
        <v>428</v>
      </c>
    </row>
    <row r="86" spans="1:8" s="1" customFormat="1">
      <c r="A86" s="1" t="s">
        <v>647</v>
      </c>
      <c r="B86" s="1" t="s">
        <v>657</v>
      </c>
      <c r="C86" s="1" t="s">
        <v>429</v>
      </c>
      <c r="D86" s="1" t="s">
        <v>665</v>
      </c>
      <c r="E86" s="3" t="s">
        <v>430</v>
      </c>
      <c r="F86" s="1" t="s">
        <v>431</v>
      </c>
      <c r="H86" s="1" t="s">
        <v>432</v>
      </c>
    </row>
    <row r="87" spans="1:8" s="1" customFormat="1">
      <c r="A87" s="1" t="s">
        <v>647</v>
      </c>
      <c r="B87" s="1" t="s">
        <v>657</v>
      </c>
      <c r="C87" s="1" t="s">
        <v>433</v>
      </c>
      <c r="D87" s="1" t="s">
        <v>665</v>
      </c>
      <c r="E87" s="3" t="s">
        <v>434</v>
      </c>
      <c r="F87" s="1" t="s">
        <v>435</v>
      </c>
      <c r="H87" s="1" t="s">
        <v>436</v>
      </c>
    </row>
    <row r="88" spans="1:8" s="1" customFormat="1">
      <c r="A88" s="1" t="s">
        <v>647</v>
      </c>
      <c r="B88" s="1" t="s">
        <v>657</v>
      </c>
      <c r="C88" s="1" t="s">
        <v>437</v>
      </c>
      <c r="D88" s="1" t="s">
        <v>665</v>
      </c>
      <c r="E88" s="3" t="s">
        <v>438</v>
      </c>
      <c r="F88" s="295" t="s">
        <v>680</v>
      </c>
      <c r="H88" s="295" t="s">
        <v>681</v>
      </c>
    </row>
    <row r="89" spans="1:8" s="1" customFormat="1">
      <c r="A89" s="1" t="s">
        <v>400</v>
      </c>
      <c r="B89" s="1" t="s">
        <v>657</v>
      </c>
      <c r="C89" s="1" t="s">
        <v>439</v>
      </c>
      <c r="D89" s="1" t="s">
        <v>402</v>
      </c>
      <c r="E89" s="3" t="s">
        <v>440</v>
      </c>
      <c r="F89" s="295" t="s">
        <v>682</v>
      </c>
      <c r="H89" s="295" t="s">
        <v>683</v>
      </c>
    </row>
    <row r="90" spans="1:8" s="1" customFormat="1">
      <c r="A90" s="1" t="s">
        <v>648</v>
      </c>
      <c r="B90" s="1" t="s">
        <v>658</v>
      </c>
      <c r="C90" s="1" t="s">
        <v>442</v>
      </c>
      <c r="D90" s="1" t="s">
        <v>666</v>
      </c>
      <c r="E90" s="168" t="s">
        <v>444</v>
      </c>
      <c r="F90" s="1" t="s">
        <v>445</v>
      </c>
    </row>
    <row r="91" spans="1:8" s="1" customFormat="1">
      <c r="A91" s="1" t="s">
        <v>648</v>
      </c>
      <c r="B91" s="1" t="s">
        <v>441</v>
      </c>
      <c r="C91" s="1" t="s">
        <v>446</v>
      </c>
      <c r="D91" s="1" t="s">
        <v>666</v>
      </c>
      <c r="E91" s="168" t="s">
        <v>447</v>
      </c>
      <c r="F91" s="1" t="s">
        <v>448</v>
      </c>
    </row>
    <row r="92" spans="1:8" s="1" customFormat="1">
      <c r="A92" s="1" t="s">
        <v>648</v>
      </c>
      <c r="B92" s="1" t="s">
        <v>659</v>
      </c>
      <c r="C92" s="1" t="s">
        <v>450</v>
      </c>
      <c r="D92" s="1" t="s">
        <v>666</v>
      </c>
      <c r="E92" s="168" t="s">
        <v>451</v>
      </c>
      <c r="F92" s="1" t="s">
        <v>452</v>
      </c>
    </row>
    <row r="93" spans="1:8" s="1" customFormat="1">
      <c r="A93" s="1" t="s">
        <v>648</v>
      </c>
      <c r="B93" s="1" t="s">
        <v>659</v>
      </c>
      <c r="C93" s="1" t="s">
        <v>453</v>
      </c>
      <c r="D93" s="1" t="s">
        <v>666</v>
      </c>
      <c r="E93" s="168" t="s">
        <v>454</v>
      </c>
      <c r="F93" s="1" t="s">
        <v>455</v>
      </c>
    </row>
    <row r="94" spans="1:8" s="1" customFormat="1">
      <c r="A94" s="1" t="s">
        <v>648</v>
      </c>
      <c r="B94" s="1" t="s">
        <v>659</v>
      </c>
      <c r="C94" s="1" t="s">
        <v>456</v>
      </c>
      <c r="D94" s="1" t="s">
        <v>666</v>
      </c>
      <c r="E94" s="168" t="s">
        <v>457</v>
      </c>
      <c r="F94" s="1" t="s">
        <v>458</v>
      </c>
    </row>
    <row r="95" spans="1:8" s="1" customFormat="1">
      <c r="A95" s="1" t="s">
        <v>648</v>
      </c>
      <c r="B95" s="1" t="s">
        <v>659</v>
      </c>
      <c r="C95" s="1" t="s">
        <v>459</v>
      </c>
      <c r="D95" s="1" t="s">
        <v>666</v>
      </c>
      <c r="E95" s="168" t="s">
        <v>460</v>
      </c>
      <c r="F95" s="1" t="s">
        <v>461</v>
      </c>
    </row>
    <row r="96" spans="1:8" s="1" customFormat="1">
      <c r="A96" s="1" t="s">
        <v>648</v>
      </c>
      <c r="B96" s="1" t="s">
        <v>659</v>
      </c>
      <c r="C96" s="1" t="s">
        <v>462</v>
      </c>
      <c r="D96" s="1" t="s">
        <v>666</v>
      </c>
      <c r="E96" s="168" t="s">
        <v>463</v>
      </c>
      <c r="F96" s="1" t="s">
        <v>464</v>
      </c>
    </row>
    <row r="97" spans="1:6" s="1" customFormat="1">
      <c r="A97" s="1" t="s">
        <v>648</v>
      </c>
      <c r="B97" s="1" t="s">
        <v>659</v>
      </c>
      <c r="C97" s="1" t="s">
        <v>465</v>
      </c>
      <c r="D97" s="1" t="s">
        <v>666</v>
      </c>
      <c r="E97" s="168" t="s">
        <v>466</v>
      </c>
      <c r="F97" s="1" t="s">
        <v>467</v>
      </c>
    </row>
    <row r="98" spans="1:6" s="1" customFormat="1">
      <c r="A98" s="1" t="s">
        <v>648</v>
      </c>
      <c r="B98" s="1" t="s">
        <v>659</v>
      </c>
      <c r="C98" s="1" t="s">
        <v>468</v>
      </c>
      <c r="D98" s="1" t="s">
        <v>666</v>
      </c>
      <c r="E98" s="168" t="s">
        <v>469</v>
      </c>
      <c r="F98" s="1" t="s">
        <v>470</v>
      </c>
    </row>
    <row r="99" spans="1:6" s="1" customFormat="1">
      <c r="A99" s="1" t="s">
        <v>648</v>
      </c>
      <c r="B99" s="1" t="s">
        <v>659</v>
      </c>
      <c r="C99" s="1" t="s">
        <v>471</v>
      </c>
      <c r="D99" s="1" t="s">
        <v>666</v>
      </c>
      <c r="E99" s="168" t="s">
        <v>472</v>
      </c>
      <c r="F99" s="1" t="s">
        <v>473</v>
      </c>
    </row>
    <row r="100" spans="1:6" s="1" customFormat="1">
      <c r="A100" s="1" t="s">
        <v>648</v>
      </c>
      <c r="B100" s="1" t="s">
        <v>449</v>
      </c>
      <c r="C100" s="1" t="s">
        <v>474</v>
      </c>
      <c r="D100" s="1" t="s">
        <v>667</v>
      </c>
      <c r="E100" s="168" t="s">
        <v>476</v>
      </c>
      <c r="F100" s="1" t="s">
        <v>477</v>
      </c>
    </row>
    <row r="101" spans="1:6" s="1" customFormat="1">
      <c r="A101" s="1" t="s">
        <v>648</v>
      </c>
      <c r="B101" s="1" t="s">
        <v>660</v>
      </c>
      <c r="C101" s="1" t="s">
        <v>479</v>
      </c>
      <c r="D101" s="1" t="s">
        <v>475</v>
      </c>
      <c r="E101" s="168" t="s">
        <v>480</v>
      </c>
      <c r="F101" s="1" t="s">
        <v>481</v>
      </c>
    </row>
    <row r="102" spans="1:6" s="1" customFormat="1">
      <c r="A102" s="1" t="s">
        <v>163</v>
      </c>
      <c r="B102" s="1" t="s">
        <v>478</v>
      </c>
      <c r="C102" s="1" t="s">
        <v>482</v>
      </c>
      <c r="D102" s="1" t="s">
        <v>443</v>
      </c>
      <c r="E102" s="168" t="s">
        <v>483</v>
      </c>
      <c r="F102" s="1" t="s">
        <v>484</v>
      </c>
    </row>
  </sheetData>
  <hyperlinks>
    <hyperlink ref="A1" location="'Table of Contents'!A1" display="Return to Table of Contents" xr:uid="{00000000-0004-0000-0E00-000000000000}"/>
    <hyperlink ref="E15" r:id="rId1" xr:uid="{00000000-0004-0000-0E00-000001000000}"/>
    <hyperlink ref="E16:E37" r:id="rId2" display="http://apolo.creg.gov.co/Publicac.nsf/Documentos-Resoluciones?openview=" xr:uid="{00000000-0004-0000-0E00-000002000000}"/>
    <hyperlink ref="E9" r:id="rId3" xr:uid="{00000000-0004-0000-0E00-000003000000}"/>
    <hyperlink ref="E59" r:id="rId4" xr:uid="{00000000-0004-0000-0E00-000004000000}"/>
    <hyperlink ref="E60" r:id="rId5" xr:uid="{00000000-0004-0000-0E00-000005000000}"/>
    <hyperlink ref="E61" r:id="rId6" xr:uid="{00000000-0004-0000-0E00-000006000000}"/>
    <hyperlink ref="E62" r:id="rId7" xr:uid="{00000000-0004-0000-0E00-000007000000}"/>
    <hyperlink ref="E63" r:id="rId8" xr:uid="{00000000-0004-0000-0E00-000008000000}"/>
    <hyperlink ref="E65" r:id="rId9" xr:uid="{00000000-0004-0000-0E00-000009000000}"/>
    <hyperlink ref="E64" r:id="rId10" xr:uid="{00000000-0004-0000-0E00-00000A000000}"/>
    <hyperlink ref="E67" r:id="rId11" xr:uid="{00000000-0004-0000-0E00-00000B000000}"/>
    <hyperlink ref="E66" r:id="rId12" xr:uid="{00000000-0004-0000-0E00-00000C000000}"/>
    <hyperlink ref="E68" r:id="rId13" xr:uid="{00000000-0004-0000-0E00-00000D000000}"/>
    <hyperlink ref="E69" r:id="rId14" xr:uid="{00000000-0004-0000-0E00-00000E000000}"/>
    <hyperlink ref="E70" r:id="rId15" xr:uid="{00000000-0004-0000-0E00-00000F000000}"/>
    <hyperlink ref="E71" r:id="rId16" xr:uid="{00000000-0004-0000-0E00-000010000000}"/>
    <hyperlink ref="E72" r:id="rId17" xr:uid="{00000000-0004-0000-0E00-000011000000}"/>
    <hyperlink ref="E73" r:id="rId18" xr:uid="{00000000-0004-0000-0E00-000012000000}"/>
    <hyperlink ref="E74" r:id="rId19" xr:uid="{00000000-0004-0000-0E00-000013000000}"/>
    <hyperlink ref="E75" r:id="rId20" xr:uid="{00000000-0004-0000-0E00-000014000000}"/>
    <hyperlink ref="E76" r:id="rId21" xr:uid="{00000000-0004-0000-0E00-000015000000}"/>
    <hyperlink ref="E77" r:id="rId22" xr:uid="{00000000-0004-0000-0E00-000016000000}"/>
    <hyperlink ref="E81" r:id="rId23" xr:uid="{00000000-0004-0000-0E00-000017000000}"/>
    <hyperlink ref="E79" r:id="rId24" xr:uid="{00000000-0004-0000-0E00-000018000000}"/>
    <hyperlink ref="E5" r:id="rId25" xr:uid="{00000000-0004-0000-0E00-000019000000}"/>
    <hyperlink ref="E12" r:id="rId26" xr:uid="{00000000-0004-0000-0E00-00001A000000}"/>
    <hyperlink ref="E14" r:id="rId27" xr:uid="{00000000-0004-0000-0E00-00001B000000}"/>
    <hyperlink ref="E38" r:id="rId28" xr:uid="{00000000-0004-0000-0E00-00001C000000}"/>
    <hyperlink ref="E26" r:id="rId29" xr:uid="{00000000-0004-0000-0E00-00001D000000}"/>
    <hyperlink ref="E25" r:id="rId30" xr:uid="{00000000-0004-0000-0E00-00001E000000}"/>
    <hyperlink ref="E6" r:id="rId31" xr:uid="{00000000-0004-0000-0E00-00001F000000}"/>
    <hyperlink ref="E7" r:id="rId32" xr:uid="{00000000-0004-0000-0E00-000020000000}"/>
    <hyperlink ref="E8" r:id="rId33" xr:uid="{00000000-0004-0000-0E00-000021000000}"/>
    <hyperlink ref="E11" r:id="rId34" xr:uid="{00000000-0004-0000-0E00-000022000000}"/>
    <hyperlink ref="E10" r:id="rId35" xr:uid="{00000000-0004-0000-0E00-000023000000}"/>
    <hyperlink ref="E13" r:id="rId36" xr:uid="{00000000-0004-0000-0E00-000024000000}"/>
    <hyperlink ref="E40" r:id="rId37" xr:uid="{00000000-0004-0000-0E00-000025000000}"/>
    <hyperlink ref="E41" r:id="rId38" xr:uid="{00000000-0004-0000-0E00-000026000000}"/>
    <hyperlink ref="E42" r:id="rId39" xr:uid="{00000000-0004-0000-0E00-000027000000}"/>
    <hyperlink ref="E45" r:id="rId40" xr:uid="{00000000-0004-0000-0E00-000028000000}"/>
    <hyperlink ref="E46" r:id="rId41" xr:uid="{00000000-0004-0000-0E00-000029000000}"/>
    <hyperlink ref="E48" r:id="rId42" xr:uid="{00000000-0004-0000-0E00-00002A000000}"/>
    <hyperlink ref="E52" r:id="rId43" xr:uid="{00000000-0004-0000-0E00-00002B000000}"/>
    <hyperlink ref="E53" r:id="rId44" xr:uid="{00000000-0004-0000-0E00-00002C000000}"/>
    <hyperlink ref="E54" r:id="rId45" xr:uid="{00000000-0004-0000-0E00-00002D000000}"/>
    <hyperlink ref="E55" r:id="rId46" xr:uid="{00000000-0004-0000-0E00-00002E000000}"/>
    <hyperlink ref="E56" r:id="rId47" xr:uid="{00000000-0004-0000-0E00-00002F000000}"/>
    <hyperlink ref="E57" r:id="rId48" xr:uid="{00000000-0004-0000-0E00-000030000000}"/>
    <hyperlink ref="E58" r:id="rId49" xr:uid="{00000000-0004-0000-0E00-000031000000}"/>
    <hyperlink ref="E96" r:id="rId50" xr:uid="{00000000-0004-0000-0E00-000032000000}"/>
    <hyperlink ref="E99" r:id="rId51" xr:uid="{00000000-0004-0000-0E00-000033000000}"/>
  </hyperlinks>
  <pageMargins left="0.7" right="0.7" top="0.75" bottom="0.75" header="0.3" footer="0.3"/>
  <pageSetup orientation="portrait"/>
  <customProperties>
    <customPr name="_pios_id" r:id="rId52"/>
    <customPr name="EpmWorksheetKeyString_GUID" r:id="rId5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A335E-E996-4727-AA6D-5E8F37BF0466}">
  <dimension ref="A1:AD31"/>
  <sheetViews>
    <sheetView showGridLines="0" tabSelected="1" zoomScale="70" zoomScaleNormal="70" workbookViewId="0">
      <pane xSplit="1" ySplit="5" topLeftCell="B6" activePane="bottomRight" state="frozen"/>
      <selection pane="topRight" activeCell="B1" sqref="B1"/>
      <selection pane="bottomLeft" activeCell="A5" sqref="A5"/>
      <selection pane="bottomRight" activeCell="C6" sqref="C6"/>
    </sheetView>
  </sheetViews>
  <sheetFormatPr baseColWidth="10" defaultColWidth="11.453125" defaultRowHeight="14.5"/>
  <cols>
    <col min="1" max="1" width="11.453125" style="185"/>
    <col min="2" max="2" width="26.1796875" style="185" customWidth="1"/>
    <col min="3" max="3" width="163.1796875" style="185" customWidth="1"/>
    <col min="4" max="4" width="52.6328125" style="185" customWidth="1"/>
    <col min="5" max="16384" width="11.453125" style="185"/>
  </cols>
  <sheetData>
    <row r="1" spans="1:30">
      <c r="A1" s="3" t="s">
        <v>686</v>
      </c>
    </row>
    <row r="2" spans="1:30">
      <c r="A2" s="3"/>
    </row>
    <row r="3" spans="1:30">
      <c r="A3" s="3"/>
    </row>
    <row r="4" spans="1:30" s="163" customFormat="1" ht="26">
      <c r="A4" s="704" t="s">
        <v>1157</v>
      </c>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row>
    <row r="5" spans="1:30" ht="20">
      <c r="A5" s="655" t="s">
        <v>1154</v>
      </c>
      <c r="B5" s="654" t="s">
        <v>1153</v>
      </c>
      <c r="C5" s="653" t="s">
        <v>1164</v>
      </c>
      <c r="D5" s="653" t="s">
        <v>1163</v>
      </c>
      <c r="E5" s="652"/>
      <c r="F5" s="652"/>
      <c r="G5" s="652"/>
      <c r="H5" s="652"/>
      <c r="I5" s="652"/>
      <c r="J5" s="652"/>
      <c r="K5" s="652"/>
      <c r="L5" s="652"/>
      <c r="M5" s="652"/>
      <c r="N5" s="651"/>
      <c r="O5" s="651"/>
      <c r="P5" s="651"/>
      <c r="Q5" s="651"/>
      <c r="R5" s="651"/>
      <c r="S5" s="651"/>
      <c r="T5" s="651"/>
      <c r="U5" s="651"/>
      <c r="V5" s="5"/>
      <c r="W5" s="5"/>
      <c r="X5" s="5"/>
      <c r="Y5" s="5"/>
      <c r="Z5" s="5"/>
      <c r="AA5" s="5"/>
      <c r="AB5" s="5"/>
      <c r="AC5" s="5"/>
      <c r="AD5" s="5"/>
    </row>
    <row r="6" spans="1:30" ht="15.5">
      <c r="A6" s="650" t="s">
        <v>1152</v>
      </c>
      <c r="B6" s="397" t="s">
        <v>1151</v>
      </c>
      <c r="C6" s="649" t="s">
        <v>1150</v>
      </c>
      <c r="D6" s="397" t="s">
        <v>1161</v>
      </c>
      <c r="E6" s="5"/>
      <c r="F6" s="5"/>
      <c r="G6" s="5"/>
      <c r="H6" s="397"/>
      <c r="I6" s="397"/>
      <c r="J6" s="397"/>
      <c r="K6" s="397"/>
      <c r="L6" s="397"/>
      <c r="M6" s="397"/>
      <c r="N6" s="397"/>
      <c r="O6" s="397"/>
      <c r="P6" s="5"/>
      <c r="Q6" s="5"/>
      <c r="R6" s="5"/>
      <c r="S6" s="5"/>
      <c r="T6" s="5"/>
      <c r="U6" s="5"/>
      <c r="V6" s="5"/>
      <c r="W6" s="5"/>
      <c r="X6" s="5"/>
      <c r="Y6" s="5"/>
      <c r="Z6" s="5"/>
      <c r="AA6" s="5"/>
      <c r="AB6" s="5"/>
      <c r="AC6" s="5"/>
      <c r="AD6" s="5"/>
    </row>
    <row r="7" spans="1:30" ht="15.5">
      <c r="A7" s="5"/>
      <c r="B7" s="5"/>
      <c r="C7" s="649" t="s">
        <v>1149</v>
      </c>
      <c r="D7" s="397" t="s">
        <v>1158</v>
      </c>
      <c r="H7" s="5"/>
      <c r="I7" s="5"/>
      <c r="J7" s="5"/>
      <c r="K7" s="5"/>
      <c r="L7" s="5"/>
      <c r="M7" s="5"/>
      <c r="N7" s="5"/>
      <c r="O7" s="5"/>
      <c r="P7" s="5"/>
      <c r="Q7" s="5"/>
      <c r="R7" s="5"/>
      <c r="S7" s="5"/>
      <c r="T7" s="5"/>
      <c r="U7" s="5"/>
      <c r="V7" s="5"/>
      <c r="W7" s="5"/>
      <c r="X7" s="5"/>
      <c r="Y7" s="5"/>
      <c r="Z7" s="5"/>
      <c r="AA7" s="5"/>
      <c r="AB7" s="5"/>
      <c r="AC7" s="5"/>
      <c r="AD7" s="5"/>
    </row>
    <row r="8" spans="1:30" ht="15.5">
      <c r="A8" s="5"/>
      <c r="B8" s="5"/>
      <c r="C8" s="649"/>
      <c r="D8" s="397"/>
      <c r="H8" s="5"/>
      <c r="I8" s="5"/>
      <c r="J8" s="5"/>
      <c r="K8" s="5"/>
      <c r="L8" s="5"/>
      <c r="M8" s="5"/>
      <c r="N8" s="5"/>
      <c r="O8" s="5"/>
      <c r="P8" s="5"/>
      <c r="Q8" s="5"/>
      <c r="R8" s="5"/>
      <c r="S8" s="5"/>
      <c r="T8" s="5"/>
      <c r="U8" s="5"/>
      <c r="V8" s="5"/>
      <c r="W8" s="5"/>
      <c r="X8" s="5"/>
      <c r="Y8" s="5"/>
      <c r="Z8" s="5"/>
      <c r="AA8" s="5"/>
      <c r="AB8" s="5"/>
      <c r="AC8" s="5"/>
      <c r="AD8" s="5"/>
    </row>
    <row r="9" spans="1:30" ht="15.5">
      <c r="A9" s="650" t="s">
        <v>1133</v>
      </c>
      <c r="B9" s="397" t="s">
        <v>1148</v>
      </c>
      <c r="C9" s="649" t="s">
        <v>1147</v>
      </c>
      <c r="D9" s="397" t="s">
        <v>1160</v>
      </c>
      <c r="G9" s="5"/>
      <c r="H9" s="397"/>
      <c r="I9" s="397"/>
      <c r="J9" s="397"/>
      <c r="K9" s="397"/>
      <c r="L9" s="397"/>
      <c r="M9" s="397"/>
      <c r="N9" s="397"/>
      <c r="O9" s="397"/>
      <c r="P9" s="5"/>
      <c r="Q9" s="5"/>
      <c r="R9" s="5"/>
      <c r="S9" s="5"/>
      <c r="T9" s="5"/>
      <c r="U9" s="5"/>
      <c r="V9" s="5"/>
      <c r="W9" s="5"/>
      <c r="X9" s="5"/>
      <c r="Y9" s="5"/>
      <c r="Z9" s="5"/>
      <c r="AA9" s="5"/>
      <c r="AB9" s="5"/>
      <c r="AC9" s="5"/>
      <c r="AD9" s="5"/>
    </row>
    <row r="10" spans="1:30" ht="15.5">
      <c r="A10" s="650"/>
      <c r="B10" s="5"/>
      <c r="C10" s="649" t="s">
        <v>1146</v>
      </c>
      <c r="D10" s="397" t="s">
        <v>1159</v>
      </c>
      <c r="G10" s="5"/>
      <c r="H10" s="397"/>
      <c r="I10" s="397"/>
      <c r="J10" s="397"/>
      <c r="K10" s="397"/>
      <c r="L10" s="397"/>
      <c r="M10" s="397"/>
      <c r="N10" s="397"/>
      <c r="O10" s="397"/>
      <c r="P10" s="5"/>
      <c r="Q10" s="5"/>
      <c r="R10" s="5"/>
      <c r="S10" s="5"/>
      <c r="T10" s="5"/>
      <c r="U10" s="5"/>
      <c r="V10" s="5"/>
      <c r="W10" s="5"/>
      <c r="X10" s="5"/>
      <c r="Y10" s="5"/>
      <c r="Z10" s="5"/>
      <c r="AA10" s="5"/>
      <c r="AB10" s="5"/>
      <c r="AC10" s="5"/>
      <c r="AD10" s="5"/>
    </row>
    <row r="11" spans="1:30" ht="15.5">
      <c r="A11" s="650"/>
      <c r="B11" s="5"/>
      <c r="C11" s="649"/>
      <c r="D11" s="397"/>
      <c r="G11" s="5"/>
      <c r="H11" s="397"/>
      <c r="I11" s="397"/>
      <c r="J11" s="397"/>
      <c r="K11" s="397"/>
      <c r="L11" s="397"/>
      <c r="M11" s="397"/>
      <c r="N11" s="397"/>
      <c r="O11" s="397"/>
      <c r="P11" s="5"/>
      <c r="Q11" s="5"/>
      <c r="R11" s="5"/>
      <c r="S11" s="5"/>
      <c r="T11" s="5"/>
      <c r="U11" s="5"/>
      <c r="V11" s="5"/>
      <c r="W11" s="5"/>
      <c r="X11" s="5"/>
      <c r="Y11" s="5"/>
      <c r="Z11" s="5"/>
      <c r="AA11" s="5"/>
      <c r="AB11" s="5"/>
      <c r="AC11" s="5"/>
      <c r="AD11" s="5"/>
    </row>
    <row r="12" spans="1:30" ht="15.5">
      <c r="A12" s="650"/>
      <c r="B12" s="397" t="s">
        <v>1145</v>
      </c>
      <c r="C12" s="649" t="s">
        <v>1144</v>
      </c>
      <c r="D12" s="397" t="s">
        <v>1160</v>
      </c>
      <c r="G12" s="5"/>
      <c r="H12" s="397"/>
      <c r="I12" s="397"/>
      <c r="J12" s="397"/>
      <c r="K12" s="397"/>
      <c r="L12" s="397"/>
      <c r="M12" s="397"/>
      <c r="N12" s="397"/>
      <c r="O12" s="397"/>
      <c r="P12" s="5"/>
      <c r="Q12" s="5"/>
      <c r="R12" s="5"/>
      <c r="S12" s="5"/>
      <c r="T12" s="5"/>
      <c r="U12" s="5"/>
      <c r="V12" s="5"/>
      <c r="W12" s="5"/>
      <c r="X12" s="5"/>
      <c r="Y12" s="5"/>
      <c r="Z12" s="5"/>
      <c r="AA12" s="5"/>
      <c r="AB12" s="5"/>
      <c r="AC12" s="5"/>
      <c r="AD12" s="5"/>
    </row>
    <row r="13" spans="1:30" ht="15.5">
      <c r="A13" s="650"/>
      <c r="B13" s="5"/>
      <c r="C13" s="649" t="s">
        <v>1143</v>
      </c>
      <c r="D13" s="397" t="s">
        <v>1159</v>
      </c>
      <c r="G13" s="5"/>
      <c r="H13" s="397"/>
      <c r="I13" s="397"/>
      <c r="J13" s="397"/>
      <c r="K13" s="397"/>
      <c r="L13" s="397"/>
      <c r="M13" s="397"/>
      <c r="N13" s="397"/>
      <c r="O13" s="397"/>
      <c r="P13" s="5"/>
      <c r="Q13" s="5"/>
      <c r="R13" s="5"/>
      <c r="S13" s="5"/>
      <c r="T13" s="5"/>
      <c r="U13" s="5"/>
      <c r="V13" s="5"/>
      <c r="W13" s="5"/>
      <c r="X13" s="5"/>
      <c r="Y13" s="5"/>
      <c r="Z13" s="5"/>
      <c r="AA13" s="5"/>
      <c r="AB13" s="5"/>
      <c r="AC13" s="5"/>
      <c r="AD13" s="5"/>
    </row>
    <row r="14" spans="1:30" ht="15.5">
      <c r="A14" s="650"/>
      <c r="B14" s="5"/>
      <c r="C14" s="649"/>
      <c r="D14" s="397"/>
      <c r="G14" s="5"/>
      <c r="H14" s="397"/>
      <c r="I14" s="397"/>
      <c r="J14" s="397"/>
      <c r="K14" s="397"/>
      <c r="L14" s="397"/>
      <c r="M14" s="397"/>
      <c r="N14" s="397"/>
      <c r="O14" s="397"/>
      <c r="P14" s="5"/>
      <c r="Q14" s="5"/>
      <c r="R14" s="5"/>
      <c r="S14" s="5"/>
      <c r="T14" s="5"/>
      <c r="U14" s="5"/>
      <c r="V14" s="5"/>
      <c r="W14" s="5"/>
      <c r="X14" s="5"/>
      <c r="Y14" s="5"/>
      <c r="Z14" s="5"/>
      <c r="AA14" s="5"/>
      <c r="AB14" s="5"/>
      <c r="AC14" s="5"/>
      <c r="AD14" s="5"/>
    </row>
    <row r="15" spans="1:30" ht="15.5">
      <c r="A15" s="650"/>
      <c r="B15" s="397" t="s">
        <v>1142</v>
      </c>
      <c r="C15" s="649" t="s">
        <v>1141</v>
      </c>
      <c r="D15" s="397" t="s">
        <v>1160</v>
      </c>
      <c r="G15" s="5"/>
      <c r="H15" s="397"/>
      <c r="I15" s="397"/>
      <c r="J15" s="397"/>
      <c r="K15" s="397"/>
      <c r="L15" s="397"/>
      <c r="M15" s="397"/>
      <c r="N15" s="397"/>
      <c r="O15" s="397"/>
      <c r="P15" s="5"/>
      <c r="Q15" s="5"/>
      <c r="R15" s="5"/>
      <c r="S15" s="5"/>
      <c r="T15" s="5"/>
      <c r="U15" s="5"/>
      <c r="V15" s="5"/>
      <c r="W15" s="5"/>
      <c r="X15" s="5"/>
      <c r="Y15" s="5"/>
      <c r="Z15" s="5"/>
      <c r="AA15" s="5"/>
      <c r="AB15" s="5"/>
      <c r="AC15" s="5"/>
      <c r="AD15" s="5"/>
    </row>
    <row r="16" spans="1:30" ht="15.5">
      <c r="A16" s="650"/>
      <c r="B16" s="5"/>
      <c r="C16" s="649" t="s">
        <v>1140</v>
      </c>
      <c r="D16" s="397" t="s">
        <v>1159</v>
      </c>
      <c r="G16" s="5"/>
      <c r="H16" s="397"/>
      <c r="I16" s="397"/>
      <c r="J16" s="397"/>
      <c r="K16" s="397"/>
      <c r="L16" s="397"/>
      <c r="M16" s="397"/>
      <c r="N16" s="397"/>
      <c r="O16" s="397"/>
      <c r="P16" s="5"/>
      <c r="Q16" s="5"/>
      <c r="R16" s="5"/>
      <c r="S16" s="5"/>
      <c r="T16" s="5"/>
      <c r="U16" s="5"/>
      <c r="V16" s="5"/>
      <c r="W16" s="5"/>
      <c r="X16" s="5"/>
      <c r="Y16" s="5"/>
      <c r="Z16" s="5"/>
      <c r="AA16" s="5"/>
      <c r="AB16" s="5"/>
      <c r="AC16" s="5"/>
      <c r="AD16" s="5"/>
    </row>
    <row r="17" spans="1:30" ht="15.5">
      <c r="A17" s="650"/>
      <c r="B17" s="5"/>
      <c r="C17" s="649"/>
      <c r="D17" s="397"/>
      <c r="G17" s="5"/>
      <c r="H17" s="397"/>
      <c r="I17" s="397"/>
      <c r="J17" s="397"/>
      <c r="K17" s="397"/>
      <c r="L17" s="397"/>
      <c r="M17" s="397"/>
      <c r="N17" s="397"/>
      <c r="O17" s="397"/>
      <c r="P17" s="5"/>
      <c r="Q17" s="5"/>
      <c r="R17" s="5"/>
      <c r="S17" s="5"/>
      <c r="T17" s="5"/>
      <c r="U17" s="5"/>
      <c r="V17" s="5"/>
      <c r="W17" s="5"/>
      <c r="X17" s="5"/>
      <c r="Y17" s="5"/>
      <c r="Z17" s="5"/>
      <c r="AA17" s="5"/>
      <c r="AB17" s="5"/>
      <c r="AC17" s="5"/>
      <c r="AD17" s="5"/>
    </row>
    <row r="18" spans="1:30" ht="15.5">
      <c r="A18" s="650"/>
      <c r="B18" s="397" t="s">
        <v>1139</v>
      </c>
      <c r="C18" s="649" t="s">
        <v>1138</v>
      </c>
      <c r="D18" s="397" t="s">
        <v>1160</v>
      </c>
      <c r="G18" s="5"/>
      <c r="H18" s="397"/>
      <c r="I18" s="397"/>
      <c r="J18" s="397"/>
      <c r="K18" s="397"/>
      <c r="L18" s="397"/>
      <c r="M18" s="397"/>
      <c r="N18" s="397"/>
      <c r="O18" s="397"/>
      <c r="P18" s="5"/>
      <c r="Q18" s="5"/>
      <c r="R18" s="5"/>
      <c r="S18" s="5"/>
      <c r="T18" s="5"/>
      <c r="U18" s="5"/>
      <c r="V18" s="5"/>
      <c r="W18" s="5"/>
      <c r="X18" s="5"/>
      <c r="Y18" s="5"/>
      <c r="Z18" s="5"/>
      <c r="AA18" s="5"/>
      <c r="AB18" s="5"/>
      <c r="AC18" s="5"/>
      <c r="AD18" s="5"/>
    </row>
    <row r="19" spans="1:30" ht="15.5">
      <c r="A19" s="650"/>
      <c r="B19" s="5"/>
      <c r="C19" s="649" t="s">
        <v>1137</v>
      </c>
      <c r="D19" s="397" t="s">
        <v>1159</v>
      </c>
      <c r="G19" s="5"/>
      <c r="H19" s="397"/>
      <c r="I19" s="397"/>
      <c r="J19" s="397"/>
      <c r="K19" s="397"/>
      <c r="L19" s="397"/>
      <c r="M19" s="397"/>
      <c r="N19" s="397"/>
      <c r="O19" s="397"/>
      <c r="P19" s="5"/>
      <c r="Q19" s="5"/>
      <c r="R19" s="5"/>
      <c r="S19" s="5"/>
      <c r="T19" s="5"/>
      <c r="U19" s="5"/>
      <c r="V19" s="5"/>
      <c r="W19" s="5"/>
      <c r="X19" s="5"/>
      <c r="Y19" s="5"/>
      <c r="Z19" s="5"/>
      <c r="AA19" s="5"/>
      <c r="AB19" s="5"/>
      <c r="AC19" s="5"/>
      <c r="AD19" s="5"/>
    </row>
    <row r="20" spans="1:30" ht="15.5">
      <c r="A20" s="650"/>
      <c r="B20" s="5"/>
      <c r="C20" s="649"/>
      <c r="D20" s="397"/>
      <c r="G20" s="5"/>
      <c r="H20" s="397"/>
      <c r="I20" s="397"/>
      <c r="J20" s="397"/>
      <c r="K20" s="397"/>
      <c r="L20" s="397"/>
      <c r="M20" s="397"/>
      <c r="N20" s="397"/>
      <c r="O20" s="397"/>
      <c r="P20" s="5"/>
      <c r="Q20" s="5"/>
      <c r="R20" s="5"/>
      <c r="S20" s="5"/>
      <c r="T20" s="5"/>
      <c r="U20" s="5"/>
      <c r="V20" s="5"/>
      <c r="W20" s="5"/>
      <c r="X20" s="5"/>
      <c r="Y20" s="5"/>
      <c r="Z20" s="5"/>
      <c r="AA20" s="5"/>
      <c r="AB20" s="5"/>
      <c r="AC20" s="5"/>
      <c r="AD20" s="5"/>
    </row>
    <row r="21" spans="1:30" ht="15.5">
      <c r="A21" s="650"/>
      <c r="B21" s="397" t="s">
        <v>1136</v>
      </c>
      <c r="C21" s="649" t="s">
        <v>1135</v>
      </c>
      <c r="D21" s="397" t="s">
        <v>1160</v>
      </c>
      <c r="G21" s="5"/>
      <c r="H21" s="397"/>
      <c r="I21" s="397"/>
      <c r="J21" s="397"/>
      <c r="K21" s="397"/>
      <c r="L21" s="397"/>
      <c r="M21" s="397"/>
      <c r="N21" s="397"/>
      <c r="O21" s="397"/>
      <c r="P21" s="5"/>
      <c r="Q21" s="5"/>
      <c r="R21" s="5"/>
      <c r="S21" s="5"/>
      <c r="T21" s="5"/>
      <c r="U21" s="5"/>
      <c r="V21" s="5"/>
      <c r="W21" s="5"/>
      <c r="X21" s="5"/>
      <c r="Y21" s="5"/>
      <c r="Z21" s="5"/>
      <c r="AA21" s="5"/>
      <c r="AB21" s="5"/>
      <c r="AC21" s="5"/>
      <c r="AD21" s="5"/>
    </row>
    <row r="22" spans="1:30" ht="15.5">
      <c r="A22" s="650"/>
      <c r="B22" s="5"/>
      <c r="C22" s="649" t="s">
        <v>1134</v>
      </c>
      <c r="D22" s="397" t="s">
        <v>1159</v>
      </c>
      <c r="E22" s="5"/>
      <c r="F22" s="5"/>
      <c r="G22" s="5"/>
      <c r="H22" s="397"/>
      <c r="I22" s="397"/>
      <c r="J22" s="397"/>
      <c r="K22" s="397"/>
      <c r="L22" s="397"/>
      <c r="M22" s="397"/>
      <c r="N22" s="397"/>
      <c r="O22" s="397"/>
      <c r="P22" s="5"/>
      <c r="Q22" s="5"/>
      <c r="R22" s="5"/>
      <c r="S22" s="5"/>
      <c r="T22" s="5"/>
      <c r="U22" s="5"/>
      <c r="V22" s="5"/>
      <c r="W22" s="5"/>
      <c r="X22" s="5"/>
      <c r="Y22" s="5"/>
      <c r="Z22" s="5"/>
      <c r="AA22" s="5"/>
      <c r="AB22" s="5"/>
      <c r="AC22" s="5"/>
      <c r="AD22" s="5"/>
    </row>
    <row r="23" spans="1:30" ht="15.5">
      <c r="A23" s="650"/>
      <c r="B23" s="5"/>
      <c r="C23" s="649"/>
      <c r="D23" s="397"/>
      <c r="E23" s="5"/>
      <c r="F23" s="5"/>
      <c r="G23" s="5"/>
      <c r="H23" s="397"/>
      <c r="I23" s="397"/>
      <c r="J23" s="397"/>
      <c r="K23" s="397"/>
      <c r="L23" s="397"/>
      <c r="M23" s="397"/>
      <c r="N23" s="397"/>
      <c r="O23" s="397"/>
      <c r="P23" s="5"/>
      <c r="Q23" s="5"/>
      <c r="R23" s="5"/>
      <c r="S23" s="5"/>
      <c r="T23" s="5"/>
      <c r="U23" s="5"/>
      <c r="V23" s="5"/>
      <c r="W23" s="5"/>
      <c r="X23" s="5"/>
      <c r="Y23" s="5"/>
      <c r="Z23" s="5"/>
      <c r="AA23" s="5"/>
      <c r="AB23" s="5"/>
      <c r="AC23" s="5"/>
      <c r="AD23" s="5"/>
    </row>
    <row r="24" spans="1:30" ht="15.5">
      <c r="A24" s="650" t="s">
        <v>1133</v>
      </c>
      <c r="B24" s="397" t="s">
        <v>1156</v>
      </c>
      <c r="C24" s="649" t="s">
        <v>1132</v>
      </c>
      <c r="D24" s="397" t="s">
        <v>1162</v>
      </c>
      <c r="E24" s="5"/>
      <c r="F24" s="5"/>
      <c r="G24" s="5"/>
      <c r="H24" s="397"/>
      <c r="I24" s="397"/>
      <c r="J24" s="397"/>
      <c r="K24" s="397"/>
      <c r="L24" s="397"/>
      <c r="M24" s="397"/>
      <c r="N24" s="397"/>
      <c r="O24" s="397"/>
      <c r="P24" s="5"/>
      <c r="Q24" s="5"/>
      <c r="R24" s="5"/>
      <c r="S24" s="5"/>
      <c r="T24" s="5"/>
      <c r="U24" s="5"/>
      <c r="V24" s="5"/>
      <c r="W24" s="5"/>
      <c r="X24" s="5"/>
      <c r="Y24" s="5"/>
      <c r="Z24" s="5"/>
      <c r="AA24" s="5"/>
      <c r="AB24" s="5"/>
      <c r="AC24" s="5"/>
      <c r="AD24" s="5"/>
    </row>
    <row r="25" spans="1:30" ht="15.5">
      <c r="A25" s="650"/>
      <c r="B25" s="397"/>
      <c r="C25" s="649"/>
      <c r="D25" s="397"/>
      <c r="E25" s="5"/>
      <c r="F25" s="5"/>
      <c r="G25" s="5"/>
      <c r="H25" s="397"/>
      <c r="I25" s="397"/>
      <c r="J25" s="397"/>
      <c r="K25" s="397"/>
      <c r="L25" s="397"/>
      <c r="M25" s="397"/>
      <c r="N25" s="397"/>
      <c r="O25" s="397"/>
      <c r="P25" s="5"/>
      <c r="Q25" s="5"/>
      <c r="R25" s="5"/>
      <c r="S25" s="5"/>
      <c r="T25" s="5"/>
      <c r="U25" s="5"/>
      <c r="V25" s="5"/>
      <c r="W25" s="5"/>
      <c r="X25" s="5"/>
      <c r="Y25" s="5"/>
      <c r="Z25" s="5"/>
      <c r="AA25" s="5"/>
      <c r="AB25" s="5"/>
      <c r="AC25" s="5"/>
      <c r="AD25" s="5"/>
    </row>
    <row r="26" spans="1:30" ht="15.5">
      <c r="A26" s="650"/>
      <c r="B26" s="397"/>
      <c r="C26" s="649"/>
      <c r="D26" s="5"/>
      <c r="E26" s="5"/>
      <c r="F26" s="5"/>
      <c r="G26" s="5"/>
      <c r="H26" s="397"/>
      <c r="I26" s="397"/>
      <c r="J26" s="397"/>
      <c r="K26" s="397"/>
      <c r="L26" s="397"/>
      <c r="M26" s="397"/>
      <c r="N26" s="397"/>
      <c r="O26" s="397"/>
      <c r="P26" s="5"/>
      <c r="Q26" s="5"/>
      <c r="R26" s="5"/>
      <c r="S26" s="5"/>
      <c r="T26" s="5"/>
      <c r="U26" s="5"/>
      <c r="V26" s="5"/>
      <c r="W26" s="5"/>
      <c r="X26" s="5"/>
      <c r="Y26" s="5"/>
      <c r="Z26" s="5"/>
      <c r="AA26" s="5"/>
      <c r="AB26" s="5"/>
      <c r="AC26" s="5"/>
      <c r="AD26" s="5"/>
    </row>
    <row r="27" spans="1:30" ht="15.5">
      <c r="A27" s="650"/>
      <c r="B27" s="397"/>
      <c r="C27" s="649"/>
      <c r="D27" s="5"/>
      <c r="E27" s="5"/>
      <c r="F27" s="5"/>
      <c r="G27" s="5"/>
      <c r="H27" s="397"/>
      <c r="I27" s="397"/>
      <c r="J27" s="397"/>
      <c r="K27" s="397"/>
      <c r="L27" s="397"/>
      <c r="M27" s="397"/>
      <c r="N27" s="397"/>
      <c r="O27" s="397"/>
      <c r="P27" s="5"/>
      <c r="Q27" s="5"/>
      <c r="R27" s="5"/>
      <c r="S27" s="5"/>
      <c r="T27" s="5"/>
      <c r="U27" s="5"/>
      <c r="V27" s="5"/>
      <c r="W27" s="5"/>
      <c r="X27" s="5"/>
      <c r="Y27" s="5"/>
      <c r="Z27" s="5"/>
      <c r="AA27" s="5"/>
      <c r="AB27" s="5"/>
      <c r="AC27" s="5"/>
      <c r="AD27" s="5"/>
    </row>
    <row r="28" spans="1:30" ht="15.5">
      <c r="A28" s="650"/>
      <c r="B28" s="397"/>
      <c r="C28" s="649"/>
      <c r="D28" s="5"/>
      <c r="E28" s="5"/>
      <c r="F28" s="5"/>
      <c r="G28" s="5"/>
      <c r="H28" s="397"/>
      <c r="I28" s="397"/>
      <c r="J28" s="397"/>
      <c r="K28" s="397"/>
      <c r="L28" s="397"/>
      <c r="M28" s="397"/>
      <c r="N28" s="397"/>
      <c r="O28" s="397"/>
      <c r="P28" s="5"/>
      <c r="Q28" s="5"/>
      <c r="R28" s="5"/>
      <c r="S28" s="5"/>
      <c r="T28" s="5"/>
      <c r="U28" s="5"/>
      <c r="V28" s="5"/>
      <c r="W28" s="5"/>
      <c r="X28" s="5"/>
      <c r="Y28" s="5"/>
      <c r="Z28" s="5"/>
      <c r="AA28" s="5"/>
      <c r="AB28" s="5"/>
      <c r="AC28" s="5"/>
      <c r="AD28" s="5"/>
    </row>
    <row r="29" spans="1:30" ht="15.5">
      <c r="A29" s="650"/>
      <c r="B29" s="397"/>
      <c r="C29" s="649"/>
      <c r="D29" s="5"/>
      <c r="E29" s="5"/>
      <c r="F29" s="5"/>
      <c r="G29" s="5"/>
      <c r="H29" s="397"/>
      <c r="I29" s="397"/>
      <c r="J29" s="397"/>
      <c r="K29" s="397"/>
      <c r="L29" s="397"/>
      <c r="M29" s="397"/>
      <c r="N29" s="397"/>
      <c r="O29" s="397"/>
      <c r="P29" s="5"/>
      <c r="Q29" s="5"/>
      <c r="R29" s="5"/>
      <c r="S29" s="5"/>
      <c r="T29" s="5"/>
      <c r="U29" s="5"/>
      <c r="V29" s="5"/>
      <c r="W29" s="5"/>
      <c r="X29" s="5"/>
      <c r="Y29" s="5"/>
      <c r="Z29" s="5"/>
      <c r="AA29" s="5"/>
      <c r="AB29" s="5"/>
      <c r="AC29" s="5"/>
      <c r="AD29" s="5"/>
    </row>
    <row r="30" spans="1:30" ht="15.5">
      <c r="A30" s="650"/>
      <c r="B30" s="397"/>
      <c r="C30" s="649"/>
      <c r="D30" s="5"/>
      <c r="E30" s="5"/>
      <c r="F30" s="5"/>
      <c r="G30" s="5"/>
      <c r="H30" s="397"/>
      <c r="I30" s="397"/>
      <c r="J30" s="397"/>
      <c r="K30" s="397"/>
      <c r="L30" s="397"/>
      <c r="M30" s="397"/>
      <c r="N30" s="397"/>
      <c r="O30" s="397"/>
      <c r="P30" s="5"/>
      <c r="Q30" s="5"/>
      <c r="R30" s="5"/>
      <c r="S30" s="5"/>
      <c r="T30" s="5"/>
      <c r="U30" s="5"/>
      <c r="V30" s="5"/>
      <c r="W30" s="5"/>
      <c r="X30" s="5"/>
      <c r="Y30" s="5"/>
      <c r="Z30" s="5"/>
      <c r="AA30" s="5"/>
      <c r="AB30" s="5"/>
      <c r="AC30" s="5"/>
      <c r="AD30" s="5"/>
    </row>
    <row r="31" spans="1:30" ht="15.5">
      <c r="A31" s="650"/>
      <c r="B31" s="397"/>
      <c r="C31" s="649"/>
      <c r="D31" s="5"/>
      <c r="E31" s="5"/>
      <c r="F31" s="5"/>
      <c r="G31" s="5"/>
      <c r="H31" s="397"/>
      <c r="I31" s="397"/>
      <c r="J31" s="397"/>
      <c r="K31" s="397"/>
      <c r="L31" s="397"/>
      <c r="M31" s="397"/>
      <c r="N31" s="397"/>
      <c r="O31" s="397"/>
      <c r="P31" s="5"/>
      <c r="Q31" s="5"/>
      <c r="R31" s="5"/>
      <c r="S31" s="5"/>
      <c r="T31" s="5"/>
      <c r="U31" s="5"/>
      <c r="V31" s="5"/>
      <c r="W31" s="5"/>
      <c r="X31" s="5"/>
      <c r="Y31" s="5"/>
      <c r="Z31" s="5"/>
      <c r="AA31" s="5"/>
      <c r="AB31" s="5"/>
      <c r="AC31" s="5"/>
      <c r="AD31" s="5"/>
    </row>
  </sheetData>
  <hyperlinks>
    <hyperlink ref="C6" r:id="rId1" xr:uid="{254CCD86-78E9-4A3F-A0E9-8127E23F1161}"/>
    <hyperlink ref="C7" r:id="rId2" xr:uid="{FA7A057D-58C5-4CC7-8254-958D560D52F2}"/>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B5E7163C-C97B-4A61-9A0A-49A2C8295B8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16EC1C25-7AAB-4B91-91B0-1A346FB7E771}"/>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FC63647-D775-473B-A4CB-35437FAD5C2B}"/>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BBD25D5E-757D-42D6-B1A3-0AB213BA4840}"/>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2DFD27B5-2092-4154-9C63-7D7A3C062DF5}"/>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DB50E3A1-42FB-4BC3-8893-40A6BA0112A6}"/>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3B155E56-0A33-47B7-90CD-1C47877B48EC}"/>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28E730F2-1FB7-4A6F-9FC6-B9EE2A75E4CC}"/>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AB6E775B-C83C-42A4-A1E8-27CDAC6A1990}"/>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4836AB98-CE2C-44D5-A910-F61F00156021}"/>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1E217774-5B22-4193-AF7A-65D76A49A74F}"/>
    <hyperlink ref="A1" location="'Table of Contents'!A1" display="Return to Table of Contents" xr:uid="{0A8AEE55-0AFB-449F-9496-297BE12C3E0B}"/>
  </hyperlinks>
  <pageMargins left="0.7" right="0.7" top="0.75" bottom="0.75" header="0.3" footer="0.3"/>
  <pageSetup orientation="portrait" r:id="rId14"/>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G37"/>
  <sheetViews>
    <sheetView showGridLines="0" zoomScaleNormal="100" workbookViewId="0">
      <selection activeCell="J39" sqref="J39"/>
    </sheetView>
  </sheetViews>
  <sheetFormatPr baseColWidth="10" defaultColWidth="11.453125" defaultRowHeight="14.5"/>
  <cols>
    <col min="1" max="1" width="11.453125" customWidth="1"/>
    <col min="2" max="2" width="27.453125" customWidth="1"/>
    <col min="3" max="7" width="13.453125" customWidth="1"/>
  </cols>
  <sheetData>
    <row r="1" spans="1:7">
      <c r="A1" s="3" t="s">
        <v>686</v>
      </c>
      <c r="B1" s="1"/>
      <c r="C1" s="1"/>
      <c r="D1" s="1"/>
      <c r="E1" s="1"/>
      <c r="F1" s="1"/>
      <c r="G1" s="1"/>
    </row>
    <row r="3" spans="1:7" ht="15">
      <c r="A3" s="1"/>
      <c r="B3" s="19" t="s">
        <v>166</v>
      </c>
      <c r="C3" s="1"/>
      <c r="D3" s="1"/>
      <c r="E3" s="1"/>
      <c r="F3" s="1"/>
      <c r="G3" s="1"/>
    </row>
    <row r="4" spans="1:7" ht="15">
      <c r="A4" s="1"/>
      <c r="B4" s="21" t="s">
        <v>672</v>
      </c>
      <c r="C4" s="1"/>
      <c r="D4" s="1"/>
      <c r="E4" s="1"/>
      <c r="F4" s="1"/>
      <c r="G4" s="1"/>
    </row>
    <row r="5" spans="1:7">
      <c r="A5" s="1"/>
      <c r="B5" s="1"/>
      <c r="C5" s="1"/>
      <c r="D5" s="1"/>
      <c r="E5" s="1"/>
      <c r="F5" s="1"/>
      <c r="G5" s="1"/>
    </row>
    <row r="6" spans="1:7">
      <c r="A6" s="225"/>
      <c r="B6" s="78" t="s">
        <v>673</v>
      </c>
      <c r="C6" s="79">
        <v>2016</v>
      </c>
      <c r="D6" s="79">
        <v>2017</v>
      </c>
      <c r="E6" s="79">
        <v>2018</v>
      </c>
      <c r="F6" s="79">
        <v>2019</v>
      </c>
      <c r="G6" s="580">
        <v>2020</v>
      </c>
    </row>
    <row r="7" spans="1:7" ht="15.5">
      <c r="A7" s="1"/>
      <c r="B7" s="12" t="s">
        <v>156</v>
      </c>
      <c r="C7" s="13">
        <v>85101.153912947761</v>
      </c>
      <c r="D7" s="13">
        <v>78851.547697000002</v>
      </c>
      <c r="E7" s="13">
        <v>99053.963673000006</v>
      </c>
      <c r="F7" s="13">
        <v>135781.84656100001</v>
      </c>
      <c r="G7" s="380">
        <v>170616.69114169001</v>
      </c>
    </row>
    <row r="8" spans="1:7" ht="15.5">
      <c r="A8" s="1"/>
      <c r="B8" s="12" t="s">
        <v>168</v>
      </c>
      <c r="C8" s="13">
        <v>7775.7323999561759</v>
      </c>
      <c r="D8" s="13">
        <v>7055.9473680000001</v>
      </c>
      <c r="E8" s="13">
        <v>12086.495009</v>
      </c>
      <c r="F8" s="13">
        <v>6041.7694629999996</v>
      </c>
      <c r="G8" s="380">
        <v>7981.3869631499992</v>
      </c>
    </row>
    <row r="9" spans="1:7" ht="15.5">
      <c r="A9" s="1"/>
      <c r="B9" s="12" t="s">
        <v>169</v>
      </c>
      <c r="C9" s="13">
        <v>21938.653652952991</v>
      </c>
      <c r="D9" s="13">
        <v>21265.532396999999</v>
      </c>
      <c r="E9" s="13">
        <v>21978.812180000001</v>
      </c>
      <c r="F9" s="13">
        <v>23829.360186000002</v>
      </c>
      <c r="G9" s="380">
        <v>29647.467782</v>
      </c>
    </row>
    <row r="10" spans="1:7" ht="15.5">
      <c r="A10" s="1"/>
      <c r="B10" s="12" t="s">
        <v>170</v>
      </c>
      <c r="C10" s="13">
        <v>0</v>
      </c>
      <c r="D10" s="13">
        <v>702.67513899999994</v>
      </c>
      <c r="E10" s="13">
        <v>1557.0854939999999</v>
      </c>
      <c r="F10" s="13">
        <v>465</v>
      </c>
      <c r="G10" s="380">
        <v>750</v>
      </c>
    </row>
    <row r="11" spans="1:7">
      <c r="A11" s="225" t="s">
        <v>492</v>
      </c>
      <c r="B11" s="16" t="s">
        <v>171</v>
      </c>
      <c r="C11" s="18">
        <v>114815.55688885694</v>
      </c>
      <c r="D11" s="18">
        <v>107875.76950699999</v>
      </c>
      <c r="E11" s="18">
        <v>134676.356356</v>
      </c>
      <c r="F11" s="18">
        <v>166117.97621000002</v>
      </c>
      <c r="G11" s="287">
        <v>208995.54588684</v>
      </c>
    </row>
    <row r="12" spans="1:7" ht="15.5">
      <c r="A12" s="1"/>
      <c r="B12" s="82"/>
      <c r="C12" s="83"/>
      <c r="D12" s="83"/>
      <c r="E12" s="83"/>
      <c r="F12" s="83"/>
      <c r="G12" s="620"/>
    </row>
    <row r="13" spans="1:7" ht="15">
      <c r="A13" s="1"/>
      <c r="B13" s="78" t="s">
        <v>167</v>
      </c>
      <c r="C13" s="79">
        <v>2016</v>
      </c>
      <c r="D13" s="79">
        <v>2017</v>
      </c>
      <c r="E13" s="79">
        <v>2018</v>
      </c>
      <c r="F13" s="79">
        <v>2019</v>
      </c>
      <c r="G13" s="621">
        <v>2020</v>
      </c>
    </row>
    <row r="14" spans="1:7" ht="15.5">
      <c r="A14" s="1"/>
      <c r="B14" s="12" t="s">
        <v>172</v>
      </c>
      <c r="C14" s="13">
        <v>8110.48495</v>
      </c>
      <c r="D14" s="13">
        <v>8322.3125029999992</v>
      </c>
      <c r="E14" s="13">
        <v>7193.5210749999997</v>
      </c>
      <c r="F14" s="13">
        <v>43744.88183998</v>
      </c>
      <c r="G14" s="380">
        <v>47983.215443139998</v>
      </c>
    </row>
    <row r="15" spans="1:7" ht="15.5">
      <c r="A15" s="1"/>
      <c r="B15" s="12" t="s">
        <v>674</v>
      </c>
      <c r="C15" s="13">
        <v>36407.531726000001</v>
      </c>
      <c r="D15" s="13">
        <v>34950.36</v>
      </c>
      <c r="E15" s="13">
        <v>48526.724999999999</v>
      </c>
      <c r="F15" s="13">
        <v>55840.5</v>
      </c>
      <c r="G15" s="380">
        <v>81644.284842530004</v>
      </c>
    </row>
    <row r="16" spans="1:7" ht="15.5">
      <c r="A16" s="1"/>
      <c r="B16" s="12" t="s">
        <v>173</v>
      </c>
      <c r="C16" s="13">
        <v>7939.7152500000002</v>
      </c>
      <c r="D16" s="13">
        <v>7967.5199810000004</v>
      </c>
      <c r="E16" s="13">
        <v>7826.9033980000004</v>
      </c>
      <c r="F16" s="13">
        <v>10403.445011</v>
      </c>
      <c r="G16" s="380">
        <v>17637.024750880002</v>
      </c>
    </row>
    <row r="17" spans="1:7" ht="15.5">
      <c r="B17" s="12" t="s">
        <v>675</v>
      </c>
      <c r="C17" s="13">
        <v>0</v>
      </c>
      <c r="D17" s="13">
        <v>0</v>
      </c>
      <c r="E17" s="13">
        <v>111221.75999999999</v>
      </c>
      <c r="F17" s="13">
        <v>120987.75</v>
      </c>
      <c r="G17" s="380">
        <v>151338.72</v>
      </c>
    </row>
    <row r="18" spans="1:7" ht="15.5">
      <c r="B18" s="12" t="s">
        <v>174</v>
      </c>
      <c r="C18" s="13">
        <v>4732.4298449999997</v>
      </c>
      <c r="D18" s="13">
        <v>2879.3759279999999</v>
      </c>
      <c r="E18" s="13">
        <v>8549.504379</v>
      </c>
      <c r="F18" s="13">
        <v>4778.2111064999999</v>
      </c>
      <c r="G18" s="380">
        <v>12381.39003255</v>
      </c>
    </row>
    <row r="19" spans="1:7" ht="15.5">
      <c r="B19" s="12" t="s">
        <v>175</v>
      </c>
      <c r="C19" s="13">
        <v>2336.7507099999998</v>
      </c>
      <c r="D19" s="13">
        <v>2293.33840616</v>
      </c>
      <c r="E19" s="13">
        <v>2365.384125</v>
      </c>
      <c r="F19" s="13">
        <v>2890.2296939399998</v>
      </c>
      <c r="G19" s="380">
        <v>3578.1572996599998</v>
      </c>
    </row>
    <row r="20" spans="1:7" ht="15.5">
      <c r="B20" s="12" t="s">
        <v>176</v>
      </c>
      <c r="C20" s="13">
        <v>0</v>
      </c>
      <c r="D20" s="13">
        <v>2713.3992161199999</v>
      </c>
      <c r="E20" s="13">
        <v>0</v>
      </c>
      <c r="F20" s="13">
        <v>0</v>
      </c>
      <c r="G20" s="380">
        <v>0</v>
      </c>
    </row>
    <row r="21" spans="1:7" ht="15.5">
      <c r="B21" s="12" t="s">
        <v>177</v>
      </c>
      <c r="C21" s="13">
        <v>0</v>
      </c>
      <c r="D21" s="13">
        <v>0</v>
      </c>
      <c r="E21" s="13">
        <v>0</v>
      </c>
      <c r="F21" s="13">
        <v>304479.88132889004</v>
      </c>
      <c r="G21" s="380">
        <v>172754.18018920001</v>
      </c>
    </row>
    <row r="22" spans="1:7" ht="15.5">
      <c r="B22" s="12" t="s">
        <v>178</v>
      </c>
      <c r="C22" s="13">
        <v>0</v>
      </c>
      <c r="D22" s="13">
        <v>0</v>
      </c>
      <c r="E22" s="13">
        <v>79.830445150000003</v>
      </c>
      <c r="F22" s="13">
        <v>0</v>
      </c>
      <c r="G22" s="380">
        <v>71698.663217179987</v>
      </c>
    </row>
    <row r="23" spans="1:7">
      <c r="A23" s="225" t="s">
        <v>492</v>
      </c>
      <c r="B23" s="16" t="s">
        <v>179</v>
      </c>
      <c r="C23" s="18">
        <v>59526.912480999999</v>
      </c>
      <c r="D23" s="18">
        <v>59126.306034280002</v>
      </c>
      <c r="E23" s="18">
        <v>185763.62842214998</v>
      </c>
      <c r="F23" s="18">
        <v>543124.89898031007</v>
      </c>
      <c r="G23" s="287">
        <v>559015.6357751399</v>
      </c>
    </row>
    <row r="24" spans="1:7">
      <c r="B24" s="84"/>
      <c r="C24" s="85"/>
      <c r="D24" s="85"/>
      <c r="E24" s="85"/>
      <c r="F24" s="85"/>
      <c r="G24" s="85"/>
    </row>
    <row r="25" spans="1:7">
      <c r="A25" s="225" t="s">
        <v>492</v>
      </c>
      <c r="B25" s="16" t="s">
        <v>180</v>
      </c>
      <c r="C25" s="18">
        <v>174342.46936985693</v>
      </c>
      <c r="D25" s="18">
        <v>167002.07554127998</v>
      </c>
      <c r="E25" s="18">
        <v>320439.98477814998</v>
      </c>
      <c r="F25" s="18">
        <v>709242.87519031006</v>
      </c>
      <c r="G25" s="287">
        <v>768011.18166197988</v>
      </c>
    </row>
    <row r="26" spans="1:7">
      <c r="B26" s="1"/>
      <c r="C26" s="1"/>
      <c r="D26" s="1"/>
      <c r="E26" s="1"/>
      <c r="F26" s="1"/>
      <c r="G26" s="1"/>
    </row>
    <row r="27" spans="1:7">
      <c r="B27" s="1"/>
      <c r="C27" s="1"/>
      <c r="D27" s="1"/>
      <c r="E27" s="1"/>
      <c r="F27" s="1"/>
      <c r="G27" s="1"/>
    </row>
    <row r="28" spans="1:7">
      <c r="B28" s="1"/>
      <c r="C28" s="1"/>
      <c r="D28" s="1"/>
      <c r="E28" s="1"/>
      <c r="F28" s="1"/>
      <c r="G28" s="1"/>
    </row>
    <row r="29" spans="1:7" ht="15">
      <c r="A29" s="225" t="s">
        <v>492</v>
      </c>
      <c r="B29" s="19" t="s">
        <v>181</v>
      </c>
      <c r="C29" s="1"/>
      <c r="D29" s="1"/>
      <c r="E29" s="1"/>
      <c r="F29" s="1"/>
      <c r="G29" s="1"/>
    </row>
    <row r="30" spans="1:7" ht="15">
      <c r="B30" s="21" t="s">
        <v>2</v>
      </c>
      <c r="C30" s="1"/>
      <c r="D30" s="1"/>
      <c r="E30" s="1"/>
      <c r="F30" s="1"/>
      <c r="G30" s="1"/>
    </row>
    <row r="31" spans="1:7">
      <c r="B31" s="1"/>
      <c r="C31" s="1"/>
      <c r="D31" s="1"/>
      <c r="E31" s="1"/>
      <c r="F31" s="1"/>
      <c r="G31" s="1"/>
    </row>
    <row r="32" spans="1:7">
      <c r="B32" s="78"/>
      <c r="C32" s="79">
        <v>2016</v>
      </c>
      <c r="D32" s="79">
        <v>2017</v>
      </c>
      <c r="E32" s="79">
        <v>2018</v>
      </c>
      <c r="F32" s="79">
        <v>2019</v>
      </c>
      <c r="G32" s="79">
        <v>2020</v>
      </c>
    </row>
    <row r="33" spans="1:7">
      <c r="B33" s="12" t="s">
        <v>182</v>
      </c>
      <c r="C33" s="13">
        <v>319011.23347199999</v>
      </c>
      <c r="D33" s="13">
        <v>434209.73444799997</v>
      </c>
      <c r="E33" s="13">
        <v>600361.41854800005</v>
      </c>
      <c r="F33" s="13">
        <v>611438.19748800003</v>
      </c>
      <c r="G33" s="13">
        <v>747682.57845000003</v>
      </c>
    </row>
    <row r="34" spans="1:7">
      <c r="B34" s="86" t="s">
        <v>183</v>
      </c>
      <c r="C34" s="87">
        <v>288</v>
      </c>
      <c r="D34" s="87">
        <v>392</v>
      </c>
      <c r="E34" s="87">
        <v>542</v>
      </c>
      <c r="F34" s="87">
        <v>552</v>
      </c>
      <c r="G34" s="87">
        <v>675</v>
      </c>
    </row>
    <row r="35" spans="1:7">
      <c r="A35" s="225" t="s">
        <v>492</v>
      </c>
    </row>
    <row r="36" spans="1:7">
      <c r="B36" t="s">
        <v>709</v>
      </c>
    </row>
    <row r="37" spans="1:7">
      <c r="B37" t="s">
        <v>710</v>
      </c>
    </row>
  </sheetData>
  <hyperlinks>
    <hyperlink ref="A1" location="'Table of Contents'!A1" display="Return to Table of Contents" xr:uid="{00000000-0004-0000-0F00-000000000000}"/>
  </hyperlinks>
  <pageMargins left="0.7" right="0.7" top="0.75" bottom="0.75" header="0.3" footer="0.3"/>
  <pageSetup orientation="portrait" r:id="rId1"/>
  <customProperties>
    <customPr name="_pios_id" r:id="rId2"/>
    <customPr name="EpmWorksheetKeyString_GUID"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CA82E-F436-4B9D-8FC3-4E1280842801}">
  <dimension ref="A1:G39"/>
  <sheetViews>
    <sheetView showGridLines="0" zoomScale="90" zoomScaleNormal="90" workbookViewId="0">
      <selection activeCell="C42" sqref="C42"/>
    </sheetView>
  </sheetViews>
  <sheetFormatPr baseColWidth="10" defaultColWidth="11.453125" defaultRowHeight="14.5"/>
  <cols>
    <col min="1" max="1" width="11.453125" customWidth="1"/>
    <col min="2" max="2" width="27.453125" customWidth="1"/>
    <col min="3" max="3" width="51" customWidth="1"/>
    <col min="4" max="4" width="11.453125" customWidth="1"/>
    <col min="5" max="5" width="18.7265625" customWidth="1"/>
    <col min="6" max="6" width="11.453125" customWidth="1"/>
    <col min="7" max="7" width="13.54296875" customWidth="1"/>
  </cols>
  <sheetData>
    <row r="1" spans="1:7">
      <c r="A1" s="3" t="s">
        <v>686</v>
      </c>
    </row>
    <row r="3" spans="1:7" ht="15">
      <c r="B3" s="699" t="s">
        <v>1095</v>
      </c>
      <c r="C3" s="699"/>
      <c r="D3" s="699"/>
      <c r="E3" s="699"/>
      <c r="F3" s="699"/>
      <c r="G3" s="699"/>
    </row>
    <row r="4" spans="1:7" ht="75" customHeight="1">
      <c r="B4" s="574" t="s">
        <v>1096</v>
      </c>
      <c r="C4" s="574" t="s">
        <v>1097</v>
      </c>
      <c r="D4" s="574" t="s">
        <v>1098</v>
      </c>
      <c r="E4" s="574" t="s">
        <v>1099</v>
      </c>
      <c r="F4" s="574" t="s">
        <v>1100</v>
      </c>
      <c r="G4" s="574" t="s">
        <v>1101</v>
      </c>
    </row>
    <row r="5" spans="1:7" ht="16.5" customHeight="1">
      <c r="B5" s="700" t="s">
        <v>158</v>
      </c>
      <c r="C5" s="564" t="s">
        <v>1059</v>
      </c>
      <c r="D5" s="565">
        <v>0</v>
      </c>
      <c r="E5" s="566" t="s">
        <v>1060</v>
      </c>
      <c r="F5" s="567">
        <v>0.91</v>
      </c>
      <c r="G5" s="568">
        <v>5.6</v>
      </c>
    </row>
    <row r="6" spans="1:7" ht="17.25" customHeight="1">
      <c r="B6" s="701"/>
      <c r="C6" s="569" t="s">
        <v>1061</v>
      </c>
      <c r="D6" s="570">
        <v>0</v>
      </c>
      <c r="E6" s="571" t="s">
        <v>1062</v>
      </c>
      <c r="F6" s="567">
        <v>0.32</v>
      </c>
      <c r="G6" s="572">
        <v>1.2</v>
      </c>
    </row>
    <row r="7" spans="1:7" ht="16.5" customHeight="1">
      <c r="B7" s="702" t="s">
        <v>1063</v>
      </c>
      <c r="C7" s="569" t="s">
        <v>1064</v>
      </c>
      <c r="D7" s="570">
        <v>684.30000000000007</v>
      </c>
      <c r="E7" s="571" t="s">
        <v>1062</v>
      </c>
      <c r="F7" s="567">
        <v>0.99</v>
      </c>
      <c r="G7" s="572">
        <v>42.42</v>
      </c>
    </row>
    <row r="8" spans="1:7" ht="15">
      <c r="B8" s="703"/>
      <c r="C8" s="569" t="s">
        <v>1065</v>
      </c>
      <c r="D8" s="570">
        <v>351.7</v>
      </c>
      <c r="E8" s="571" t="s">
        <v>1066</v>
      </c>
      <c r="F8" s="567">
        <v>0.93</v>
      </c>
      <c r="G8" s="572">
        <v>14.13</v>
      </c>
    </row>
    <row r="9" spans="1:7" ht="15">
      <c r="B9" s="703"/>
      <c r="C9" s="569" t="s">
        <v>1067</v>
      </c>
      <c r="D9" s="570">
        <v>65</v>
      </c>
      <c r="E9" s="571" t="s">
        <v>1068</v>
      </c>
      <c r="F9" s="567">
        <v>0.47</v>
      </c>
      <c r="G9" s="572">
        <v>4.9000000000000004</v>
      </c>
    </row>
    <row r="10" spans="1:7" ht="15">
      <c r="B10" s="703"/>
      <c r="C10" s="569" t="s">
        <v>1069</v>
      </c>
      <c r="D10" s="570">
        <v>16</v>
      </c>
      <c r="E10" s="571" t="s">
        <v>1070</v>
      </c>
      <c r="F10" s="567">
        <v>0.47</v>
      </c>
      <c r="G10" s="572">
        <v>10.8</v>
      </c>
    </row>
    <row r="11" spans="1:7" ht="15">
      <c r="B11" s="703"/>
      <c r="C11" s="569" t="s">
        <v>1071</v>
      </c>
      <c r="D11" s="570">
        <v>289</v>
      </c>
      <c r="E11" s="571" t="s">
        <v>1072</v>
      </c>
      <c r="F11" s="567">
        <v>0.57999999999999996</v>
      </c>
      <c r="G11" s="572">
        <v>18.2</v>
      </c>
    </row>
    <row r="12" spans="1:7" ht="15">
      <c r="B12" s="701"/>
      <c r="C12" s="569" t="s">
        <v>1073</v>
      </c>
      <c r="D12" s="570">
        <v>275</v>
      </c>
      <c r="E12" s="571" t="s">
        <v>1074</v>
      </c>
      <c r="F12" s="567">
        <v>0.2</v>
      </c>
      <c r="G12" s="572">
        <v>9.4</v>
      </c>
    </row>
    <row r="13" spans="1:7" ht="15">
      <c r="B13" s="573" t="s">
        <v>1023</v>
      </c>
      <c r="C13" s="569" t="s">
        <v>1075</v>
      </c>
      <c r="D13" s="570">
        <v>8</v>
      </c>
      <c r="E13" s="571" t="s">
        <v>1076</v>
      </c>
      <c r="F13" s="567">
        <v>0.6</v>
      </c>
      <c r="G13" s="572">
        <v>0.1</v>
      </c>
    </row>
    <row r="14" spans="1:7" ht="15">
      <c r="B14" s="702" t="s">
        <v>978</v>
      </c>
      <c r="C14" s="569" t="s">
        <v>1077</v>
      </c>
      <c r="D14" s="570">
        <v>1248</v>
      </c>
      <c r="E14" s="573" t="s">
        <v>1078</v>
      </c>
      <c r="F14" s="567">
        <v>0.86</v>
      </c>
      <c r="G14" s="572">
        <v>21.7</v>
      </c>
    </row>
    <row r="15" spans="1:7" ht="15">
      <c r="B15" s="703"/>
      <c r="C15" s="569" t="s">
        <v>1079</v>
      </c>
      <c r="D15" s="570">
        <v>676</v>
      </c>
      <c r="E15" s="573" t="s">
        <v>1078</v>
      </c>
      <c r="F15" s="567">
        <v>0.86</v>
      </c>
      <c r="G15" s="572">
        <v>32.4</v>
      </c>
    </row>
    <row r="16" spans="1:7" ht="15">
      <c r="B16" s="703"/>
      <c r="C16" s="569" t="s">
        <v>1080</v>
      </c>
      <c r="D16" s="570">
        <v>79</v>
      </c>
      <c r="E16" s="573" t="s">
        <v>1078</v>
      </c>
      <c r="F16" s="567">
        <v>0.66</v>
      </c>
      <c r="G16" s="572">
        <v>14.3</v>
      </c>
    </row>
    <row r="17" spans="2:7" ht="15">
      <c r="B17" s="703"/>
      <c r="C17" s="569" t="s">
        <v>1081</v>
      </c>
      <c r="D17" s="570">
        <v>1115</v>
      </c>
      <c r="E17" s="573" t="s">
        <v>1082</v>
      </c>
      <c r="F17" s="567">
        <v>0.64</v>
      </c>
      <c r="G17" s="572">
        <v>81.2</v>
      </c>
    </row>
    <row r="18" spans="2:7" ht="15">
      <c r="B18" s="703"/>
      <c r="C18" s="569" t="s">
        <v>1083</v>
      </c>
      <c r="D18" s="570">
        <v>151</v>
      </c>
      <c r="E18" s="573" t="s">
        <v>1082</v>
      </c>
      <c r="F18" s="567">
        <v>0.99</v>
      </c>
      <c r="G18" s="572">
        <v>16.3</v>
      </c>
    </row>
    <row r="19" spans="2:7" ht="15">
      <c r="B19" s="703"/>
      <c r="C19" s="569" t="s">
        <v>1084</v>
      </c>
      <c r="D19" s="570">
        <v>4</v>
      </c>
      <c r="E19" s="573" t="s">
        <v>1082</v>
      </c>
      <c r="F19" s="567">
        <v>0.85</v>
      </c>
      <c r="G19" s="572">
        <v>12</v>
      </c>
    </row>
    <row r="20" spans="2:7" ht="15">
      <c r="B20" s="703"/>
      <c r="C20" s="569" t="s">
        <v>1085</v>
      </c>
      <c r="D20" s="570">
        <v>57</v>
      </c>
      <c r="E20" s="573" t="s">
        <v>1086</v>
      </c>
      <c r="F20" s="567">
        <v>0.52</v>
      </c>
      <c r="G20" s="572">
        <v>11.8</v>
      </c>
    </row>
    <row r="21" spans="2:7" ht="15">
      <c r="B21" s="703"/>
      <c r="C21" s="569" t="s">
        <v>1087</v>
      </c>
      <c r="D21" s="570">
        <v>37</v>
      </c>
      <c r="E21" s="573" t="s">
        <v>1088</v>
      </c>
      <c r="F21" s="567">
        <v>0.24</v>
      </c>
      <c r="G21" s="572">
        <v>1.3</v>
      </c>
    </row>
    <row r="22" spans="2:7" ht="15">
      <c r="B22" s="703"/>
      <c r="C22" s="569" t="s">
        <v>1089</v>
      </c>
      <c r="D22" s="570">
        <v>169</v>
      </c>
      <c r="E22" s="573" t="s">
        <v>1090</v>
      </c>
      <c r="F22" s="567">
        <v>0.23</v>
      </c>
      <c r="G22" s="572">
        <v>9.5</v>
      </c>
    </row>
    <row r="23" spans="2:7" ht="15">
      <c r="B23" s="701"/>
      <c r="C23" s="569" t="s">
        <v>1091</v>
      </c>
      <c r="D23" s="570">
        <v>173</v>
      </c>
      <c r="E23" s="573" t="s">
        <v>1090</v>
      </c>
      <c r="F23" s="567">
        <v>0.21</v>
      </c>
      <c r="G23" s="572">
        <v>9.8000000000000007</v>
      </c>
    </row>
    <row r="24" spans="2:7" ht="15">
      <c r="B24" s="702" t="s">
        <v>974</v>
      </c>
      <c r="C24" s="569" t="s">
        <v>1092</v>
      </c>
      <c r="D24" s="570">
        <v>771</v>
      </c>
      <c r="E24" s="573" t="s">
        <v>1066</v>
      </c>
      <c r="F24" s="567">
        <v>0.47</v>
      </c>
      <c r="G24" s="572">
        <v>40.6</v>
      </c>
    </row>
    <row r="25" spans="2:7" ht="15">
      <c r="B25" s="703"/>
      <c r="C25" s="569" t="s">
        <v>1093</v>
      </c>
      <c r="D25" s="570">
        <v>75</v>
      </c>
      <c r="E25" s="573" t="s">
        <v>1060</v>
      </c>
      <c r="F25" s="567">
        <v>0.87</v>
      </c>
      <c r="G25" s="572">
        <v>2.9</v>
      </c>
    </row>
    <row r="26" spans="2:7" ht="15">
      <c r="B26" s="701"/>
      <c r="C26" s="569" t="s">
        <v>1094</v>
      </c>
      <c r="D26" s="570">
        <v>29</v>
      </c>
      <c r="E26" s="573" t="s">
        <v>1060</v>
      </c>
      <c r="F26" s="567">
        <v>0.89</v>
      </c>
      <c r="G26" s="572">
        <v>3.5</v>
      </c>
    </row>
    <row r="27" spans="2:7">
      <c r="B27" s="276"/>
      <c r="C27" s="277"/>
      <c r="D27" s="278"/>
      <c r="E27" s="276"/>
      <c r="F27" s="279"/>
      <c r="G27" s="228"/>
    </row>
    <row r="28" spans="2:7" ht="15">
      <c r="B28" s="578" t="s">
        <v>1109</v>
      </c>
      <c r="C28" s="277"/>
      <c r="D28" s="278"/>
      <c r="E28" s="276"/>
      <c r="F28" s="279"/>
      <c r="G28" s="228"/>
    </row>
    <row r="29" spans="2:7">
      <c r="B29" s="280"/>
      <c r="C29" s="277"/>
      <c r="D29" s="278"/>
      <c r="E29" s="276"/>
      <c r="F29" s="279"/>
      <c r="G29" s="228"/>
    </row>
    <row r="30" spans="2:7" ht="15">
      <c r="B30" s="697" t="s">
        <v>1107</v>
      </c>
      <c r="C30" s="697"/>
      <c r="D30" s="697"/>
      <c r="E30" s="697"/>
      <c r="F30" s="697"/>
      <c r="G30" s="697"/>
    </row>
    <row r="31" spans="2:7" ht="15.5">
      <c r="B31" s="575" t="s">
        <v>158</v>
      </c>
      <c r="C31" s="576" t="s">
        <v>1102</v>
      </c>
      <c r="D31" s="570">
        <v>0</v>
      </c>
      <c r="E31" s="571">
        <v>44180</v>
      </c>
      <c r="F31" s="567"/>
      <c r="G31" s="572">
        <v>3.6</v>
      </c>
    </row>
    <row r="32" spans="2:7" ht="15.5">
      <c r="B32" s="575" t="s">
        <v>1063</v>
      </c>
      <c r="C32" s="569" t="s">
        <v>1103</v>
      </c>
      <c r="D32" s="570">
        <v>0</v>
      </c>
      <c r="E32" s="571">
        <v>44186</v>
      </c>
      <c r="F32" s="567"/>
      <c r="G32" s="572">
        <v>1.5</v>
      </c>
    </row>
    <row r="33" spans="2:7" ht="15.5">
      <c r="B33" s="575" t="s">
        <v>978</v>
      </c>
      <c r="C33" s="569" t="s">
        <v>1104</v>
      </c>
      <c r="D33" s="570">
        <v>18.2</v>
      </c>
      <c r="E33" s="571">
        <v>44179</v>
      </c>
      <c r="F33" s="567"/>
      <c r="G33" s="572">
        <v>5.6</v>
      </c>
    </row>
    <row r="34" spans="2:7" ht="15.5">
      <c r="B34" s="575" t="s">
        <v>700</v>
      </c>
      <c r="C34" s="569" t="s">
        <v>1105</v>
      </c>
      <c r="D34" s="570">
        <v>0</v>
      </c>
      <c r="E34" s="571">
        <v>44166</v>
      </c>
      <c r="F34" s="567"/>
      <c r="G34" s="572">
        <v>3.3</v>
      </c>
    </row>
    <row r="36" spans="2:7" ht="15">
      <c r="B36" s="698" t="s">
        <v>1106</v>
      </c>
      <c r="C36" s="697"/>
      <c r="D36" s="697"/>
      <c r="E36" s="697"/>
      <c r="F36" s="697"/>
      <c r="G36" s="697"/>
    </row>
    <row r="37" spans="2:7" ht="15.5">
      <c r="B37" s="577" t="s">
        <v>978</v>
      </c>
      <c r="C37" s="569" t="s">
        <v>1108</v>
      </c>
      <c r="D37" s="570">
        <v>0</v>
      </c>
      <c r="E37" s="571">
        <v>44089</v>
      </c>
      <c r="F37" s="567"/>
      <c r="G37" s="572">
        <v>14</v>
      </c>
    </row>
    <row r="39" spans="2:7" ht="15">
      <c r="B39" s="579" t="s">
        <v>1110</v>
      </c>
    </row>
  </sheetData>
  <mergeCells count="7">
    <mergeCell ref="B30:G30"/>
    <mergeCell ref="B36:G36"/>
    <mergeCell ref="B3:G3"/>
    <mergeCell ref="B5:B6"/>
    <mergeCell ref="B7:B12"/>
    <mergeCell ref="B14:B23"/>
    <mergeCell ref="B24:B26"/>
  </mergeCells>
  <hyperlinks>
    <hyperlink ref="A1" location="'Table of Contents'!A1" display="Return to Table of Contents" xr:uid="{00000000-0004-0000-1000-000000000000}"/>
  </hyperlinks>
  <pageMargins left="0.7" right="0.7" top="0.75" bottom="0.75" header="0.3" footer="0.3"/>
  <pageSetup orientation="portrait"/>
  <customProperties>
    <customPr name="_pios_id" r:id="rId1"/>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08"/>
  <sheetViews>
    <sheetView showGridLines="0" zoomScale="85" zoomScaleNormal="85" workbookViewId="0">
      <pane xSplit="2" ySplit="6" topLeftCell="N16" activePane="bottomRight" state="frozen"/>
      <selection pane="topRight" activeCell="C1" sqref="C1"/>
      <selection pane="bottomLeft" activeCell="A7" sqref="A7"/>
      <selection pane="bottomRight" activeCell="B1" sqref="A1:B1"/>
    </sheetView>
  </sheetViews>
  <sheetFormatPr baseColWidth="10" defaultColWidth="10.81640625" defaultRowHeight="14.5"/>
  <cols>
    <col min="1" max="1" width="4.7265625" style="5" customWidth="1"/>
    <col min="2" max="2" width="53.26953125" style="5" customWidth="1"/>
    <col min="3" max="15" width="15.1796875" style="5" customWidth="1"/>
    <col min="16" max="16" width="14.7265625" customWidth="1"/>
    <col min="41" max="41" width="12.26953125" bestFit="1" customWidth="1"/>
    <col min="44" max="16384" width="10.81640625" style="5"/>
  </cols>
  <sheetData>
    <row r="1" spans="1:16">
      <c r="A1" s="3" t="s">
        <v>686</v>
      </c>
    </row>
    <row r="3" spans="1:16" ht="15.5">
      <c r="B3" s="19" t="s">
        <v>1</v>
      </c>
      <c r="C3" s="6"/>
      <c r="D3" s="6"/>
      <c r="E3" s="7"/>
      <c r="F3" s="6"/>
      <c r="G3" s="6"/>
      <c r="H3" s="6"/>
      <c r="I3" s="7"/>
      <c r="J3" s="6"/>
      <c r="K3" s="6"/>
      <c r="L3" s="6"/>
      <c r="M3" s="7"/>
      <c r="N3" s="6"/>
    </row>
    <row r="4" spans="1:16" ht="15">
      <c r="B4" s="21" t="s">
        <v>2</v>
      </c>
      <c r="C4" s="8"/>
      <c r="D4" s="8"/>
      <c r="E4" s="8"/>
      <c r="F4" s="8"/>
      <c r="G4" s="8"/>
      <c r="H4" s="8"/>
      <c r="I4" s="8"/>
      <c r="J4" s="8"/>
      <c r="K4" s="8"/>
      <c r="L4" s="8"/>
      <c r="M4" s="8"/>
      <c r="N4" s="8"/>
    </row>
    <row r="5" spans="1:16" ht="15.5">
      <c r="B5" s="9"/>
      <c r="C5" s="9"/>
      <c r="D5" s="9"/>
      <c r="E5" s="9"/>
      <c r="F5" s="9"/>
      <c r="G5" s="9"/>
      <c r="H5" s="9"/>
      <c r="I5" s="9"/>
      <c r="J5" s="9"/>
      <c r="K5" s="9"/>
      <c r="L5" s="9"/>
      <c r="M5" s="9"/>
      <c r="N5" s="9"/>
    </row>
    <row r="6" spans="1:16">
      <c r="B6" s="49"/>
      <c r="C6" s="49">
        <v>2016</v>
      </c>
      <c r="D6" s="49">
        <v>2017</v>
      </c>
      <c r="E6" s="49" t="s">
        <v>3</v>
      </c>
      <c r="F6" s="49" t="s">
        <v>4</v>
      </c>
      <c r="G6" s="49" t="s">
        <v>5</v>
      </c>
      <c r="H6" s="49" t="s">
        <v>6</v>
      </c>
      <c r="I6" s="49" t="s">
        <v>7</v>
      </c>
      <c r="J6" s="49" t="s">
        <v>8</v>
      </c>
      <c r="K6" s="49" t="s">
        <v>9</v>
      </c>
      <c r="L6" s="49" t="s">
        <v>10</v>
      </c>
      <c r="M6" s="49" t="s">
        <v>11</v>
      </c>
      <c r="N6" s="49" t="s">
        <v>12</v>
      </c>
      <c r="O6" s="343" t="s">
        <v>685</v>
      </c>
      <c r="P6" s="90" t="s">
        <v>1111</v>
      </c>
    </row>
    <row r="7" spans="1:16">
      <c r="B7" s="10"/>
      <c r="C7" s="11"/>
      <c r="D7" s="11"/>
      <c r="E7" s="11"/>
      <c r="F7" s="11"/>
      <c r="G7" s="11"/>
      <c r="H7" s="11"/>
      <c r="I7" s="11"/>
      <c r="J7" s="11"/>
      <c r="K7" s="11"/>
      <c r="L7" s="11"/>
      <c r="M7" s="11"/>
      <c r="N7" s="11"/>
      <c r="O7" s="181"/>
    </row>
    <row r="8" spans="1:16">
      <c r="B8" s="12" t="s">
        <v>13</v>
      </c>
      <c r="C8" s="13">
        <v>1303189</v>
      </c>
      <c r="D8" s="13">
        <v>777045</v>
      </c>
      <c r="E8" s="13">
        <v>151913</v>
      </c>
      <c r="F8" s="13">
        <v>174569</v>
      </c>
      <c r="G8" s="13">
        <v>145130</v>
      </c>
      <c r="H8" s="13">
        <v>519400</v>
      </c>
      <c r="I8" s="13">
        <v>222479</v>
      </c>
      <c r="J8" s="13">
        <v>368582</v>
      </c>
      <c r="K8" s="13">
        <v>330344</v>
      </c>
      <c r="L8" s="13">
        <v>519864</v>
      </c>
      <c r="M8" s="13">
        <v>315675</v>
      </c>
      <c r="N8" s="13">
        <v>392306</v>
      </c>
      <c r="O8" s="13">
        <v>617628</v>
      </c>
      <c r="P8" s="13">
        <f>2194300-O8-N8-M8</f>
        <v>868691</v>
      </c>
    </row>
    <row r="9" spans="1:16">
      <c r="B9" s="12" t="s">
        <v>14</v>
      </c>
      <c r="C9" s="13">
        <v>1259856</v>
      </c>
      <c r="D9" s="13">
        <v>751031</v>
      </c>
      <c r="E9" s="13">
        <v>143392</v>
      </c>
      <c r="F9" s="13">
        <v>168951</v>
      </c>
      <c r="G9" s="13">
        <v>134987</v>
      </c>
      <c r="H9" s="13">
        <v>209921</v>
      </c>
      <c r="I9" s="13">
        <v>134437</v>
      </c>
      <c r="J9" s="13">
        <v>206523</v>
      </c>
      <c r="K9" s="13">
        <v>241195</v>
      </c>
      <c r="L9" s="13">
        <v>373468</v>
      </c>
      <c r="M9" s="13">
        <v>296938</v>
      </c>
      <c r="N9" s="13">
        <v>372794</v>
      </c>
      <c r="O9" s="13">
        <v>473739</v>
      </c>
      <c r="P9" s="13">
        <f>1628854-O9-N9-M9</f>
        <v>485383</v>
      </c>
    </row>
    <row r="10" spans="1:16">
      <c r="B10" s="14" t="s">
        <v>15</v>
      </c>
      <c r="C10" s="15">
        <v>43333</v>
      </c>
      <c r="D10" s="15">
        <v>26014</v>
      </c>
      <c r="E10" s="15">
        <v>8521</v>
      </c>
      <c r="F10" s="15">
        <v>5618</v>
      </c>
      <c r="G10" s="15">
        <v>10143</v>
      </c>
      <c r="H10" s="15">
        <v>309479</v>
      </c>
      <c r="I10" s="15">
        <v>88042</v>
      </c>
      <c r="J10" s="15">
        <v>162059</v>
      </c>
      <c r="K10" s="15">
        <v>89149</v>
      </c>
      <c r="L10" s="15">
        <v>146396</v>
      </c>
      <c r="M10" s="15">
        <v>18737</v>
      </c>
      <c r="N10" s="15">
        <v>19512</v>
      </c>
      <c r="O10" s="15">
        <v>143889</v>
      </c>
      <c r="P10" s="15">
        <f>+P8-P9</f>
        <v>383308</v>
      </c>
    </row>
    <row r="11" spans="1:16">
      <c r="B11" s="12"/>
      <c r="C11" s="13"/>
      <c r="D11" s="13"/>
      <c r="E11" s="13"/>
      <c r="F11" s="13"/>
      <c r="G11" s="13"/>
      <c r="H11" s="13"/>
      <c r="I11" s="13"/>
      <c r="J11" s="13"/>
      <c r="K11" s="13"/>
      <c r="L11" s="13"/>
      <c r="M11" s="13"/>
      <c r="N11" s="13"/>
      <c r="O11" s="13"/>
      <c r="P11" s="13"/>
    </row>
    <row r="12" spans="1:16">
      <c r="B12" s="12" t="s">
        <v>16</v>
      </c>
      <c r="C12" s="13">
        <v>8738226</v>
      </c>
      <c r="D12" s="13">
        <v>4335715</v>
      </c>
      <c r="E12" s="13">
        <v>969721</v>
      </c>
      <c r="F12" s="13">
        <v>910044</v>
      </c>
      <c r="G12" s="13">
        <v>1378425</v>
      </c>
      <c r="H12" s="13">
        <v>1144556</v>
      </c>
      <c r="I12" s="13">
        <v>1140208</v>
      </c>
      <c r="J12" s="13">
        <v>1258709</v>
      </c>
      <c r="K12" s="13">
        <v>1158653</v>
      </c>
      <c r="L12" s="13">
        <v>1225917</v>
      </c>
      <c r="M12" s="13">
        <v>1307469</v>
      </c>
      <c r="N12" s="13">
        <v>1810003</v>
      </c>
      <c r="O12" s="13">
        <v>1297177</v>
      </c>
      <c r="P12" s="13">
        <f>4915021+1056979-O12-N12-M12</f>
        <v>1557351</v>
      </c>
    </row>
    <row r="13" spans="1:16">
      <c r="B13" s="12" t="s">
        <v>17</v>
      </c>
      <c r="C13" s="13">
        <v>211553</v>
      </c>
      <c r="D13" s="13">
        <v>223979</v>
      </c>
      <c r="E13" s="13">
        <v>56086</v>
      </c>
      <c r="F13" s="13">
        <v>57126</v>
      </c>
      <c r="G13" s="13">
        <v>59056</v>
      </c>
      <c r="H13" s="13">
        <v>60620</v>
      </c>
      <c r="I13" s="13">
        <v>58700</v>
      </c>
      <c r="J13" s="13">
        <v>60150</v>
      </c>
      <c r="K13" s="13">
        <v>62983</v>
      </c>
      <c r="L13" s="13">
        <v>61922</v>
      </c>
      <c r="M13" s="13">
        <v>62775</v>
      </c>
      <c r="N13" s="13">
        <v>63492</v>
      </c>
      <c r="O13" s="13">
        <v>65946</v>
      </c>
      <c r="P13" s="13">
        <f>260201-O13-N13-M13</f>
        <v>67988</v>
      </c>
    </row>
    <row r="14" spans="1:16">
      <c r="B14" s="12" t="s">
        <v>18</v>
      </c>
      <c r="C14" s="13">
        <v>1126331</v>
      </c>
      <c r="D14" s="13">
        <v>1088430</v>
      </c>
      <c r="E14" s="13">
        <v>265986</v>
      </c>
      <c r="F14" s="13">
        <v>253788</v>
      </c>
      <c r="G14" s="13">
        <v>230163</v>
      </c>
      <c r="H14" s="13">
        <v>265923</v>
      </c>
      <c r="I14" s="13">
        <v>261113</v>
      </c>
      <c r="J14" s="13">
        <v>272995</v>
      </c>
      <c r="K14" s="13">
        <v>274916</v>
      </c>
      <c r="L14" s="13">
        <v>280055</v>
      </c>
      <c r="M14" s="13">
        <v>238508</v>
      </c>
      <c r="N14" s="13">
        <v>261797</v>
      </c>
      <c r="O14" s="13">
        <v>253735</v>
      </c>
      <c r="P14" s="13">
        <f>1120376-O14-N14-M14</f>
        <v>366336</v>
      </c>
    </row>
    <row r="15" spans="1:16">
      <c r="B15" s="12" t="s">
        <v>19</v>
      </c>
      <c r="C15" s="13">
        <v>75112</v>
      </c>
      <c r="D15" s="13">
        <v>83402</v>
      </c>
      <c r="E15" s="13">
        <v>21235</v>
      </c>
      <c r="F15" s="13">
        <v>21477</v>
      </c>
      <c r="G15" s="13">
        <v>21604</v>
      </c>
      <c r="H15" s="13">
        <v>21653</v>
      </c>
      <c r="I15" s="13">
        <v>22759</v>
      </c>
      <c r="J15" s="13">
        <v>23083</v>
      </c>
      <c r="K15" s="13">
        <v>23273</v>
      </c>
      <c r="L15" s="13">
        <v>23398</v>
      </c>
      <c r="M15" s="13">
        <v>25324</v>
      </c>
      <c r="N15" s="13">
        <v>25662</v>
      </c>
      <c r="O15" s="13">
        <v>25439</v>
      </c>
      <c r="P15" s="13">
        <f>101969-O15-N15-M15</f>
        <v>25544</v>
      </c>
    </row>
    <row r="16" spans="1:16">
      <c r="B16" s="12" t="s">
        <v>20</v>
      </c>
      <c r="C16" s="13">
        <v>39625</v>
      </c>
      <c r="D16" s="13">
        <v>32644</v>
      </c>
      <c r="E16" s="13">
        <v>7275</v>
      </c>
      <c r="F16" s="13">
        <v>10330</v>
      </c>
      <c r="G16" s="13">
        <v>9911</v>
      </c>
      <c r="H16" s="13">
        <v>13137</v>
      </c>
      <c r="I16" s="13">
        <v>10535</v>
      </c>
      <c r="J16" s="13">
        <v>12341</v>
      </c>
      <c r="K16" s="13">
        <v>13277</v>
      </c>
      <c r="L16" s="13">
        <v>12572</v>
      </c>
      <c r="M16" s="13">
        <v>12167</v>
      </c>
      <c r="N16" s="13">
        <v>13982</v>
      </c>
      <c r="O16" s="13">
        <v>13188</v>
      </c>
      <c r="P16" s="13">
        <f>53754-O16-N16-M16</f>
        <v>14417</v>
      </c>
    </row>
    <row r="17" spans="2:16">
      <c r="B17" s="12" t="s">
        <v>21</v>
      </c>
      <c r="C17" s="13">
        <v>337167</v>
      </c>
      <c r="D17" s="13">
        <v>345386</v>
      </c>
      <c r="E17" s="13">
        <v>80606</v>
      </c>
      <c r="F17" s="13">
        <v>80373</v>
      </c>
      <c r="G17" s="13">
        <v>78648</v>
      </c>
      <c r="H17" s="13">
        <v>85095</v>
      </c>
      <c r="I17" s="13">
        <v>82804</v>
      </c>
      <c r="J17" s="13">
        <v>87319</v>
      </c>
      <c r="K17" s="13">
        <v>87360</v>
      </c>
      <c r="L17" s="13">
        <v>101557</v>
      </c>
      <c r="M17" s="13">
        <v>90327</v>
      </c>
      <c r="N17" s="13">
        <v>96428</v>
      </c>
      <c r="O17" s="13">
        <v>96017</v>
      </c>
      <c r="P17" s="13">
        <f>379168-O17-N17-M17</f>
        <v>96396</v>
      </c>
    </row>
    <row r="18" spans="2:16">
      <c r="B18" s="12" t="s">
        <v>22</v>
      </c>
      <c r="C18" s="13">
        <v>61423</v>
      </c>
      <c r="D18" s="13">
        <v>67664</v>
      </c>
      <c r="E18" s="13">
        <v>78364</v>
      </c>
      <c r="F18" s="13">
        <v>20591</v>
      </c>
      <c r="G18" s="13">
        <v>22017</v>
      </c>
      <c r="H18" s="13">
        <v>19889</v>
      </c>
      <c r="I18" s="13">
        <v>17567</v>
      </c>
      <c r="J18" s="13">
        <v>18145</v>
      </c>
      <c r="K18" s="13">
        <v>20543</v>
      </c>
      <c r="L18" s="13">
        <v>24885</v>
      </c>
      <c r="M18" s="13">
        <v>17328</v>
      </c>
      <c r="N18" s="13">
        <v>17268</v>
      </c>
      <c r="O18" s="13">
        <v>21536</v>
      </c>
      <c r="P18" s="13">
        <f>86058-O18-N18-M18</f>
        <v>29926</v>
      </c>
    </row>
    <row r="19" spans="2:16">
      <c r="B19" s="12" t="s">
        <v>23</v>
      </c>
      <c r="C19" s="13">
        <v>1708947</v>
      </c>
      <c r="D19" s="13">
        <v>1764077</v>
      </c>
      <c r="E19" s="13">
        <v>417515</v>
      </c>
      <c r="F19" s="13">
        <v>413924</v>
      </c>
      <c r="G19" s="13">
        <v>416013</v>
      </c>
      <c r="H19" s="13">
        <v>517759</v>
      </c>
      <c r="I19" s="13">
        <v>454460</v>
      </c>
      <c r="J19" s="13">
        <v>469804</v>
      </c>
      <c r="K19" s="13">
        <v>484688</v>
      </c>
      <c r="L19" s="13">
        <v>488827</v>
      </c>
      <c r="M19" s="13">
        <v>453207</v>
      </c>
      <c r="N19" s="13">
        <v>455659</v>
      </c>
      <c r="O19" s="13">
        <v>436740</v>
      </c>
      <c r="P19" s="13">
        <f>1965513-O19-N19-M19</f>
        <v>619907</v>
      </c>
    </row>
    <row r="20" spans="2:16">
      <c r="B20" s="14" t="s">
        <v>24</v>
      </c>
      <c r="C20" s="15">
        <v>8880490</v>
      </c>
      <c r="D20" s="15">
        <v>4413143</v>
      </c>
      <c r="E20" s="15">
        <v>1061758</v>
      </c>
      <c r="F20" s="15">
        <v>939805</v>
      </c>
      <c r="G20" s="15">
        <v>1383811</v>
      </c>
      <c r="H20" s="15">
        <v>1093114</v>
      </c>
      <c r="I20" s="15">
        <v>1139226</v>
      </c>
      <c r="J20" s="15">
        <v>1262938</v>
      </c>
      <c r="K20" s="15">
        <v>1156317</v>
      </c>
      <c r="L20" s="15">
        <v>1241479</v>
      </c>
      <c r="M20" s="15">
        <v>1300691</v>
      </c>
      <c r="N20" s="15">
        <v>1832973</v>
      </c>
      <c r="O20" s="15">
        <v>1336298</v>
      </c>
      <c r="P20" s="15">
        <f>+SUM(P12:P18)-P19</f>
        <v>1538051</v>
      </c>
    </row>
    <row r="21" spans="2:16">
      <c r="B21" s="16" t="s">
        <v>25</v>
      </c>
      <c r="C21" s="17">
        <v>8923823</v>
      </c>
      <c r="D21" s="17">
        <v>4439157</v>
      </c>
      <c r="E21" s="17">
        <v>1070279</v>
      </c>
      <c r="F21" s="17">
        <v>945423</v>
      </c>
      <c r="G21" s="17">
        <v>1393954</v>
      </c>
      <c r="H21" s="17">
        <v>1402593</v>
      </c>
      <c r="I21" s="17">
        <v>1227268</v>
      </c>
      <c r="J21" s="17">
        <v>1424997</v>
      </c>
      <c r="K21" s="17">
        <v>1245466</v>
      </c>
      <c r="L21" s="17">
        <v>1387875</v>
      </c>
      <c r="M21" s="17">
        <v>1319428</v>
      </c>
      <c r="N21" s="17">
        <v>1852485</v>
      </c>
      <c r="O21" s="344">
        <v>1480187</v>
      </c>
      <c r="P21" s="344">
        <f>+P10+P20</f>
        <v>1921359</v>
      </c>
    </row>
    <row r="22" spans="2:16">
      <c r="B22" s="10"/>
      <c r="C22" s="11"/>
      <c r="D22" s="11"/>
      <c r="E22" s="11"/>
      <c r="F22" s="11"/>
      <c r="G22" s="11"/>
      <c r="H22" s="11"/>
      <c r="I22" s="11"/>
      <c r="J22" s="11"/>
      <c r="K22" s="11"/>
      <c r="L22" s="11"/>
      <c r="M22" s="11"/>
      <c r="N22" s="11"/>
      <c r="O22" s="181"/>
      <c r="P22" s="181"/>
    </row>
    <row r="23" spans="2:16">
      <c r="B23" s="12" t="s">
        <v>26</v>
      </c>
      <c r="C23" s="13">
        <v>668843</v>
      </c>
      <c r="D23" s="13">
        <v>630639</v>
      </c>
      <c r="E23" s="13">
        <v>181503</v>
      </c>
      <c r="F23" s="13">
        <v>184218</v>
      </c>
      <c r="G23" s="13">
        <v>200071</v>
      </c>
      <c r="H23" s="13">
        <v>215324</v>
      </c>
      <c r="I23" s="13">
        <v>188306</v>
      </c>
      <c r="J23" s="13">
        <v>199288</v>
      </c>
      <c r="K23" s="13">
        <v>215028</v>
      </c>
      <c r="L23" s="13">
        <v>222683</v>
      </c>
      <c r="M23" s="13">
        <v>230613</v>
      </c>
      <c r="N23" s="13">
        <v>247392</v>
      </c>
      <c r="O23" s="13">
        <v>270115</v>
      </c>
      <c r="P23" s="13">
        <f>996830-O23-N23-M23</f>
        <v>248710</v>
      </c>
    </row>
    <row r="24" spans="2:16">
      <c r="B24" s="12" t="s">
        <v>27</v>
      </c>
      <c r="C24" s="13">
        <v>233690</v>
      </c>
      <c r="D24" s="13">
        <v>139291</v>
      </c>
      <c r="E24" s="13">
        <v>37879</v>
      </c>
      <c r="F24" s="13">
        <v>39191</v>
      </c>
      <c r="G24" s="13">
        <v>112373</v>
      </c>
      <c r="H24" s="13">
        <v>48931</v>
      </c>
      <c r="I24" s="13">
        <v>35000</v>
      </c>
      <c r="J24" s="13">
        <v>60841</v>
      </c>
      <c r="K24" s="13">
        <v>75155</v>
      </c>
      <c r="L24" s="13">
        <v>42732</v>
      </c>
      <c r="M24" s="13">
        <v>64790</v>
      </c>
      <c r="N24" s="13">
        <v>-24921</v>
      </c>
      <c r="O24" s="13">
        <v>79510</v>
      </c>
      <c r="P24" s="13">
        <f>519366-O24-N24-M24</f>
        <v>399987</v>
      </c>
    </row>
    <row r="25" spans="2:16">
      <c r="B25" s="12" t="s">
        <v>28</v>
      </c>
      <c r="C25" s="13">
        <v>14564</v>
      </c>
      <c r="D25" s="13">
        <v>179116</v>
      </c>
      <c r="E25" s="13">
        <v>10184</v>
      </c>
      <c r="F25" s="13">
        <v>20650</v>
      </c>
      <c r="G25" s="13">
        <v>12733</v>
      </c>
      <c r="H25" s="13">
        <v>-41341</v>
      </c>
      <c r="I25" s="13">
        <v>8045</v>
      </c>
      <c r="J25" s="13">
        <v>3628</v>
      </c>
      <c r="K25" s="13">
        <v>5987</v>
      </c>
      <c r="L25" s="13">
        <v>52152</v>
      </c>
      <c r="M25" s="13">
        <v>9555</v>
      </c>
      <c r="N25" s="13">
        <v>97334</v>
      </c>
      <c r="O25" s="13">
        <v>-1327</v>
      </c>
      <c r="P25" s="13">
        <f>115334-O25-N25-M25</f>
        <v>9772</v>
      </c>
    </row>
    <row r="26" spans="2:16">
      <c r="B26" s="16" t="s">
        <v>29</v>
      </c>
      <c r="C26" s="18">
        <v>8503234</v>
      </c>
      <c r="D26" s="18">
        <v>4126925</v>
      </c>
      <c r="E26" s="18">
        <v>936839</v>
      </c>
      <c r="F26" s="18">
        <v>821046</v>
      </c>
      <c r="G26" s="18">
        <v>1318989</v>
      </c>
      <c r="H26" s="18">
        <v>1194859</v>
      </c>
      <c r="I26" s="18">
        <v>1082007</v>
      </c>
      <c r="J26" s="18">
        <v>1290178</v>
      </c>
      <c r="K26" s="18">
        <v>1111580</v>
      </c>
      <c r="L26" s="18">
        <v>1260076</v>
      </c>
      <c r="M26" s="18">
        <v>1163160</v>
      </c>
      <c r="N26" s="18">
        <v>1677506</v>
      </c>
      <c r="O26" s="345">
        <v>1288255</v>
      </c>
      <c r="P26" s="345">
        <f>+P21-P23+P24+P25</f>
        <v>2082408</v>
      </c>
    </row>
    <row r="27" spans="2:16">
      <c r="B27" s="12"/>
      <c r="C27" s="13"/>
      <c r="D27" s="13"/>
      <c r="E27" s="13"/>
      <c r="F27" s="13"/>
      <c r="G27" s="13"/>
      <c r="H27" s="13"/>
      <c r="I27" s="13"/>
      <c r="J27" s="13"/>
      <c r="K27" s="13"/>
      <c r="L27" s="13"/>
      <c r="M27" s="13"/>
      <c r="N27" s="13"/>
      <c r="O27" s="13"/>
      <c r="P27" s="13"/>
    </row>
    <row r="28" spans="2:16">
      <c r="B28" s="12" t="s">
        <v>30</v>
      </c>
      <c r="C28" s="13">
        <v>-1033341</v>
      </c>
      <c r="D28" s="13">
        <v>-866819</v>
      </c>
      <c r="E28" s="13">
        <v>-282504</v>
      </c>
      <c r="F28" s="13">
        <v>-257605</v>
      </c>
      <c r="G28" s="13">
        <v>-287933</v>
      </c>
      <c r="H28" s="13">
        <v>-259570</v>
      </c>
      <c r="I28" s="13">
        <v>-267279</v>
      </c>
      <c r="J28" s="13">
        <v>-335663</v>
      </c>
      <c r="K28" s="13">
        <v>-308126</v>
      </c>
      <c r="L28" s="13">
        <v>-301596</v>
      </c>
      <c r="M28" s="13">
        <v>-336026</v>
      </c>
      <c r="N28" s="13">
        <v>-299787</v>
      </c>
      <c r="O28" s="13">
        <v>-294009</v>
      </c>
      <c r="P28" s="13">
        <f>-1372872-O28-N28-M28</f>
        <v>-443050</v>
      </c>
    </row>
    <row r="29" spans="2:16">
      <c r="B29" s="16" t="s">
        <v>31</v>
      </c>
      <c r="C29" s="18">
        <v>7469893</v>
      </c>
      <c r="D29" s="18">
        <v>3260106</v>
      </c>
      <c r="E29" s="18">
        <v>654335</v>
      </c>
      <c r="F29" s="18">
        <v>563441</v>
      </c>
      <c r="G29" s="18">
        <v>1031056</v>
      </c>
      <c r="H29" s="18">
        <v>935289</v>
      </c>
      <c r="I29" s="18">
        <v>814728</v>
      </c>
      <c r="J29" s="18">
        <v>954515</v>
      </c>
      <c r="K29" s="18">
        <v>803454</v>
      </c>
      <c r="L29" s="18">
        <v>958480</v>
      </c>
      <c r="M29" s="18">
        <v>827134</v>
      </c>
      <c r="N29" s="18">
        <v>1377719</v>
      </c>
      <c r="O29" s="345">
        <v>994246</v>
      </c>
      <c r="P29" s="345">
        <f>+P26+P28</f>
        <v>1639358</v>
      </c>
    </row>
    <row r="30" spans="2:16">
      <c r="B30" s="10"/>
      <c r="C30" s="11"/>
      <c r="D30" s="11"/>
      <c r="E30" s="11"/>
      <c r="F30" s="11"/>
      <c r="G30" s="11"/>
      <c r="H30" s="11"/>
      <c r="I30" s="11"/>
      <c r="J30" s="11"/>
      <c r="K30" s="11"/>
      <c r="L30" s="11"/>
      <c r="M30" s="11"/>
      <c r="N30" s="11"/>
      <c r="O30" s="181"/>
      <c r="P30" s="181"/>
    </row>
    <row r="31" spans="2:16">
      <c r="B31" s="12" t="s">
        <v>32</v>
      </c>
      <c r="C31" s="13">
        <v>2452158</v>
      </c>
      <c r="D31" s="13">
        <v>916298</v>
      </c>
      <c r="E31" s="13">
        <v>193757</v>
      </c>
      <c r="F31" s="13">
        <v>182166</v>
      </c>
      <c r="G31" s="13">
        <v>248363</v>
      </c>
      <c r="H31" s="13">
        <v>-40559</v>
      </c>
      <c r="I31" s="13">
        <v>233948</v>
      </c>
      <c r="J31" s="13">
        <v>240825</v>
      </c>
      <c r="K31" s="13">
        <v>158852</v>
      </c>
      <c r="L31" s="13">
        <v>139191</v>
      </c>
      <c r="M31" s="13">
        <v>198865</v>
      </c>
      <c r="N31" s="13">
        <v>377798</v>
      </c>
      <c r="O31" s="13">
        <v>250380</v>
      </c>
      <c r="P31" s="13">
        <f>1074232-O31-N31-M31</f>
        <v>247189</v>
      </c>
    </row>
    <row r="32" spans="2:16">
      <c r="B32" s="16" t="s">
        <v>33</v>
      </c>
      <c r="C32" s="18">
        <v>5017735</v>
      </c>
      <c r="D32" s="18">
        <v>2343808</v>
      </c>
      <c r="E32" s="18">
        <v>460578</v>
      </c>
      <c r="F32" s="18">
        <v>381275</v>
      </c>
      <c r="G32" s="18">
        <v>782693</v>
      </c>
      <c r="H32" s="18">
        <v>975848</v>
      </c>
      <c r="I32" s="18">
        <v>580780</v>
      </c>
      <c r="J32" s="18">
        <v>713690</v>
      </c>
      <c r="K32" s="18">
        <v>644602</v>
      </c>
      <c r="L32" s="18">
        <v>819289</v>
      </c>
      <c r="M32" s="18">
        <v>628269</v>
      </c>
      <c r="N32" s="18">
        <v>999921</v>
      </c>
      <c r="O32" s="345">
        <v>743866</v>
      </c>
      <c r="P32" s="345">
        <f>+P29-P31</f>
        <v>1392169</v>
      </c>
    </row>
    <row r="33" spans="2:16">
      <c r="B33" s="14"/>
      <c r="C33" s="15"/>
      <c r="D33" s="15"/>
      <c r="E33" s="15"/>
      <c r="F33" s="15"/>
      <c r="G33" s="15"/>
      <c r="H33" s="15"/>
      <c r="I33" s="15"/>
      <c r="J33" s="15"/>
      <c r="K33" s="15"/>
      <c r="L33" s="15"/>
      <c r="M33" s="15"/>
      <c r="N33" s="15"/>
      <c r="O33" s="15"/>
      <c r="P33" s="15"/>
    </row>
    <row r="34" spans="2:16">
      <c r="B34" s="12" t="s">
        <v>34</v>
      </c>
      <c r="C34" s="13">
        <v>2881106</v>
      </c>
      <c r="D34" s="13">
        <v>905872</v>
      </c>
      <c r="E34" s="13">
        <v>163004</v>
      </c>
      <c r="F34" s="13">
        <v>149018</v>
      </c>
      <c r="G34" s="13">
        <v>369666</v>
      </c>
      <c r="H34" s="13">
        <v>394324</v>
      </c>
      <c r="I34" s="13">
        <v>227655</v>
      </c>
      <c r="J34" s="13">
        <v>274600</v>
      </c>
      <c r="K34" s="13">
        <v>238751</v>
      </c>
      <c r="L34" s="13">
        <v>378623</v>
      </c>
      <c r="M34" s="13">
        <v>249762</v>
      </c>
      <c r="N34" s="13">
        <v>449505</v>
      </c>
      <c r="O34" s="13">
        <v>260099</v>
      </c>
      <c r="P34" s="13">
        <f>1705034-O34-N34-M34</f>
        <v>745668</v>
      </c>
    </row>
    <row r="35" spans="2:16">
      <c r="B35" s="16" t="s">
        <v>35</v>
      </c>
      <c r="C35" s="18">
        <v>2136629</v>
      </c>
      <c r="D35" s="18">
        <v>1437936</v>
      </c>
      <c r="E35" s="18">
        <v>297574</v>
      </c>
      <c r="F35" s="18">
        <v>232257</v>
      </c>
      <c r="G35" s="18">
        <v>413027</v>
      </c>
      <c r="H35" s="18">
        <v>581524</v>
      </c>
      <c r="I35" s="18">
        <v>353125</v>
      </c>
      <c r="J35" s="18">
        <v>439090</v>
      </c>
      <c r="K35" s="18">
        <v>405851</v>
      </c>
      <c r="L35" s="18">
        <v>440666</v>
      </c>
      <c r="M35" s="18">
        <v>378507</v>
      </c>
      <c r="N35" s="18">
        <v>550416</v>
      </c>
      <c r="O35" s="345">
        <v>483767</v>
      </c>
      <c r="P35" s="345">
        <f>+P32-P34</f>
        <v>646501</v>
      </c>
    </row>
    <row r="39" spans="2:16" ht="15">
      <c r="B39" s="19" t="s">
        <v>36</v>
      </c>
      <c r="C39" s="8"/>
      <c r="D39" s="8"/>
      <c r="E39" s="8"/>
      <c r="F39" s="8"/>
      <c r="G39" s="8"/>
      <c r="H39" s="20"/>
      <c r="I39" s="20"/>
      <c r="J39" s="20"/>
      <c r="K39" s="20"/>
      <c r="L39" s="20"/>
    </row>
    <row r="40" spans="2:16" ht="15">
      <c r="B40" s="21" t="s">
        <v>2</v>
      </c>
      <c r="C40" s="8"/>
      <c r="D40" s="8"/>
      <c r="E40" s="8"/>
      <c r="F40" s="8"/>
      <c r="G40" s="8"/>
      <c r="H40" s="22"/>
      <c r="I40" s="22"/>
      <c r="J40" s="22"/>
      <c r="K40" s="22"/>
      <c r="L40" s="22"/>
    </row>
    <row r="41" spans="2:16">
      <c r="B41" s="23"/>
      <c r="C41" s="8"/>
      <c r="D41" s="8"/>
      <c r="E41" s="8"/>
      <c r="F41" s="8"/>
      <c r="G41" s="8"/>
      <c r="H41" s="23"/>
      <c r="I41" s="23"/>
      <c r="J41" s="23"/>
      <c r="K41" s="23"/>
      <c r="L41" s="23"/>
    </row>
    <row r="42" spans="2:16" ht="15" thickBot="1">
      <c r="B42" s="24"/>
      <c r="C42" s="25"/>
      <c r="D42" s="25"/>
      <c r="E42" s="25"/>
      <c r="F42" s="25"/>
      <c r="G42" s="25"/>
      <c r="H42" s="25"/>
      <c r="I42" s="25"/>
      <c r="J42" s="25"/>
      <c r="K42" s="25"/>
      <c r="L42" s="25"/>
      <c r="M42" s="25"/>
      <c r="N42" s="25"/>
      <c r="O42" s="346"/>
      <c r="P42" s="346"/>
    </row>
    <row r="43" spans="2:16" ht="15" thickBot="1">
      <c r="B43" s="26" t="s">
        <v>37</v>
      </c>
      <c r="C43" s="27"/>
      <c r="D43" s="27"/>
      <c r="E43" s="27"/>
      <c r="F43" s="27"/>
      <c r="G43" s="27"/>
      <c r="H43" s="27"/>
      <c r="I43" s="27"/>
      <c r="J43" s="27"/>
      <c r="K43" s="27"/>
      <c r="L43" s="27"/>
      <c r="M43" s="27"/>
      <c r="N43" s="26"/>
      <c r="O43" s="347"/>
      <c r="P43" s="347"/>
    </row>
    <row r="44" spans="2:16" ht="15" thickBot="1">
      <c r="B44" s="28" t="s">
        <v>38</v>
      </c>
      <c r="C44" s="29"/>
      <c r="D44" s="29"/>
      <c r="E44" s="29"/>
      <c r="F44" s="29"/>
      <c r="G44" s="29"/>
      <c r="H44" s="29"/>
      <c r="I44" s="29"/>
      <c r="J44" s="29"/>
      <c r="K44" s="29"/>
      <c r="L44" s="29"/>
      <c r="M44" s="29"/>
      <c r="N44" s="29"/>
      <c r="O44" s="348"/>
      <c r="P44" s="348"/>
    </row>
    <row r="45" spans="2:16" ht="15" thickBot="1">
      <c r="B45" s="30" t="s">
        <v>39</v>
      </c>
      <c r="C45" s="31">
        <v>1146761</v>
      </c>
      <c r="D45" s="31">
        <v>1541551</v>
      </c>
      <c r="E45" s="31">
        <v>1628454</v>
      </c>
      <c r="F45" s="31">
        <v>1622252</v>
      </c>
      <c r="G45" s="31">
        <v>1801289</v>
      </c>
      <c r="H45" s="31">
        <v>1522060</v>
      </c>
      <c r="I45" s="31">
        <v>1831109</v>
      </c>
      <c r="J45" s="31">
        <v>1757502</v>
      </c>
      <c r="K45" s="31">
        <v>1542056</v>
      </c>
      <c r="L45" s="31">
        <v>2487201</v>
      </c>
      <c r="M45" s="31">
        <v>2797801</v>
      </c>
      <c r="N45" s="31">
        <v>3541940</v>
      </c>
      <c r="O45" s="31">
        <v>3570166.3160000001</v>
      </c>
      <c r="P45" s="61">
        <v>3781713</v>
      </c>
    </row>
    <row r="46" spans="2:16" ht="15" thickBot="1">
      <c r="B46" s="30" t="s">
        <v>40</v>
      </c>
      <c r="C46" s="31">
        <v>3828360</v>
      </c>
      <c r="D46" s="31">
        <v>4390555</v>
      </c>
      <c r="E46" s="31">
        <v>4337409</v>
      </c>
      <c r="F46" s="31">
        <v>4049690</v>
      </c>
      <c r="G46" s="31">
        <v>4615663</v>
      </c>
      <c r="H46" s="31">
        <v>4845365</v>
      </c>
      <c r="I46" s="31">
        <v>4730855</v>
      </c>
      <c r="J46" s="31">
        <v>5926728</v>
      </c>
      <c r="K46" s="31">
        <v>6221853</v>
      </c>
      <c r="L46" s="31">
        <v>6337727</v>
      </c>
      <c r="M46" s="31">
        <v>4930958</v>
      </c>
      <c r="N46" s="31">
        <v>4855048</v>
      </c>
      <c r="O46" s="31">
        <v>4858695.693</v>
      </c>
      <c r="P46" s="61">
        <v>5171007</v>
      </c>
    </row>
    <row r="47" spans="2:16" ht="15" thickBot="1">
      <c r="B47" s="30" t="s">
        <v>41</v>
      </c>
      <c r="C47" s="31">
        <v>463818</v>
      </c>
      <c r="D47" s="31">
        <v>309451</v>
      </c>
      <c r="E47" s="31">
        <v>458949</v>
      </c>
      <c r="F47" s="31">
        <v>607518</v>
      </c>
      <c r="G47" s="31">
        <v>678584</v>
      </c>
      <c r="H47" s="31">
        <v>316730</v>
      </c>
      <c r="I47" s="31">
        <v>303134</v>
      </c>
      <c r="J47" s="31">
        <v>406480</v>
      </c>
      <c r="K47" s="31">
        <v>479061</v>
      </c>
      <c r="L47" s="31">
        <v>247981</v>
      </c>
      <c r="M47" s="31">
        <v>305749</v>
      </c>
      <c r="N47" s="31">
        <v>398388</v>
      </c>
      <c r="O47" s="31">
        <v>474583.12900000002</v>
      </c>
      <c r="P47" s="61">
        <v>260466</v>
      </c>
    </row>
    <row r="48" spans="2:16" ht="15" thickBot="1">
      <c r="B48" s="30" t="s">
        <v>42</v>
      </c>
      <c r="C48" s="31">
        <v>101743</v>
      </c>
      <c r="D48" s="31">
        <v>83481</v>
      </c>
      <c r="E48" s="31">
        <v>77289</v>
      </c>
      <c r="F48" s="31">
        <v>80026</v>
      </c>
      <c r="G48" s="31">
        <v>79889</v>
      </c>
      <c r="H48" s="31">
        <v>98271</v>
      </c>
      <c r="I48" s="31">
        <v>90607</v>
      </c>
      <c r="J48" s="31">
        <v>90452</v>
      </c>
      <c r="K48" s="31">
        <v>93743</v>
      </c>
      <c r="L48" s="31">
        <v>151527</v>
      </c>
      <c r="M48" s="31">
        <v>120948</v>
      </c>
      <c r="N48" s="31">
        <v>98789</v>
      </c>
      <c r="O48" s="31">
        <v>108311.74099999999</v>
      </c>
      <c r="P48" s="61">
        <v>100645</v>
      </c>
    </row>
    <row r="49" spans="2:16" ht="15" thickBot="1">
      <c r="B49" s="30" t="s">
        <v>43</v>
      </c>
      <c r="C49" s="31">
        <v>132491</v>
      </c>
      <c r="D49" s="31">
        <v>95357</v>
      </c>
      <c r="E49" s="31">
        <v>144122</v>
      </c>
      <c r="F49" s="31">
        <v>153863</v>
      </c>
      <c r="G49" s="31">
        <v>213114</v>
      </c>
      <c r="H49" s="31">
        <v>241757</v>
      </c>
      <c r="I49" s="31">
        <v>255342</v>
      </c>
      <c r="J49" s="31">
        <v>247279</v>
      </c>
      <c r="K49" s="31">
        <v>264265</v>
      </c>
      <c r="L49" s="31">
        <v>225219</v>
      </c>
      <c r="M49" s="31">
        <v>341073</v>
      </c>
      <c r="N49" s="31">
        <v>276307</v>
      </c>
      <c r="O49" s="31">
        <v>396207.973</v>
      </c>
      <c r="P49" s="61">
        <v>394877</v>
      </c>
    </row>
    <row r="50" spans="2:16" ht="15" thickBot="1">
      <c r="B50" s="30" t="s">
        <v>44</v>
      </c>
      <c r="C50" s="31">
        <v>0</v>
      </c>
      <c r="D50" s="31">
        <v>335</v>
      </c>
      <c r="E50" s="31">
        <v>5000</v>
      </c>
      <c r="F50" s="31">
        <v>2160</v>
      </c>
      <c r="G50" s="31">
        <v>603</v>
      </c>
      <c r="H50" s="31">
        <v>31</v>
      </c>
      <c r="I50" s="31">
        <v>575</v>
      </c>
      <c r="J50" s="31">
        <v>4625</v>
      </c>
      <c r="K50" s="31">
        <v>7426</v>
      </c>
      <c r="L50" s="31">
        <v>126</v>
      </c>
      <c r="M50" s="31">
        <v>98</v>
      </c>
      <c r="N50" s="31">
        <v>164</v>
      </c>
      <c r="O50" s="31">
        <v>189.69200000000001</v>
      </c>
      <c r="P50" s="61">
        <v>77</v>
      </c>
    </row>
    <row r="51" spans="2:16" ht="15" thickBot="1">
      <c r="B51" s="32" t="s">
        <v>45</v>
      </c>
      <c r="C51" s="33">
        <v>5673173</v>
      </c>
      <c r="D51" s="33">
        <v>6420730</v>
      </c>
      <c r="E51" s="33">
        <v>6651223</v>
      </c>
      <c r="F51" s="33">
        <v>6515509</v>
      </c>
      <c r="G51" s="33">
        <v>7389142</v>
      </c>
      <c r="H51" s="33">
        <v>7024214</v>
      </c>
      <c r="I51" s="33">
        <v>7211622</v>
      </c>
      <c r="J51" s="33">
        <v>8433066</v>
      </c>
      <c r="K51" s="33">
        <v>8608404</v>
      </c>
      <c r="L51" s="33">
        <v>9449781</v>
      </c>
      <c r="M51" s="33">
        <v>8496627</v>
      </c>
      <c r="N51" s="33">
        <v>9170636</v>
      </c>
      <c r="O51" s="349">
        <v>9408154.5439999998</v>
      </c>
      <c r="P51" s="63">
        <f t="shared" ref="P51" si="0">SUM(P45:P50)</f>
        <v>9708785</v>
      </c>
    </row>
    <row r="52" spans="2:16" ht="15" thickBot="1">
      <c r="B52" s="28" t="s">
        <v>46</v>
      </c>
      <c r="C52" s="29"/>
      <c r="D52" s="29"/>
      <c r="E52" s="29"/>
      <c r="F52" s="29"/>
      <c r="G52" s="29"/>
      <c r="H52" s="29"/>
      <c r="I52" s="29"/>
      <c r="J52" s="29"/>
      <c r="K52" s="29"/>
      <c r="L52" s="29"/>
      <c r="M52" s="29"/>
      <c r="N52" s="29"/>
      <c r="O52" s="348"/>
      <c r="P52" s="59"/>
    </row>
    <row r="53" spans="2:16" ht="15" thickBot="1">
      <c r="B53" s="30" t="s">
        <v>47</v>
      </c>
      <c r="C53" s="31">
        <v>60495</v>
      </c>
      <c r="D53" s="31">
        <v>78204</v>
      </c>
      <c r="E53" s="31">
        <v>88224</v>
      </c>
      <c r="F53" s="31">
        <v>124375</v>
      </c>
      <c r="G53" s="31">
        <v>88533</v>
      </c>
      <c r="H53" s="31">
        <v>339007</v>
      </c>
      <c r="I53" s="31">
        <v>266055</v>
      </c>
      <c r="J53" s="31">
        <v>195559</v>
      </c>
      <c r="K53" s="31">
        <v>114913</v>
      </c>
      <c r="L53" s="31">
        <v>97347</v>
      </c>
      <c r="M53" s="31">
        <v>78828</v>
      </c>
      <c r="N53" s="31">
        <v>363474</v>
      </c>
      <c r="O53" s="31">
        <v>238183.84899999999</v>
      </c>
      <c r="P53" s="61">
        <v>217646</v>
      </c>
    </row>
    <row r="54" spans="2:16" ht="15" thickBot="1">
      <c r="B54" s="30" t="s">
        <v>48</v>
      </c>
      <c r="C54" s="31">
        <v>0</v>
      </c>
      <c r="D54" s="31">
        <v>46870</v>
      </c>
      <c r="E54" s="31">
        <v>43303</v>
      </c>
      <c r="F54" s="31">
        <v>44649</v>
      </c>
      <c r="G54" s="31">
        <v>46680</v>
      </c>
      <c r="H54" s="31">
        <v>27241</v>
      </c>
      <c r="I54" s="31">
        <v>27736</v>
      </c>
      <c r="J54" s="31">
        <v>26279</v>
      </c>
      <c r="K54" s="31">
        <v>30994</v>
      </c>
      <c r="L54" s="31">
        <v>6174</v>
      </c>
      <c r="M54" s="31">
        <v>13453</v>
      </c>
      <c r="N54" s="31">
        <v>20611</v>
      </c>
      <c r="O54" s="31">
        <v>25327.063999999998</v>
      </c>
      <c r="P54" s="61">
        <v>5156</v>
      </c>
    </row>
    <row r="55" spans="2:16" ht="15" thickBot="1">
      <c r="B55" s="30" t="s">
        <v>49</v>
      </c>
      <c r="C55" s="31">
        <v>1690711</v>
      </c>
      <c r="D55" s="31">
        <v>3093842</v>
      </c>
      <c r="E55" s="31">
        <v>2921736</v>
      </c>
      <c r="F55" s="31">
        <v>2717913</v>
      </c>
      <c r="G55" s="31">
        <v>2669320</v>
      </c>
      <c r="H55" s="31">
        <v>2871781</v>
      </c>
      <c r="I55" s="31">
        <v>2886392</v>
      </c>
      <c r="J55" s="31">
        <v>3001307</v>
      </c>
      <c r="K55" s="31">
        <v>3079648</v>
      </c>
      <c r="L55" s="31">
        <v>3119350</v>
      </c>
      <c r="M55" s="31">
        <v>3231320</v>
      </c>
      <c r="N55" s="31">
        <v>2861797</v>
      </c>
      <c r="O55" s="31">
        <v>2942426.4249999998</v>
      </c>
      <c r="P55" s="61">
        <v>3124526</v>
      </c>
    </row>
    <row r="56" spans="2:16" ht="15" thickBot="1">
      <c r="B56" s="30" t="s">
        <v>50</v>
      </c>
      <c r="C56" s="31">
        <v>16315</v>
      </c>
      <c r="D56" s="31">
        <v>16335</v>
      </c>
      <c r="E56" s="31">
        <v>16335</v>
      </c>
      <c r="F56" s="31">
        <v>16332</v>
      </c>
      <c r="G56" s="31">
        <v>16332</v>
      </c>
      <c r="H56" s="31">
        <v>15478</v>
      </c>
      <c r="I56" s="31">
        <v>15478</v>
      </c>
      <c r="J56" s="31">
        <v>15478</v>
      </c>
      <c r="K56" s="31">
        <v>15478</v>
      </c>
      <c r="L56" s="31">
        <v>15478</v>
      </c>
      <c r="M56" s="31">
        <v>16572</v>
      </c>
      <c r="N56" s="31">
        <v>16723</v>
      </c>
      <c r="O56" s="31">
        <v>17101.956999999999</v>
      </c>
      <c r="P56" s="61">
        <v>17102</v>
      </c>
    </row>
    <row r="57" spans="2:16" ht="15" thickBot="1">
      <c r="B57" s="30" t="s">
        <v>40</v>
      </c>
      <c r="C57" s="31">
        <v>16569813</v>
      </c>
      <c r="D57" s="31">
        <v>17609166</v>
      </c>
      <c r="E57" s="31">
        <v>16116400</v>
      </c>
      <c r="F57" s="31">
        <v>14908284</v>
      </c>
      <c r="G57" s="31">
        <v>15015133</v>
      </c>
      <c r="H57" s="31">
        <v>16896526</v>
      </c>
      <c r="I57" s="31">
        <v>16821004</v>
      </c>
      <c r="J57" s="31">
        <v>17488539</v>
      </c>
      <c r="K57" s="31">
        <v>17313005</v>
      </c>
      <c r="L57" s="31">
        <v>16769982</v>
      </c>
      <c r="M57" s="31">
        <v>17490328</v>
      </c>
      <c r="N57" s="31">
        <v>16435742</v>
      </c>
      <c r="O57" s="31">
        <v>17130598.372000001</v>
      </c>
      <c r="P57" s="61">
        <v>18845990</v>
      </c>
    </row>
    <row r="58" spans="2:16" ht="15" thickBot="1">
      <c r="B58" s="30" t="s">
        <v>42</v>
      </c>
      <c r="C58" s="31">
        <v>72931</v>
      </c>
      <c r="D58" s="31">
        <v>85778</v>
      </c>
      <c r="E58" s="31">
        <v>72025</v>
      </c>
      <c r="F58" s="31">
        <v>67498</v>
      </c>
      <c r="G58" s="31">
        <v>66431</v>
      </c>
      <c r="H58" s="31">
        <v>63359</v>
      </c>
      <c r="I58" s="31">
        <v>62277</v>
      </c>
      <c r="J58" s="31">
        <v>63439</v>
      </c>
      <c r="K58" s="31">
        <v>66037</v>
      </c>
      <c r="L58" s="31">
        <v>64808</v>
      </c>
      <c r="M58" s="31">
        <v>84407</v>
      </c>
      <c r="N58" s="31">
        <v>65428</v>
      </c>
      <c r="O58" s="31">
        <v>62449.442000000003</v>
      </c>
      <c r="P58" s="61">
        <v>64521</v>
      </c>
    </row>
    <row r="59" spans="2:16" ht="15" thickBot="1">
      <c r="B59" s="30" t="s">
        <v>52</v>
      </c>
      <c r="C59" s="31">
        <v>7761835</v>
      </c>
      <c r="D59" s="31">
        <v>9056402</v>
      </c>
      <c r="E59" s="31">
        <v>9134609</v>
      </c>
      <c r="F59" s="31">
        <v>9545706</v>
      </c>
      <c r="G59" s="31">
        <v>9777637</v>
      </c>
      <c r="H59" s="31">
        <v>10195114</v>
      </c>
      <c r="I59" s="31">
        <v>10333190</v>
      </c>
      <c r="J59" s="31">
        <v>10256896</v>
      </c>
      <c r="K59" s="31">
        <v>10687625</v>
      </c>
      <c r="L59" s="31">
        <v>11095458</v>
      </c>
      <c r="M59" s="31">
        <v>12043453</v>
      </c>
      <c r="N59" s="31">
        <v>11747471</v>
      </c>
      <c r="O59" s="31">
        <v>12189428.210999999</v>
      </c>
      <c r="P59" s="61">
        <v>11954611</v>
      </c>
    </row>
    <row r="60" spans="2:16" ht="15" thickBot="1">
      <c r="B60" s="30" t="s">
        <v>53</v>
      </c>
      <c r="C60" s="31">
        <v>0</v>
      </c>
      <c r="D60" s="31">
        <v>0</v>
      </c>
      <c r="E60" s="31">
        <v>0</v>
      </c>
      <c r="F60" s="31">
        <v>0</v>
      </c>
      <c r="G60" s="31">
        <v>0</v>
      </c>
      <c r="H60" s="31">
        <v>0</v>
      </c>
      <c r="I60" s="31">
        <v>0</v>
      </c>
      <c r="J60" s="31">
        <v>0</v>
      </c>
      <c r="K60" s="31">
        <v>0</v>
      </c>
      <c r="L60" s="31">
        <v>0</v>
      </c>
      <c r="M60" s="31">
        <v>0</v>
      </c>
      <c r="N60" s="31">
        <v>0</v>
      </c>
      <c r="O60" s="31">
        <v>0</v>
      </c>
      <c r="P60" s="61">
        <v>0</v>
      </c>
    </row>
    <row r="61" spans="2:16" ht="15" thickBot="1">
      <c r="B61" s="30" t="s">
        <v>54</v>
      </c>
      <c r="C61" s="31">
        <v>0</v>
      </c>
      <c r="D61" s="31">
        <v>0</v>
      </c>
      <c r="E61" s="31">
        <v>0</v>
      </c>
      <c r="F61" s="31">
        <v>0</v>
      </c>
      <c r="G61" s="31">
        <v>0</v>
      </c>
      <c r="H61" s="31">
        <v>0</v>
      </c>
      <c r="I61" s="31">
        <v>0</v>
      </c>
      <c r="J61" s="31">
        <v>0</v>
      </c>
      <c r="K61" s="31">
        <v>0</v>
      </c>
      <c r="L61" s="31">
        <v>0</v>
      </c>
      <c r="M61" s="31">
        <v>0</v>
      </c>
      <c r="N61" s="31">
        <v>0</v>
      </c>
      <c r="O61" s="31">
        <v>0</v>
      </c>
      <c r="P61" s="61">
        <v>0</v>
      </c>
    </row>
    <row r="62" spans="2:16" ht="15" thickBot="1">
      <c r="B62" s="30" t="s">
        <v>55</v>
      </c>
      <c r="C62" s="31">
        <v>6179860</v>
      </c>
      <c r="D62" s="31">
        <v>6424494</v>
      </c>
      <c r="E62" s="31">
        <v>6010730</v>
      </c>
      <c r="F62" s="31">
        <v>6258157</v>
      </c>
      <c r="G62" s="31">
        <v>6297004</v>
      </c>
      <c r="H62" s="31">
        <v>6827331</v>
      </c>
      <c r="I62" s="31">
        <v>6639257</v>
      </c>
      <c r="J62" s="31">
        <v>6898749</v>
      </c>
      <c r="K62" s="31">
        <v>7331560</v>
      </c>
      <c r="L62" s="31">
        <v>7055014</v>
      </c>
      <c r="M62" s="31">
        <v>8583520</v>
      </c>
      <c r="N62" s="31">
        <v>8026572</v>
      </c>
      <c r="O62" s="31">
        <v>8948239.9680000003</v>
      </c>
      <c r="P62" s="61">
        <v>8112598</v>
      </c>
    </row>
    <row r="63" spans="2:16" ht="15" thickBot="1">
      <c r="B63" s="30" t="s">
        <v>43</v>
      </c>
      <c r="C63" s="31">
        <v>67802</v>
      </c>
      <c r="D63" s="31">
        <v>65015</v>
      </c>
      <c r="E63" s="31">
        <v>58212</v>
      </c>
      <c r="F63" s="31">
        <v>60609</v>
      </c>
      <c r="G63" s="31">
        <v>60989</v>
      </c>
      <c r="H63" s="31">
        <v>93676</v>
      </c>
      <c r="I63" s="31">
        <v>97570</v>
      </c>
      <c r="J63" s="31">
        <v>97748</v>
      </c>
      <c r="K63" s="31">
        <v>96536</v>
      </c>
      <c r="L63" s="31">
        <v>106428</v>
      </c>
      <c r="M63" s="31">
        <v>96500</v>
      </c>
      <c r="N63" s="31">
        <v>70755</v>
      </c>
      <c r="O63" s="31">
        <v>78723.960999999996</v>
      </c>
      <c r="P63" s="61">
        <v>128094</v>
      </c>
    </row>
    <row r="64" spans="2:16" ht="15" thickBot="1">
      <c r="B64" s="30" t="s">
        <v>56</v>
      </c>
      <c r="C64" s="31">
        <v>415450</v>
      </c>
      <c r="D64" s="31">
        <v>504264</v>
      </c>
      <c r="E64" s="31">
        <v>463029</v>
      </c>
      <c r="F64" s="31">
        <v>448246</v>
      </c>
      <c r="G64" s="31">
        <v>464027</v>
      </c>
      <c r="H64" s="31">
        <v>591278</v>
      </c>
      <c r="I64" s="31">
        <v>642483</v>
      </c>
      <c r="J64" s="31">
        <v>724702</v>
      </c>
      <c r="K64" s="31">
        <v>834493</v>
      </c>
      <c r="L64" s="31">
        <v>791388</v>
      </c>
      <c r="M64" s="31">
        <v>965854</v>
      </c>
      <c r="N64" s="31">
        <v>907704</v>
      </c>
      <c r="O64" s="31">
        <v>1018011.673</v>
      </c>
      <c r="P64" s="61">
        <v>1608436</v>
      </c>
    </row>
    <row r="65" spans="2:16" ht="15" thickBot="1">
      <c r="B65" s="30" t="s">
        <v>57</v>
      </c>
      <c r="C65" s="31">
        <v>0</v>
      </c>
      <c r="D65" s="31">
        <v>7401</v>
      </c>
      <c r="E65" s="31">
        <v>2980</v>
      </c>
      <c r="F65" s="31">
        <v>7459</v>
      </c>
      <c r="G65" s="31">
        <v>7074</v>
      </c>
      <c r="H65" s="31">
        <v>22514</v>
      </c>
      <c r="I65" s="31">
        <v>23831</v>
      </c>
      <c r="J65" s="31">
        <v>63565</v>
      </c>
      <c r="K65" s="31">
        <v>61386</v>
      </c>
      <c r="L65" s="31">
        <v>220311</v>
      </c>
      <c r="M65" s="31">
        <v>239071</v>
      </c>
      <c r="N65" s="31">
        <v>213124</v>
      </c>
      <c r="O65" s="31">
        <v>220874.481</v>
      </c>
      <c r="P65" s="61">
        <v>224569</v>
      </c>
    </row>
    <row r="66" spans="2:16" ht="15" thickBot="1">
      <c r="B66" s="30" t="s">
        <v>58</v>
      </c>
      <c r="C66" s="31">
        <v>0</v>
      </c>
      <c r="D66" s="31">
        <v>0</v>
      </c>
      <c r="E66" s="31">
        <v>0</v>
      </c>
      <c r="F66" s="31">
        <v>0</v>
      </c>
      <c r="G66" s="31">
        <v>0</v>
      </c>
      <c r="H66" s="31">
        <v>0</v>
      </c>
      <c r="I66" s="31">
        <v>0</v>
      </c>
      <c r="J66" s="31">
        <v>0</v>
      </c>
      <c r="K66" s="31">
        <v>0</v>
      </c>
      <c r="L66" s="31">
        <v>1390</v>
      </c>
      <c r="M66" s="31">
        <v>0</v>
      </c>
      <c r="N66" s="31">
        <v>1782</v>
      </c>
      <c r="O66" s="31">
        <v>409.58699999999999</v>
      </c>
      <c r="P66" s="61">
        <v>402</v>
      </c>
    </row>
    <row r="67" spans="2:16" ht="15" thickBot="1">
      <c r="B67" s="30" t="s">
        <v>44</v>
      </c>
      <c r="C67" s="31">
        <v>0</v>
      </c>
      <c r="D67" s="31">
        <v>0</v>
      </c>
      <c r="E67" s="31">
        <v>1216</v>
      </c>
      <c r="F67" s="31">
        <v>151</v>
      </c>
      <c r="G67" s="31">
        <v>2</v>
      </c>
      <c r="H67" s="31">
        <v>335</v>
      </c>
      <c r="I67" s="31">
        <v>389</v>
      </c>
      <c r="J67" s="31">
        <v>337</v>
      </c>
      <c r="K67" s="31">
        <v>337</v>
      </c>
      <c r="L67" s="31">
        <v>335</v>
      </c>
      <c r="M67" s="31">
        <v>337</v>
      </c>
      <c r="N67" s="31">
        <v>337</v>
      </c>
      <c r="O67" s="31">
        <v>336.62700000000001</v>
      </c>
      <c r="P67" s="61">
        <v>17287</v>
      </c>
    </row>
    <row r="68" spans="2:16" ht="15" thickBot="1">
      <c r="B68" s="28" t="s">
        <v>59</v>
      </c>
      <c r="C68" s="34">
        <v>32835212</v>
      </c>
      <c r="D68" s="34">
        <v>36987771</v>
      </c>
      <c r="E68" s="34">
        <v>34928799</v>
      </c>
      <c r="F68" s="34">
        <v>34199379</v>
      </c>
      <c r="G68" s="34">
        <v>34509162</v>
      </c>
      <c r="H68" s="34">
        <v>37943640</v>
      </c>
      <c r="I68" s="34">
        <v>37815662</v>
      </c>
      <c r="J68" s="34">
        <v>38832598</v>
      </c>
      <c r="K68" s="34">
        <v>39632012</v>
      </c>
      <c r="L68" s="34">
        <v>39343463</v>
      </c>
      <c r="M68" s="34">
        <v>42843643</v>
      </c>
      <c r="N68" s="34">
        <v>40731520</v>
      </c>
      <c r="O68" s="350">
        <v>42872111.616999999</v>
      </c>
      <c r="P68" s="64">
        <f t="shared" ref="P68" si="1">SUM(P53:P67)</f>
        <v>44320938</v>
      </c>
    </row>
    <row r="69" spans="2:16" ht="15" thickBot="1">
      <c r="B69" s="35" t="s">
        <v>60</v>
      </c>
      <c r="C69" s="36">
        <v>38508385</v>
      </c>
      <c r="D69" s="36">
        <v>43408501</v>
      </c>
      <c r="E69" s="36">
        <v>41580022</v>
      </c>
      <c r="F69" s="36">
        <v>40714888</v>
      </c>
      <c r="G69" s="36">
        <v>41898304</v>
      </c>
      <c r="H69" s="36">
        <v>44967854</v>
      </c>
      <c r="I69" s="36">
        <v>45027284</v>
      </c>
      <c r="J69" s="36">
        <v>47265664</v>
      </c>
      <c r="K69" s="36">
        <v>48240416</v>
      </c>
      <c r="L69" s="36">
        <v>48793244</v>
      </c>
      <c r="M69" s="36">
        <v>51340270</v>
      </c>
      <c r="N69" s="36">
        <v>49902156</v>
      </c>
      <c r="O69" s="351">
        <v>52280266.160999998</v>
      </c>
      <c r="P69" s="66">
        <f t="shared" ref="P69" si="2">+P51+P68</f>
        <v>54029723</v>
      </c>
    </row>
    <row r="70" spans="2:16" ht="15" thickBot="1">
      <c r="B70" s="37"/>
      <c r="C70" s="38"/>
      <c r="D70" s="38"/>
      <c r="E70" s="38"/>
      <c r="F70" s="38"/>
      <c r="G70" s="38"/>
      <c r="H70" s="38"/>
      <c r="I70" s="38"/>
      <c r="J70" s="38"/>
      <c r="K70" s="38"/>
      <c r="L70" s="38"/>
      <c r="M70" s="38"/>
      <c r="N70" s="38"/>
      <c r="O70" s="352"/>
      <c r="P70" s="185"/>
    </row>
    <row r="71" spans="2:16" ht="15" thickBot="1">
      <c r="B71" s="26" t="s">
        <v>61</v>
      </c>
      <c r="C71" s="39"/>
      <c r="D71" s="39"/>
      <c r="E71" s="39"/>
      <c r="F71" s="39"/>
      <c r="G71" s="39"/>
      <c r="H71" s="39"/>
      <c r="I71" s="39"/>
      <c r="J71" s="39"/>
      <c r="K71" s="39"/>
      <c r="L71" s="39"/>
      <c r="M71" s="39"/>
      <c r="N71" s="39"/>
      <c r="O71" s="353"/>
      <c r="P71" s="69"/>
    </row>
    <row r="72" spans="2:16" ht="15" thickBot="1">
      <c r="B72" s="28" t="s">
        <v>62</v>
      </c>
      <c r="C72" s="40"/>
      <c r="D72" s="40"/>
      <c r="E72" s="40"/>
      <c r="F72" s="40"/>
      <c r="G72" s="40"/>
      <c r="H72" s="40"/>
      <c r="I72" s="40"/>
      <c r="J72" s="40"/>
      <c r="K72" s="40"/>
      <c r="L72" s="40"/>
      <c r="M72" s="40"/>
      <c r="N72" s="40"/>
      <c r="O72" s="354"/>
      <c r="P72" s="70"/>
    </row>
    <row r="73" spans="2:16" ht="15" thickBot="1">
      <c r="B73" s="30" t="s">
        <v>63</v>
      </c>
      <c r="C73" s="31">
        <v>1674203</v>
      </c>
      <c r="D73" s="31">
        <v>1603839</v>
      </c>
      <c r="E73" s="31">
        <v>1412122</v>
      </c>
      <c r="F73" s="31">
        <v>1563656</v>
      </c>
      <c r="G73" s="31">
        <v>1614296</v>
      </c>
      <c r="H73" s="31">
        <v>1751632</v>
      </c>
      <c r="I73" s="31">
        <v>1592926</v>
      </c>
      <c r="J73" s="31">
        <v>1406427</v>
      </c>
      <c r="K73" s="31">
        <v>1787726</v>
      </c>
      <c r="L73" s="31">
        <v>1698041</v>
      </c>
      <c r="M73" s="31">
        <v>2222137</v>
      </c>
      <c r="N73" s="31">
        <v>2360855</v>
      </c>
      <c r="O73" s="31">
        <v>1590591.1680000001</v>
      </c>
      <c r="P73" s="61">
        <v>1266015</v>
      </c>
    </row>
    <row r="74" spans="2:16" ht="15" thickBot="1">
      <c r="B74" s="30" t="s">
        <v>64</v>
      </c>
      <c r="C74" s="31">
        <v>905227</v>
      </c>
      <c r="D74" s="31">
        <v>779013</v>
      </c>
      <c r="E74" s="31">
        <v>1206346</v>
      </c>
      <c r="F74" s="31">
        <v>1133748</v>
      </c>
      <c r="G74" s="31">
        <v>762854</v>
      </c>
      <c r="H74" s="31">
        <v>635442</v>
      </c>
      <c r="I74" s="31">
        <v>1271533</v>
      </c>
      <c r="J74" s="31">
        <v>1202679</v>
      </c>
      <c r="K74" s="31">
        <v>887582</v>
      </c>
      <c r="L74" s="31">
        <v>973517</v>
      </c>
      <c r="M74" s="31">
        <v>1703190</v>
      </c>
      <c r="N74" s="31">
        <v>1444107</v>
      </c>
      <c r="O74" s="31">
        <v>1194236.534</v>
      </c>
      <c r="P74" s="61">
        <v>1186631</v>
      </c>
    </row>
    <row r="75" spans="2:16" ht="15" thickBot="1">
      <c r="B75" s="30" t="s">
        <v>65</v>
      </c>
      <c r="C75" s="31">
        <v>0</v>
      </c>
      <c r="D75" s="31">
        <v>53</v>
      </c>
      <c r="E75" s="31">
        <v>68400</v>
      </c>
      <c r="F75" s="31">
        <v>2075</v>
      </c>
      <c r="G75" s="31">
        <v>99</v>
      </c>
      <c r="H75" s="31">
        <v>0</v>
      </c>
      <c r="I75" s="31">
        <v>0</v>
      </c>
      <c r="J75" s="31">
        <v>0</v>
      </c>
      <c r="K75" s="31">
        <v>62</v>
      </c>
      <c r="L75" s="31">
        <v>59</v>
      </c>
      <c r="M75" s="31">
        <v>75</v>
      </c>
      <c r="N75" s="31">
        <v>73</v>
      </c>
      <c r="O75" s="31">
        <v>0</v>
      </c>
      <c r="P75" s="61">
        <v>62</v>
      </c>
    </row>
    <row r="76" spans="2:16" ht="15" thickBot="1">
      <c r="B76" s="30" t="s">
        <v>66</v>
      </c>
      <c r="C76" s="31">
        <v>73253</v>
      </c>
      <c r="D76" s="31">
        <v>83690</v>
      </c>
      <c r="E76" s="31">
        <v>61445</v>
      </c>
      <c r="F76" s="31">
        <v>70305</v>
      </c>
      <c r="G76" s="31">
        <v>84674</v>
      </c>
      <c r="H76" s="31">
        <v>99330</v>
      </c>
      <c r="I76" s="31">
        <v>89182</v>
      </c>
      <c r="J76" s="31">
        <v>91977</v>
      </c>
      <c r="K76" s="31">
        <v>117996</v>
      </c>
      <c r="L76" s="31">
        <v>101658</v>
      </c>
      <c r="M76" s="31">
        <v>95984</v>
      </c>
      <c r="N76" s="31">
        <v>102107</v>
      </c>
      <c r="O76" s="31">
        <v>128523.75199999999</v>
      </c>
      <c r="P76" s="61">
        <v>120979</v>
      </c>
    </row>
    <row r="77" spans="2:16" ht="15" thickBot="1">
      <c r="B77" s="30" t="s">
        <v>41</v>
      </c>
      <c r="C77" s="31">
        <v>245065</v>
      </c>
      <c r="D77" s="31">
        <v>407912</v>
      </c>
      <c r="E77" s="31">
        <v>494984</v>
      </c>
      <c r="F77" s="31">
        <v>635223</v>
      </c>
      <c r="G77" s="31">
        <v>799047</v>
      </c>
      <c r="H77" s="31">
        <v>251656</v>
      </c>
      <c r="I77" s="31">
        <v>380708</v>
      </c>
      <c r="J77" s="31">
        <v>518227</v>
      </c>
      <c r="K77" s="31">
        <v>589799</v>
      </c>
      <c r="L77" s="31">
        <v>268197</v>
      </c>
      <c r="M77" s="31">
        <v>357015</v>
      </c>
      <c r="N77" s="31">
        <v>470736</v>
      </c>
      <c r="O77" s="31">
        <v>618913.03799999994</v>
      </c>
      <c r="P77" s="61">
        <v>376021</v>
      </c>
    </row>
    <row r="78" spans="2:16" ht="15" thickBot="1">
      <c r="B78" s="30" t="s">
        <v>67</v>
      </c>
      <c r="C78" s="31">
        <v>537283</v>
      </c>
      <c r="D78" s="31">
        <v>121006</v>
      </c>
      <c r="E78" s="31">
        <v>116647</v>
      </c>
      <c r="F78" s="31">
        <v>128507</v>
      </c>
      <c r="G78" s="31">
        <v>125220</v>
      </c>
      <c r="H78" s="31">
        <v>95924</v>
      </c>
      <c r="I78" s="31">
        <v>141933</v>
      </c>
      <c r="J78" s="31">
        <v>140934</v>
      </c>
      <c r="K78" s="31">
        <v>146155</v>
      </c>
      <c r="L78" s="31">
        <v>551058</v>
      </c>
      <c r="M78" s="31">
        <v>334793</v>
      </c>
      <c r="N78" s="31">
        <v>275555</v>
      </c>
      <c r="O78" s="31">
        <v>277686.89199999999</v>
      </c>
      <c r="P78" s="61">
        <v>368985</v>
      </c>
    </row>
    <row r="79" spans="2:16" ht="15" thickBot="1">
      <c r="B79" s="30" t="s">
        <v>68</v>
      </c>
      <c r="C79" s="31">
        <v>229713</v>
      </c>
      <c r="D79" s="31">
        <v>114763</v>
      </c>
      <c r="E79" s="31">
        <v>121031</v>
      </c>
      <c r="F79" s="31">
        <v>122952</v>
      </c>
      <c r="G79" s="31">
        <v>110771</v>
      </c>
      <c r="H79" s="31">
        <v>89795</v>
      </c>
      <c r="I79" s="31">
        <v>109794</v>
      </c>
      <c r="J79" s="31">
        <v>112964</v>
      </c>
      <c r="K79" s="31">
        <v>117632</v>
      </c>
      <c r="L79" s="31">
        <v>82557</v>
      </c>
      <c r="M79" s="31">
        <v>84482</v>
      </c>
      <c r="N79" s="31">
        <v>84413</v>
      </c>
      <c r="O79" s="31">
        <v>85246.808000000005</v>
      </c>
      <c r="P79" s="61">
        <v>84348</v>
      </c>
    </row>
    <row r="80" spans="2:16" ht="15" thickBot="1">
      <c r="B80" s="30" t="s">
        <v>69</v>
      </c>
      <c r="C80" s="31">
        <v>0</v>
      </c>
      <c r="D80" s="31">
        <v>0</v>
      </c>
      <c r="E80" s="31">
        <v>219</v>
      </c>
      <c r="F80" s="31">
        <v>0</v>
      </c>
      <c r="G80" s="31">
        <v>0</v>
      </c>
      <c r="H80" s="31">
        <v>0</v>
      </c>
      <c r="I80" s="31">
        <v>0</v>
      </c>
      <c r="J80" s="31">
        <v>0</v>
      </c>
      <c r="K80" s="31">
        <v>0</v>
      </c>
      <c r="L80" s="31">
        <v>0</v>
      </c>
      <c r="M80" s="31">
        <v>0</v>
      </c>
      <c r="N80" s="31">
        <v>0</v>
      </c>
      <c r="O80" s="31">
        <v>0</v>
      </c>
      <c r="P80" s="61">
        <v>0</v>
      </c>
    </row>
    <row r="81" spans="2:16" ht="15" thickBot="1">
      <c r="B81" s="28" t="s">
        <v>70</v>
      </c>
      <c r="C81" s="34">
        <v>3664744</v>
      </c>
      <c r="D81" s="34">
        <v>3110276</v>
      </c>
      <c r="E81" s="34">
        <v>3481194</v>
      </c>
      <c r="F81" s="34">
        <v>3656466</v>
      </c>
      <c r="G81" s="34">
        <v>3496961</v>
      </c>
      <c r="H81" s="34">
        <v>2923779</v>
      </c>
      <c r="I81" s="34">
        <v>3586076</v>
      </c>
      <c r="J81" s="34">
        <v>3473208</v>
      </c>
      <c r="K81" s="34">
        <v>3646952</v>
      </c>
      <c r="L81" s="34">
        <v>3675087</v>
      </c>
      <c r="M81" s="34">
        <v>4797676</v>
      </c>
      <c r="N81" s="34">
        <v>4737846</v>
      </c>
      <c r="O81" s="350">
        <v>3895198.1919999998</v>
      </c>
      <c r="P81" s="64">
        <f t="shared" ref="P81" si="3">SUM(P73:P80)</f>
        <v>3403041</v>
      </c>
    </row>
    <row r="82" spans="2:16" ht="15" thickBot="1">
      <c r="B82" s="41" t="s">
        <v>71</v>
      </c>
      <c r="C82" s="42"/>
      <c r="D82" s="42"/>
      <c r="E82" s="42"/>
      <c r="F82" s="42"/>
      <c r="G82" s="42"/>
      <c r="H82" s="42"/>
      <c r="I82" s="42"/>
      <c r="J82" s="42"/>
      <c r="K82" s="42"/>
      <c r="L82" s="42"/>
      <c r="M82" s="42"/>
      <c r="N82" s="42"/>
      <c r="O82" s="355"/>
      <c r="P82" s="72"/>
    </row>
    <row r="83" spans="2:16" ht="15" thickBot="1">
      <c r="B83" s="30" t="s">
        <v>63</v>
      </c>
      <c r="C83" s="31">
        <v>10797222</v>
      </c>
      <c r="D83" s="31">
        <v>14085189</v>
      </c>
      <c r="E83" s="31">
        <v>13786538</v>
      </c>
      <c r="F83" s="31">
        <v>13870661</v>
      </c>
      <c r="G83" s="31">
        <v>14522384</v>
      </c>
      <c r="H83" s="31">
        <v>15438954</v>
      </c>
      <c r="I83" s="31">
        <v>15477291</v>
      </c>
      <c r="J83" s="31">
        <v>16611023</v>
      </c>
      <c r="K83" s="31">
        <v>16604521</v>
      </c>
      <c r="L83" s="31">
        <v>16059516</v>
      </c>
      <c r="M83" s="31">
        <v>17827828</v>
      </c>
      <c r="N83" s="31">
        <v>17883592</v>
      </c>
      <c r="O83" s="31">
        <v>19779190.577</v>
      </c>
      <c r="P83" s="61">
        <v>21202820</v>
      </c>
    </row>
    <row r="84" spans="2:16" ht="15" thickBot="1">
      <c r="B84" s="30" t="s">
        <v>64</v>
      </c>
      <c r="C84" s="31">
        <v>979227</v>
      </c>
      <c r="D84" s="31">
        <v>994998</v>
      </c>
      <c r="E84" s="31">
        <v>873259</v>
      </c>
      <c r="F84" s="31">
        <v>856131</v>
      </c>
      <c r="G84" s="31">
        <v>844531</v>
      </c>
      <c r="H84" s="31">
        <v>908158</v>
      </c>
      <c r="I84" s="31">
        <v>876310</v>
      </c>
      <c r="J84" s="31">
        <v>942608</v>
      </c>
      <c r="K84" s="31">
        <v>921570</v>
      </c>
      <c r="L84" s="31">
        <v>974314</v>
      </c>
      <c r="M84" s="31">
        <v>1018639</v>
      </c>
      <c r="N84" s="31">
        <v>1030325</v>
      </c>
      <c r="O84" s="31">
        <v>1078282.1229999999</v>
      </c>
      <c r="P84" s="61">
        <v>1100365</v>
      </c>
    </row>
    <row r="85" spans="2:16" ht="15" thickBot="1">
      <c r="B85" s="30" t="s">
        <v>72</v>
      </c>
      <c r="C85" s="31">
        <v>482</v>
      </c>
      <c r="D85" s="31">
        <v>294</v>
      </c>
      <c r="E85" s="31">
        <v>3143</v>
      </c>
      <c r="F85" s="31">
        <v>2471</v>
      </c>
      <c r="G85" s="31">
        <v>49</v>
      </c>
      <c r="H85" s="31">
        <v>0</v>
      </c>
      <c r="I85" s="31">
        <v>0</v>
      </c>
      <c r="J85" s="31">
        <v>0</v>
      </c>
      <c r="K85" s="31">
        <v>0</v>
      </c>
      <c r="L85" s="31">
        <v>0</v>
      </c>
      <c r="M85" s="31">
        <v>0</v>
      </c>
      <c r="N85" s="31">
        <v>0</v>
      </c>
      <c r="O85" s="31">
        <v>0</v>
      </c>
      <c r="P85" s="61">
        <v>0</v>
      </c>
    </row>
    <row r="86" spans="2:16" ht="15" thickBot="1">
      <c r="B86" s="30" t="s">
        <v>48</v>
      </c>
      <c r="C86" s="31">
        <v>1041742</v>
      </c>
      <c r="D86" s="31">
        <v>1054405</v>
      </c>
      <c r="E86" s="31">
        <v>958397</v>
      </c>
      <c r="F86" s="31">
        <v>855667</v>
      </c>
      <c r="G86" s="31">
        <v>851055</v>
      </c>
      <c r="H86" s="31">
        <v>986905</v>
      </c>
      <c r="I86" s="31">
        <v>975881</v>
      </c>
      <c r="J86" s="31">
        <v>1018136</v>
      </c>
      <c r="K86" s="31">
        <v>991260</v>
      </c>
      <c r="L86" s="31">
        <v>963722</v>
      </c>
      <c r="M86" s="31">
        <v>922503</v>
      </c>
      <c r="N86" s="31">
        <v>867949</v>
      </c>
      <c r="O86" s="31">
        <v>864277.34900000005</v>
      </c>
      <c r="P86" s="61">
        <v>869716</v>
      </c>
    </row>
    <row r="87" spans="2:16" ht="15" thickBot="1">
      <c r="B87" s="30" t="s">
        <v>66</v>
      </c>
      <c r="C87" s="31">
        <v>457326</v>
      </c>
      <c r="D87" s="31">
        <v>490130</v>
      </c>
      <c r="E87" s="31">
        <v>498227</v>
      </c>
      <c r="F87" s="31">
        <v>503086</v>
      </c>
      <c r="G87" s="31">
        <v>498345</v>
      </c>
      <c r="H87" s="31">
        <v>390147</v>
      </c>
      <c r="I87" s="31">
        <v>401258</v>
      </c>
      <c r="J87" s="31">
        <v>407101</v>
      </c>
      <c r="K87" s="31">
        <v>416175</v>
      </c>
      <c r="L87" s="31">
        <v>465417</v>
      </c>
      <c r="M87" s="31">
        <v>474587</v>
      </c>
      <c r="N87" s="31">
        <v>484745</v>
      </c>
      <c r="O87" s="31">
        <v>491689.04800000001</v>
      </c>
      <c r="P87" s="61">
        <v>781100</v>
      </c>
    </row>
    <row r="88" spans="2:16" ht="15" thickBot="1">
      <c r="B88" s="30" t="s">
        <v>67</v>
      </c>
      <c r="C88" s="31">
        <v>267893</v>
      </c>
      <c r="D88" s="31">
        <v>253275</v>
      </c>
      <c r="E88" s="31">
        <v>263566</v>
      </c>
      <c r="F88" s="31">
        <v>256831</v>
      </c>
      <c r="G88" s="31">
        <v>262263</v>
      </c>
      <c r="H88" s="31">
        <v>247497</v>
      </c>
      <c r="I88" s="31">
        <v>242271</v>
      </c>
      <c r="J88" s="31">
        <v>253075</v>
      </c>
      <c r="K88" s="31">
        <v>269538</v>
      </c>
      <c r="L88" s="31">
        <v>211188</v>
      </c>
      <c r="M88" s="31">
        <v>264140</v>
      </c>
      <c r="N88" s="31">
        <v>252228</v>
      </c>
      <c r="O88" s="31">
        <v>280326.23800000001</v>
      </c>
      <c r="P88" s="61">
        <v>247877</v>
      </c>
    </row>
    <row r="89" spans="2:16" ht="15" thickBot="1">
      <c r="B89" s="30" t="s">
        <v>68</v>
      </c>
      <c r="C89" s="31">
        <v>401776</v>
      </c>
      <c r="D89" s="31">
        <v>490647</v>
      </c>
      <c r="E89" s="31">
        <v>466119</v>
      </c>
      <c r="F89" s="31">
        <v>481188</v>
      </c>
      <c r="G89" s="31">
        <v>502174</v>
      </c>
      <c r="H89" s="31">
        <v>499634</v>
      </c>
      <c r="I89" s="31">
        <v>488702</v>
      </c>
      <c r="J89" s="31">
        <v>477728</v>
      </c>
      <c r="K89" s="31">
        <v>483473</v>
      </c>
      <c r="L89" s="31">
        <v>499037</v>
      </c>
      <c r="M89" s="31">
        <v>513217</v>
      </c>
      <c r="N89" s="31">
        <v>486731</v>
      </c>
      <c r="O89" s="31">
        <v>476018.12599999999</v>
      </c>
      <c r="P89" s="61">
        <v>663257</v>
      </c>
    </row>
    <row r="90" spans="2:16" ht="15" thickBot="1">
      <c r="B90" s="30" t="s">
        <v>56</v>
      </c>
      <c r="C90" s="31">
        <v>3986495</v>
      </c>
      <c r="D90" s="31">
        <v>4505765</v>
      </c>
      <c r="E90" s="31">
        <v>4230824</v>
      </c>
      <c r="F90" s="31">
        <v>4023540</v>
      </c>
      <c r="G90" s="31">
        <v>4080568</v>
      </c>
      <c r="H90" s="31">
        <v>4630953</v>
      </c>
      <c r="I90" s="31">
        <v>4595558</v>
      </c>
      <c r="J90" s="31">
        <v>4757707</v>
      </c>
      <c r="K90" s="31">
        <v>4945150</v>
      </c>
      <c r="L90" s="31">
        <v>4841749</v>
      </c>
      <c r="M90" s="31">
        <v>5093887</v>
      </c>
      <c r="N90" s="31">
        <v>4926919</v>
      </c>
      <c r="O90" s="31">
        <v>5089269.8449999997</v>
      </c>
      <c r="P90" s="61">
        <v>5615354</v>
      </c>
    </row>
    <row r="91" spans="2:16" ht="15" thickBot="1">
      <c r="B91" s="28" t="s">
        <v>73</v>
      </c>
      <c r="C91" s="34">
        <v>17932163</v>
      </c>
      <c r="D91" s="34">
        <v>21874703</v>
      </c>
      <c r="E91" s="34">
        <v>21080073</v>
      </c>
      <c r="F91" s="34">
        <v>20849575</v>
      </c>
      <c r="G91" s="34">
        <v>21561369</v>
      </c>
      <c r="H91" s="34">
        <v>23102248</v>
      </c>
      <c r="I91" s="34">
        <v>23057271</v>
      </c>
      <c r="J91" s="34">
        <v>24467378</v>
      </c>
      <c r="K91" s="34">
        <v>24631687</v>
      </c>
      <c r="L91" s="34">
        <v>24014943</v>
      </c>
      <c r="M91" s="34">
        <v>26114801</v>
      </c>
      <c r="N91" s="34">
        <v>25932489</v>
      </c>
      <c r="O91" s="350">
        <v>28059053.305999998</v>
      </c>
      <c r="P91" s="64">
        <f t="shared" ref="P91" si="4">SUM(P83:P90)</f>
        <v>30480489</v>
      </c>
    </row>
    <row r="92" spans="2:16" ht="15" thickBot="1">
      <c r="B92" s="35" t="s">
        <v>74</v>
      </c>
      <c r="C92" s="36">
        <v>21596907</v>
      </c>
      <c r="D92" s="36">
        <v>24984979</v>
      </c>
      <c r="E92" s="36">
        <v>24561267</v>
      </c>
      <c r="F92" s="36">
        <v>24506041</v>
      </c>
      <c r="G92" s="36">
        <v>25058330</v>
      </c>
      <c r="H92" s="36">
        <v>26026027</v>
      </c>
      <c r="I92" s="36">
        <v>26643347</v>
      </c>
      <c r="J92" s="36">
        <v>27940586</v>
      </c>
      <c r="K92" s="36">
        <v>28278639</v>
      </c>
      <c r="L92" s="36">
        <v>27690030</v>
      </c>
      <c r="M92" s="36">
        <v>30912477</v>
      </c>
      <c r="N92" s="36">
        <v>30670335</v>
      </c>
      <c r="O92" s="351">
        <v>31954251.497999996</v>
      </c>
      <c r="P92" s="66">
        <f t="shared" ref="P92" si="5">+P81+P91</f>
        <v>33883530</v>
      </c>
    </row>
    <row r="93" spans="2:16" ht="15" thickBot="1">
      <c r="B93" s="37"/>
      <c r="C93" s="38"/>
      <c r="D93" s="38"/>
      <c r="E93" s="38"/>
      <c r="F93" s="38"/>
      <c r="G93" s="38"/>
      <c r="H93" s="38"/>
      <c r="I93" s="38"/>
      <c r="J93" s="38"/>
      <c r="K93" s="38"/>
      <c r="L93" s="38"/>
      <c r="M93" s="38"/>
      <c r="N93" s="38"/>
      <c r="O93" s="352"/>
      <c r="P93" s="618"/>
    </row>
    <row r="94" spans="2:16" ht="15" thickBot="1">
      <c r="B94" s="43" t="s">
        <v>75</v>
      </c>
      <c r="C94" s="42"/>
      <c r="D94" s="42"/>
      <c r="E94" s="42"/>
      <c r="F94" s="42"/>
      <c r="G94" s="42"/>
      <c r="H94" s="42"/>
      <c r="I94" s="42"/>
      <c r="J94" s="42"/>
      <c r="K94" s="42"/>
      <c r="L94" s="42"/>
      <c r="M94" s="42"/>
      <c r="N94" s="42"/>
      <c r="O94" s="355"/>
      <c r="P94" s="72"/>
    </row>
    <row r="95" spans="2:16" ht="15" thickBot="1">
      <c r="B95" s="30" t="s">
        <v>76</v>
      </c>
      <c r="C95" s="31">
        <v>36916</v>
      </c>
      <c r="D95" s="31">
        <v>36916</v>
      </c>
      <c r="E95" s="31">
        <v>36916</v>
      </c>
      <c r="F95" s="31">
        <v>36916</v>
      </c>
      <c r="G95" s="31">
        <v>36916</v>
      </c>
      <c r="H95" s="31">
        <v>36916</v>
      </c>
      <c r="I95" s="31">
        <v>36916</v>
      </c>
      <c r="J95" s="31">
        <v>36916</v>
      </c>
      <c r="K95" s="31">
        <v>36916</v>
      </c>
      <c r="L95" s="31">
        <v>36916</v>
      </c>
      <c r="M95" s="31">
        <v>36916</v>
      </c>
      <c r="N95" s="31">
        <v>36916</v>
      </c>
      <c r="O95" s="31">
        <v>36916.334999999999</v>
      </c>
      <c r="P95" s="61">
        <v>36916</v>
      </c>
    </row>
    <row r="96" spans="2:16" ht="15" thickBot="1">
      <c r="B96" s="30" t="s">
        <v>77</v>
      </c>
      <c r="C96" s="31">
        <v>1428128</v>
      </c>
      <c r="D96" s="31">
        <v>1428128</v>
      </c>
      <c r="E96" s="31">
        <v>1428128</v>
      </c>
      <c r="F96" s="31">
        <v>1428128</v>
      </c>
      <c r="G96" s="31">
        <v>1428128</v>
      </c>
      <c r="H96" s="31">
        <v>1428128</v>
      </c>
      <c r="I96" s="31">
        <v>1428128</v>
      </c>
      <c r="J96" s="31">
        <v>1428128</v>
      </c>
      <c r="K96" s="31">
        <v>1428128</v>
      </c>
      <c r="L96" s="31">
        <v>1428128</v>
      </c>
      <c r="M96" s="31">
        <v>1428128</v>
      </c>
      <c r="N96" s="31">
        <v>1428128</v>
      </c>
      <c r="O96" s="31">
        <v>1428127.8910000001</v>
      </c>
      <c r="P96" s="61">
        <v>1428128</v>
      </c>
    </row>
    <row r="97" spans="2:16" ht="15" thickBot="1">
      <c r="B97" s="30" t="s">
        <v>78</v>
      </c>
      <c r="C97" s="31">
        <v>1878709</v>
      </c>
      <c r="D97" s="31">
        <v>3585959</v>
      </c>
      <c r="E97" s="31">
        <v>4428306</v>
      </c>
      <c r="F97" s="31">
        <v>4428306</v>
      </c>
      <c r="G97" s="31">
        <v>4428306</v>
      </c>
      <c r="H97" s="31">
        <v>4428306</v>
      </c>
      <c r="I97" s="31">
        <v>5346023</v>
      </c>
      <c r="J97" s="31">
        <v>5346023</v>
      </c>
      <c r="K97" s="31">
        <v>5346023</v>
      </c>
      <c r="L97" s="31">
        <v>5346023</v>
      </c>
      <c r="M97" s="31">
        <v>6241845</v>
      </c>
      <c r="N97" s="31">
        <v>6241845</v>
      </c>
      <c r="O97" s="31">
        <v>6241845.2189999996</v>
      </c>
      <c r="P97" s="61">
        <v>6241845</v>
      </c>
    </row>
    <row r="98" spans="2:16" ht="15" thickBot="1">
      <c r="B98" s="30" t="s">
        <v>79</v>
      </c>
      <c r="C98" s="31">
        <v>3232907</v>
      </c>
      <c r="D98" s="31">
        <v>3228134</v>
      </c>
      <c r="E98" s="31">
        <v>3223361</v>
      </c>
      <c r="F98" s="31">
        <v>3223361</v>
      </c>
      <c r="G98" s="31">
        <v>3223361</v>
      </c>
      <c r="H98" s="31">
        <v>3217227</v>
      </c>
      <c r="I98" s="31">
        <v>3212454</v>
      </c>
      <c r="J98" s="31">
        <v>3212454</v>
      </c>
      <c r="K98" s="31">
        <v>3212454</v>
      </c>
      <c r="L98" s="31">
        <v>3212454</v>
      </c>
      <c r="M98" s="31">
        <v>3207681</v>
      </c>
      <c r="N98" s="31">
        <v>3207681</v>
      </c>
      <c r="O98" s="31">
        <v>3207681.1860000002</v>
      </c>
      <c r="P98" s="61">
        <v>3207681</v>
      </c>
    </row>
    <row r="99" spans="2:16" ht="15" thickBot="1">
      <c r="B99" s="30" t="s">
        <v>80</v>
      </c>
      <c r="C99" s="31">
        <v>2136629</v>
      </c>
      <c r="D99" s="31">
        <v>1437936</v>
      </c>
      <c r="E99" s="31">
        <v>297574</v>
      </c>
      <c r="F99" s="31">
        <v>529831</v>
      </c>
      <c r="G99" s="31">
        <v>942858</v>
      </c>
      <c r="H99" s="31">
        <v>1524382</v>
      </c>
      <c r="I99" s="31">
        <v>353125</v>
      </c>
      <c r="J99" s="31">
        <v>792215</v>
      </c>
      <c r="K99" s="31">
        <v>1198066</v>
      </c>
      <c r="L99" s="31">
        <v>1638732</v>
      </c>
      <c r="M99" s="31">
        <v>378507</v>
      </c>
      <c r="N99" s="31">
        <v>928923</v>
      </c>
      <c r="O99" s="31">
        <v>1412690.426</v>
      </c>
      <c r="P99" s="61">
        <v>2059191</v>
      </c>
    </row>
    <row r="100" spans="2:16" ht="15" thickBot="1">
      <c r="B100" s="30" t="s">
        <v>81</v>
      </c>
      <c r="C100" s="31">
        <v>1150568</v>
      </c>
      <c r="D100" s="31">
        <v>1239964</v>
      </c>
      <c r="E100" s="31">
        <v>654756</v>
      </c>
      <c r="F100" s="31">
        <v>411702</v>
      </c>
      <c r="G100" s="31">
        <v>377232</v>
      </c>
      <c r="H100" s="31">
        <v>1234415</v>
      </c>
      <c r="I100" s="31">
        <v>1023603</v>
      </c>
      <c r="J100" s="31">
        <v>1090675</v>
      </c>
      <c r="K100" s="31">
        <v>1275496</v>
      </c>
      <c r="L100" s="31">
        <v>779923</v>
      </c>
      <c r="M100" s="31">
        <v>1451479</v>
      </c>
      <c r="N100" s="31">
        <v>527193</v>
      </c>
      <c r="O100" s="31">
        <v>910035.81700000004</v>
      </c>
      <c r="P100" s="61">
        <v>194014</v>
      </c>
    </row>
    <row r="101" spans="2:16" ht="15" thickBot="1">
      <c r="B101" s="44" t="s">
        <v>82</v>
      </c>
      <c r="C101" s="45">
        <v>9863857</v>
      </c>
      <c r="D101" s="45">
        <v>10957037</v>
      </c>
      <c r="E101" s="45">
        <v>10069041</v>
      </c>
      <c r="F101" s="45">
        <v>10058244</v>
      </c>
      <c r="G101" s="45">
        <v>10436801</v>
      </c>
      <c r="H101" s="45">
        <v>11869374</v>
      </c>
      <c r="I101" s="45">
        <v>11400249</v>
      </c>
      <c r="J101" s="45">
        <v>11906411</v>
      </c>
      <c r="K101" s="45">
        <v>12497083</v>
      </c>
      <c r="L101" s="45">
        <v>12442176</v>
      </c>
      <c r="M101" s="45">
        <v>12744556</v>
      </c>
      <c r="N101" s="45">
        <v>12370686</v>
      </c>
      <c r="O101" s="356">
        <v>13237296.874</v>
      </c>
      <c r="P101" s="619">
        <f t="shared" ref="P101" si="6">SUM(P95:P100)</f>
        <v>13167775</v>
      </c>
    </row>
    <row r="102" spans="2:16" ht="15" thickBot="1">
      <c r="B102" s="46" t="s">
        <v>83</v>
      </c>
      <c r="C102" s="31">
        <v>7047621</v>
      </c>
      <c r="D102" s="31">
        <v>7466485</v>
      </c>
      <c r="E102" s="31">
        <v>6949714</v>
      </c>
      <c r="F102" s="31">
        <v>6150603</v>
      </c>
      <c r="G102" s="31">
        <v>6403173</v>
      </c>
      <c r="H102" s="31">
        <v>7072453</v>
      </c>
      <c r="I102" s="31">
        <v>6983688</v>
      </c>
      <c r="J102" s="31">
        <v>7418667</v>
      </c>
      <c r="K102" s="31">
        <v>7464694</v>
      </c>
      <c r="L102" s="31">
        <v>8661038</v>
      </c>
      <c r="M102" s="31">
        <v>7683237</v>
      </c>
      <c r="N102" s="31">
        <v>6861135</v>
      </c>
      <c r="O102" s="31">
        <v>7088717.7889999999</v>
      </c>
      <c r="P102" s="61">
        <v>6978418</v>
      </c>
    </row>
    <row r="103" spans="2:16" ht="15" thickBot="1">
      <c r="B103" s="28" t="s">
        <v>84</v>
      </c>
      <c r="C103" s="34">
        <v>16911478</v>
      </c>
      <c r="D103" s="34">
        <v>18423522</v>
      </c>
      <c r="E103" s="34">
        <v>17018755</v>
      </c>
      <c r="F103" s="34">
        <v>16208847</v>
      </c>
      <c r="G103" s="34">
        <v>16839974</v>
      </c>
      <c r="H103" s="34">
        <v>18941827</v>
      </c>
      <c r="I103" s="34">
        <v>18383937</v>
      </c>
      <c r="J103" s="34">
        <v>19325078</v>
      </c>
      <c r="K103" s="34">
        <v>19961777</v>
      </c>
      <c r="L103" s="34">
        <v>21103214</v>
      </c>
      <c r="M103" s="34">
        <v>20427793</v>
      </c>
      <c r="N103" s="34">
        <v>19231821</v>
      </c>
      <c r="O103" s="350">
        <v>20326014.662999999</v>
      </c>
      <c r="P103" s="64">
        <f t="shared" ref="P103" si="7">+P101+P102</f>
        <v>20146193</v>
      </c>
    </row>
    <row r="104" spans="2:16" ht="15" thickBot="1">
      <c r="B104" s="47" t="s">
        <v>85</v>
      </c>
      <c r="C104" s="36">
        <v>38508385</v>
      </c>
      <c r="D104" s="36">
        <v>43408501</v>
      </c>
      <c r="E104" s="36">
        <v>41580022</v>
      </c>
      <c r="F104" s="36">
        <v>40714888</v>
      </c>
      <c r="G104" s="36">
        <v>41898304</v>
      </c>
      <c r="H104" s="36">
        <v>44967854</v>
      </c>
      <c r="I104" s="36">
        <v>45027284</v>
      </c>
      <c r="J104" s="36">
        <v>47265664</v>
      </c>
      <c r="K104" s="36">
        <v>48240416</v>
      </c>
      <c r="L104" s="36">
        <v>48793244</v>
      </c>
      <c r="M104" s="36">
        <v>51340270</v>
      </c>
      <c r="N104" s="36">
        <v>49902156</v>
      </c>
      <c r="O104" s="351">
        <v>52280266.160999998</v>
      </c>
      <c r="P104" s="66">
        <f t="shared" ref="P104" si="8">+P92+P103</f>
        <v>54029723</v>
      </c>
    </row>
    <row r="105" spans="2:16">
      <c r="B105" s="8"/>
      <c r="C105" s="48">
        <f>+C69-C92-C103</f>
        <v>0</v>
      </c>
      <c r="D105" s="48">
        <f t="shared" ref="D105:N105" si="9">+D69-D92-D103</f>
        <v>0</v>
      </c>
      <c r="E105" s="48">
        <f t="shared" si="9"/>
        <v>0</v>
      </c>
      <c r="F105" s="48">
        <f t="shared" si="9"/>
        <v>0</v>
      </c>
      <c r="G105" s="48">
        <f t="shared" si="9"/>
        <v>0</v>
      </c>
      <c r="H105" s="48">
        <f t="shared" si="9"/>
        <v>0</v>
      </c>
      <c r="I105" s="48">
        <f t="shared" si="9"/>
        <v>0</v>
      </c>
      <c r="J105" s="48">
        <f t="shared" si="9"/>
        <v>0</v>
      </c>
      <c r="K105" s="48">
        <f t="shared" si="9"/>
        <v>0</v>
      </c>
      <c r="L105" s="48">
        <f t="shared" si="9"/>
        <v>0</v>
      </c>
      <c r="M105" s="48">
        <f t="shared" si="9"/>
        <v>0</v>
      </c>
      <c r="N105" s="48">
        <f t="shared" si="9"/>
        <v>0</v>
      </c>
      <c r="P105" s="259">
        <f t="shared" ref="P105" si="10">+P104-P69</f>
        <v>0</v>
      </c>
    </row>
    <row r="106" spans="2:16">
      <c r="C106" s="143">
        <f>+C35-C99</f>
        <v>0</v>
      </c>
      <c r="D106" s="143">
        <f t="shared" ref="D106:E106" si="11">+D35-D99</f>
        <v>0</v>
      </c>
      <c r="E106" s="143">
        <f t="shared" si="11"/>
        <v>0</v>
      </c>
      <c r="F106" s="143">
        <f>+F35+E35-F99</f>
        <v>0</v>
      </c>
      <c r="G106" s="143">
        <f>+G35+F35+E35-G99</f>
        <v>0</v>
      </c>
      <c r="H106" s="143">
        <f>+H35+G35+F35+E35-H99</f>
        <v>0</v>
      </c>
      <c r="I106" s="143">
        <f t="shared" ref="I106" si="12">+I35-I99</f>
        <v>0</v>
      </c>
      <c r="J106" s="143">
        <f>+J35+I35-J99</f>
        <v>0</v>
      </c>
      <c r="K106" s="143">
        <f>+K35+J35+I35-K99</f>
        <v>0</v>
      </c>
      <c r="L106" s="143">
        <f>+L35+K35+J35+I35-L99</f>
        <v>0</v>
      </c>
      <c r="M106" s="143">
        <f t="shared" ref="M106" si="13">+M35-M99</f>
        <v>0</v>
      </c>
      <c r="N106" s="143">
        <f>+N35+M35-N99</f>
        <v>0</v>
      </c>
      <c r="O106" s="224"/>
      <c r="P106" s="143"/>
    </row>
    <row r="107" spans="2:16">
      <c r="C107" s="143"/>
      <c r="D107" s="143"/>
      <c r="E107" s="143"/>
      <c r="F107" s="143"/>
      <c r="G107" s="143"/>
      <c r="H107" s="143"/>
      <c r="I107" s="143"/>
      <c r="J107" s="143"/>
      <c r="K107" s="143"/>
      <c r="L107" s="143"/>
      <c r="M107" s="143"/>
      <c r="N107" s="143"/>
    </row>
    <row r="108" spans="2:16">
      <c r="F108" s="143"/>
      <c r="G108" s="143"/>
      <c r="H108" s="143"/>
      <c r="I108" s="143"/>
      <c r="J108" s="143"/>
      <c r="K108" s="143"/>
      <c r="L108" s="143"/>
      <c r="M108" s="143"/>
      <c r="N108" s="143"/>
    </row>
  </sheetData>
  <hyperlinks>
    <hyperlink ref="A1" location="'Table of Contents'!A1" display="Return to Table of Contents" xr:uid="{00000000-0004-0000-0100-000000000000}"/>
  </hyperlinks>
  <pageMargins left="0.7" right="0.7" top="0.75" bottom="0.75" header="0.3" footer="0.3"/>
  <pageSetup orientation="portrait" r:id="rId1"/>
  <customProperties>
    <customPr name="_pios_id" r:id="rId2"/>
    <customPr name="EpmWorksheetKeyString_GUID" r:id="rId3"/>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19ED0-B430-4E64-8170-066E93B6F798}">
  <dimension ref="A1:P269"/>
  <sheetViews>
    <sheetView showGridLines="0" zoomScale="85" zoomScaleNormal="85" workbookViewId="0">
      <pane xSplit="2" ySplit="6" topLeftCell="I19" activePane="bottomRight" state="frozen"/>
      <selection pane="topRight" activeCell="C1" sqref="C1"/>
      <selection pane="bottomLeft" activeCell="A7" sqref="A7"/>
      <selection pane="bottomRight" activeCell="B193" sqref="B193"/>
    </sheetView>
  </sheetViews>
  <sheetFormatPr baseColWidth="10" defaultColWidth="11.453125" defaultRowHeight="14.5"/>
  <cols>
    <col min="1" max="1" width="4.1796875" customWidth="1"/>
    <col min="2" max="2" width="63.1796875" customWidth="1"/>
    <col min="3" max="3" width="14" bestFit="1" customWidth="1"/>
    <col min="4" max="8" width="13.453125" bestFit="1" customWidth="1"/>
    <col min="9" max="9" width="13.1796875" customWidth="1"/>
    <col min="10" max="10" width="13.453125" bestFit="1" customWidth="1"/>
    <col min="11" max="11" width="15.1796875" customWidth="1"/>
    <col min="12" max="12" width="14.453125" customWidth="1"/>
    <col min="13" max="14" width="13.453125" bestFit="1" customWidth="1"/>
    <col min="15" max="15" width="16.26953125" customWidth="1"/>
    <col min="16" max="16" width="16.54296875" customWidth="1"/>
  </cols>
  <sheetData>
    <row r="1" spans="1:16">
      <c r="A1" s="3" t="s">
        <v>686</v>
      </c>
      <c r="B1" s="1"/>
      <c r="C1" s="1"/>
      <c r="D1" s="1"/>
      <c r="E1" s="1"/>
      <c r="F1" s="1"/>
      <c r="G1" s="1"/>
      <c r="H1" s="1"/>
      <c r="I1" s="1"/>
      <c r="J1" s="1"/>
      <c r="K1" s="1"/>
      <c r="L1" s="1"/>
      <c r="M1" s="1"/>
      <c r="N1" s="1"/>
    </row>
    <row r="3" spans="1:16" ht="15.5">
      <c r="A3" s="225" t="s">
        <v>492</v>
      </c>
      <c r="B3" s="19" t="s">
        <v>86</v>
      </c>
      <c r="C3" s="6"/>
      <c r="D3" s="6"/>
      <c r="E3" s="7"/>
      <c r="F3" s="6"/>
      <c r="G3" s="6"/>
      <c r="H3" s="6"/>
      <c r="I3" s="7"/>
      <c r="J3" s="6"/>
      <c r="K3" s="6"/>
      <c r="L3" s="6"/>
      <c r="M3" s="7"/>
      <c r="N3" s="6"/>
    </row>
    <row r="4" spans="1:16" ht="15">
      <c r="A4" s="1"/>
      <c r="B4" s="21" t="s">
        <v>2</v>
      </c>
      <c r="C4" s="8"/>
      <c r="D4" s="8"/>
      <c r="E4" s="8"/>
      <c r="F4" s="8"/>
      <c r="G4" s="8"/>
      <c r="H4" s="8"/>
      <c r="I4" s="8"/>
      <c r="J4" s="8"/>
      <c r="K4" s="8"/>
      <c r="L4" s="8"/>
      <c r="M4" s="8"/>
      <c r="N4" s="8"/>
    </row>
    <row r="5" spans="1:16" ht="15.5">
      <c r="A5" s="1"/>
      <c r="B5" s="9"/>
      <c r="C5" s="9"/>
      <c r="D5" s="9"/>
      <c r="E5" s="9"/>
      <c r="F5" s="9"/>
      <c r="G5" s="9"/>
      <c r="H5" s="9"/>
      <c r="I5" s="9"/>
      <c r="J5" s="9"/>
      <c r="K5" s="9"/>
      <c r="L5" s="9"/>
      <c r="M5" s="9"/>
      <c r="N5" s="9"/>
    </row>
    <row r="6" spans="1:16" s="51" customFormat="1" ht="15">
      <c r="B6" s="52"/>
      <c r="C6" s="49">
        <v>2016</v>
      </c>
      <c r="D6" s="49">
        <v>2017</v>
      </c>
      <c r="E6" s="49" t="s">
        <v>3</v>
      </c>
      <c r="F6" s="49" t="s">
        <v>4</v>
      </c>
      <c r="G6" s="49" t="s">
        <v>5</v>
      </c>
      <c r="H6" s="49" t="s">
        <v>6</v>
      </c>
      <c r="I6" s="49" t="s">
        <v>7</v>
      </c>
      <c r="J6" s="49" t="s">
        <v>8</v>
      </c>
      <c r="K6" s="49" t="s">
        <v>9</v>
      </c>
      <c r="L6" s="49" t="s">
        <v>10</v>
      </c>
      <c r="M6" s="49" t="s">
        <v>11</v>
      </c>
      <c r="N6" s="49" t="s">
        <v>12</v>
      </c>
      <c r="O6" s="358" t="s">
        <v>685</v>
      </c>
      <c r="P6" s="358" t="s">
        <v>1111</v>
      </c>
    </row>
    <row r="7" spans="1:16" ht="15.5">
      <c r="A7" s="1"/>
      <c r="B7" s="10"/>
      <c r="C7" s="11"/>
      <c r="D7" s="11"/>
      <c r="E7" s="11"/>
      <c r="F7" s="11"/>
      <c r="G7" s="11"/>
      <c r="H7" s="11"/>
      <c r="I7" s="11"/>
      <c r="J7" s="11"/>
      <c r="K7" s="11"/>
      <c r="L7" s="11"/>
      <c r="M7" s="11"/>
      <c r="N7" s="11"/>
      <c r="O7" s="9"/>
    </row>
    <row r="8" spans="1:16" ht="15.5">
      <c r="A8" s="1"/>
      <c r="B8" s="12" t="s">
        <v>87</v>
      </c>
      <c r="C8" s="149">
        <v>837439</v>
      </c>
      <c r="D8" s="149">
        <v>805898</v>
      </c>
      <c r="E8" s="149">
        <v>202706</v>
      </c>
      <c r="F8" s="149">
        <v>203436</v>
      </c>
      <c r="G8" s="149">
        <v>209060</v>
      </c>
      <c r="H8" s="149">
        <v>211029</v>
      </c>
      <c r="I8" s="153">
        <v>216677</v>
      </c>
      <c r="J8" s="153">
        <v>217960</v>
      </c>
      <c r="K8" s="153">
        <v>230260</v>
      </c>
      <c r="L8" s="153">
        <v>229258</v>
      </c>
      <c r="M8" s="157">
        <v>247540</v>
      </c>
      <c r="N8" s="157">
        <v>248543</v>
      </c>
      <c r="O8" s="359">
        <v>244340</v>
      </c>
      <c r="P8" s="157">
        <f>975322-O8-N8-M8</f>
        <v>234899</v>
      </c>
    </row>
    <row r="9" spans="1:16" ht="15.5">
      <c r="A9" s="1"/>
      <c r="B9" s="12" t="s">
        <v>88</v>
      </c>
      <c r="C9" s="149">
        <v>20887</v>
      </c>
      <c r="D9" s="149">
        <v>64590</v>
      </c>
      <c r="E9" s="149">
        <v>15695</v>
      </c>
      <c r="F9" s="149">
        <v>11937</v>
      </c>
      <c r="G9" s="149">
        <v>26749</v>
      </c>
      <c r="H9" s="149">
        <v>63631</v>
      </c>
      <c r="I9" s="153">
        <v>62304</v>
      </c>
      <c r="J9" s="153">
        <v>58386</v>
      </c>
      <c r="K9" s="153">
        <v>65690</v>
      </c>
      <c r="L9" s="153">
        <v>61101</v>
      </c>
      <c r="M9" s="157">
        <v>57851</v>
      </c>
      <c r="N9" s="157">
        <v>61311</v>
      </c>
      <c r="O9" s="359">
        <v>61687</v>
      </c>
      <c r="P9" s="157">
        <f>246402-O9-N9-M9</f>
        <v>65553</v>
      </c>
    </row>
    <row r="10" spans="1:16" ht="15.5">
      <c r="A10" s="1"/>
      <c r="B10" s="12" t="s">
        <v>532</v>
      </c>
      <c r="C10" s="149">
        <v>2166</v>
      </c>
      <c r="D10" s="149">
        <v>2176</v>
      </c>
      <c r="E10" s="149">
        <v>551</v>
      </c>
      <c r="F10" s="149">
        <v>553</v>
      </c>
      <c r="G10" s="149">
        <v>556</v>
      </c>
      <c r="H10" s="149">
        <v>568</v>
      </c>
      <c r="I10" s="153">
        <v>559</v>
      </c>
      <c r="J10" s="153">
        <v>579</v>
      </c>
      <c r="K10" s="153">
        <v>584</v>
      </c>
      <c r="L10" s="153">
        <v>591</v>
      </c>
      <c r="M10" s="157">
        <v>589</v>
      </c>
      <c r="N10" s="157">
        <v>592</v>
      </c>
      <c r="O10" s="359">
        <v>593</v>
      </c>
      <c r="P10" s="157">
        <f>2372-O10-N10-M10</f>
        <v>598</v>
      </c>
    </row>
    <row r="11" spans="1:16" ht="15.5">
      <c r="A11" s="1"/>
      <c r="B11" s="12" t="s">
        <v>90</v>
      </c>
      <c r="C11" s="149">
        <v>10847</v>
      </c>
      <c r="D11" s="149">
        <v>6472</v>
      </c>
      <c r="E11" s="149">
        <v>288</v>
      </c>
      <c r="F11" s="149">
        <v>2495</v>
      </c>
      <c r="G11" s="149">
        <v>543</v>
      </c>
      <c r="H11" s="149">
        <v>3662</v>
      </c>
      <c r="I11" s="153">
        <v>986</v>
      </c>
      <c r="J11" s="153">
        <v>3555</v>
      </c>
      <c r="K11" s="153">
        <v>722</v>
      </c>
      <c r="L11" s="153">
        <v>1454</v>
      </c>
      <c r="M11" s="157">
        <v>556</v>
      </c>
      <c r="N11" s="157">
        <v>2386</v>
      </c>
      <c r="O11" s="359">
        <v>2065</v>
      </c>
      <c r="P11" s="157">
        <f>6533-O11-N11-M11</f>
        <v>1526</v>
      </c>
    </row>
    <row r="12" spans="1:16" ht="15.5">
      <c r="A12" s="1"/>
      <c r="B12" s="12" t="s">
        <v>91</v>
      </c>
      <c r="C12" s="149">
        <v>979</v>
      </c>
      <c r="D12" s="149">
        <v>3784</v>
      </c>
      <c r="E12" s="149">
        <v>197</v>
      </c>
      <c r="F12" s="149">
        <v>228</v>
      </c>
      <c r="G12" s="149">
        <v>202</v>
      </c>
      <c r="H12" s="149">
        <v>3836</v>
      </c>
      <c r="I12" s="153">
        <v>405</v>
      </c>
      <c r="J12" s="153">
        <v>405</v>
      </c>
      <c r="K12" s="153">
        <v>405</v>
      </c>
      <c r="L12" s="153">
        <v>405</v>
      </c>
      <c r="M12" s="157">
        <v>195</v>
      </c>
      <c r="N12" s="157">
        <v>80</v>
      </c>
      <c r="O12" s="359">
        <v>80</v>
      </c>
      <c r="P12" s="157">
        <f>418-O12-N12-M12</f>
        <v>63</v>
      </c>
    </row>
    <row r="13" spans="1:16" ht="15.5">
      <c r="A13" s="1"/>
      <c r="B13" s="12" t="s">
        <v>22</v>
      </c>
      <c r="C13" s="149">
        <v>8923</v>
      </c>
      <c r="D13" s="149">
        <v>6319</v>
      </c>
      <c r="E13" s="149">
        <v>63172</v>
      </c>
      <c r="F13" s="149">
        <v>2324</v>
      </c>
      <c r="G13" s="149">
        <v>3437</v>
      </c>
      <c r="H13" s="149">
        <v>-1634</v>
      </c>
      <c r="I13" s="153">
        <v>1275</v>
      </c>
      <c r="J13" s="153">
        <v>2305</v>
      </c>
      <c r="K13" s="153">
        <v>1938</v>
      </c>
      <c r="L13" s="153">
        <v>1964</v>
      </c>
      <c r="M13" s="157">
        <v>2013</v>
      </c>
      <c r="N13" s="157">
        <v>2182</v>
      </c>
      <c r="O13" s="359">
        <v>2150</v>
      </c>
      <c r="P13" s="157">
        <f>8438-O13-N13-M13</f>
        <v>2093</v>
      </c>
    </row>
    <row r="14" spans="1:16" ht="15.5">
      <c r="A14" s="1"/>
      <c r="B14" s="12" t="s">
        <v>23</v>
      </c>
      <c r="C14" s="149">
        <v>138135</v>
      </c>
      <c r="D14" s="149">
        <v>137075</v>
      </c>
      <c r="E14" s="149">
        <v>38850</v>
      </c>
      <c r="F14" s="149">
        <v>27810</v>
      </c>
      <c r="G14" s="149">
        <v>30029</v>
      </c>
      <c r="H14" s="149">
        <v>33058</v>
      </c>
      <c r="I14" s="153">
        <v>43956</v>
      </c>
      <c r="J14" s="153">
        <v>34908</v>
      </c>
      <c r="K14" s="153">
        <v>32330</v>
      </c>
      <c r="L14" s="153">
        <v>45151</v>
      </c>
      <c r="M14" s="157">
        <v>46417</v>
      </c>
      <c r="N14" s="157">
        <v>34301</v>
      </c>
      <c r="O14" s="359">
        <v>33304</v>
      </c>
      <c r="P14" s="157">
        <f>164657-O14-N14-M14</f>
        <v>50635</v>
      </c>
    </row>
    <row r="15" spans="1:16" ht="15.5">
      <c r="A15" s="1"/>
      <c r="B15" s="16" t="s">
        <v>92</v>
      </c>
      <c r="C15" s="150">
        <v>743106</v>
      </c>
      <c r="D15" s="150">
        <v>752164</v>
      </c>
      <c r="E15" s="150">
        <v>243759</v>
      </c>
      <c r="F15" s="150">
        <v>193163</v>
      </c>
      <c r="G15" s="150">
        <v>210518</v>
      </c>
      <c r="H15" s="150">
        <v>248034</v>
      </c>
      <c r="I15" s="154">
        <v>238250</v>
      </c>
      <c r="J15" s="154">
        <v>248282</v>
      </c>
      <c r="K15" s="154">
        <v>267269</v>
      </c>
      <c r="L15" s="154">
        <v>249622</v>
      </c>
      <c r="M15" s="158">
        <v>262327</v>
      </c>
      <c r="N15" s="158">
        <v>280793</v>
      </c>
      <c r="O15" s="360">
        <v>277611</v>
      </c>
      <c r="P15" s="645">
        <f>+SUM(P8:P13)-P14</f>
        <v>254097</v>
      </c>
    </row>
    <row r="16" spans="1:16" ht="15.5">
      <c r="A16" s="1"/>
      <c r="B16" s="10"/>
      <c r="C16" s="148"/>
      <c r="D16" s="148"/>
      <c r="E16" s="148"/>
      <c r="F16" s="148"/>
      <c r="G16" s="148"/>
      <c r="H16" s="148"/>
      <c r="I16" s="152"/>
      <c r="J16" s="152"/>
      <c r="K16" s="152"/>
      <c r="L16" s="152"/>
      <c r="M16" s="156"/>
      <c r="N16" s="156"/>
      <c r="O16" s="9"/>
      <c r="P16" s="181"/>
    </row>
    <row r="17" spans="1:16" ht="15.5">
      <c r="B17" s="12" t="s">
        <v>26</v>
      </c>
      <c r="C17" s="149">
        <v>189361</v>
      </c>
      <c r="D17" s="149">
        <v>166345</v>
      </c>
      <c r="E17" s="149">
        <v>44671</v>
      </c>
      <c r="F17" s="149">
        <v>43742</v>
      </c>
      <c r="G17" s="149">
        <v>43552</v>
      </c>
      <c r="H17" s="149">
        <v>34912</v>
      </c>
      <c r="I17" s="153">
        <v>44008</v>
      </c>
      <c r="J17" s="153">
        <v>42137</v>
      </c>
      <c r="K17" s="153">
        <v>48383</v>
      </c>
      <c r="L17" s="153">
        <v>37586</v>
      </c>
      <c r="M17" s="157">
        <v>43933</v>
      </c>
      <c r="N17" s="157">
        <v>44289</v>
      </c>
      <c r="O17" s="359">
        <v>44095</v>
      </c>
      <c r="P17" s="157">
        <f>176786-O17-N17-M17</f>
        <v>44469</v>
      </c>
    </row>
    <row r="18" spans="1:16" ht="15.5">
      <c r="B18" s="12" t="s">
        <v>27</v>
      </c>
      <c r="C18" s="149">
        <v>1906783</v>
      </c>
      <c r="D18" s="149">
        <v>1128274</v>
      </c>
      <c r="E18" s="149">
        <v>203004</v>
      </c>
      <c r="F18" s="149">
        <v>175187</v>
      </c>
      <c r="G18" s="149">
        <v>344397</v>
      </c>
      <c r="H18" s="149">
        <v>350199</v>
      </c>
      <c r="I18" s="153">
        <v>277267</v>
      </c>
      <c r="J18" s="153">
        <v>359351</v>
      </c>
      <c r="K18" s="153">
        <v>332630</v>
      </c>
      <c r="L18" s="153">
        <v>318187</v>
      </c>
      <c r="M18" s="157">
        <v>272185</v>
      </c>
      <c r="N18" s="157">
        <v>428492</v>
      </c>
      <c r="O18" s="359">
        <v>361720</v>
      </c>
      <c r="P18" s="157">
        <f>1621538-O18-N18-M18</f>
        <v>559141</v>
      </c>
    </row>
    <row r="19" spans="1:16" ht="15.5">
      <c r="B19" s="12" t="s">
        <v>28</v>
      </c>
      <c r="C19" s="149">
        <v>3226</v>
      </c>
      <c r="D19" s="149">
        <v>3930</v>
      </c>
      <c r="E19" s="149">
        <v>155</v>
      </c>
      <c r="F19" s="149">
        <v>-66</v>
      </c>
      <c r="G19" s="149">
        <v>1641</v>
      </c>
      <c r="H19" s="149">
        <v>-2449</v>
      </c>
      <c r="I19" s="153">
        <v>-902</v>
      </c>
      <c r="J19" s="153">
        <v>128</v>
      </c>
      <c r="K19" s="153">
        <v>-182</v>
      </c>
      <c r="L19" s="153">
        <v>17123</v>
      </c>
      <c r="M19" s="157">
        <v>2652</v>
      </c>
      <c r="N19" s="157">
        <v>-3454</v>
      </c>
      <c r="O19" s="359">
        <v>-3694</v>
      </c>
      <c r="P19" s="157">
        <f>-5866-O19-N19-M19</f>
        <v>-1370</v>
      </c>
    </row>
    <row r="20" spans="1:16" ht="15.5">
      <c r="B20" s="16" t="s">
        <v>29</v>
      </c>
      <c r="C20" s="151">
        <v>2463754</v>
      </c>
      <c r="D20" s="151">
        <v>1718023</v>
      </c>
      <c r="E20" s="151">
        <v>402247</v>
      </c>
      <c r="F20" s="151">
        <v>324542</v>
      </c>
      <c r="G20" s="151">
        <v>513004</v>
      </c>
      <c r="H20" s="151">
        <v>560872</v>
      </c>
      <c r="I20" s="155">
        <v>470607</v>
      </c>
      <c r="J20" s="155">
        <v>565624</v>
      </c>
      <c r="K20" s="155">
        <v>551334</v>
      </c>
      <c r="L20" s="155">
        <v>547346</v>
      </c>
      <c r="M20" s="159">
        <v>493231</v>
      </c>
      <c r="N20" s="159">
        <v>661542</v>
      </c>
      <c r="O20" s="361">
        <v>591542</v>
      </c>
      <c r="P20" s="646">
        <f>+P15-P17+P18+P19</f>
        <v>767399</v>
      </c>
    </row>
    <row r="21" spans="1:16" ht="15.5">
      <c r="B21" s="12"/>
      <c r="C21" s="149"/>
      <c r="D21" s="149"/>
      <c r="E21" s="149"/>
      <c r="F21" s="149"/>
      <c r="G21" s="149"/>
      <c r="H21" s="149"/>
      <c r="I21" s="153"/>
      <c r="J21" s="153"/>
      <c r="K21" s="153"/>
      <c r="L21" s="153"/>
      <c r="M21" s="157"/>
      <c r="N21" s="157"/>
      <c r="O21" s="359"/>
      <c r="P21" s="157"/>
    </row>
    <row r="22" spans="1:16" ht="15.5">
      <c r="B22" s="12" t="s">
        <v>30</v>
      </c>
      <c r="C22" s="149">
        <v>-229899</v>
      </c>
      <c r="D22" s="149">
        <v>-201518</v>
      </c>
      <c r="E22" s="149">
        <v>-74633</v>
      </c>
      <c r="F22" s="149">
        <v>-47454</v>
      </c>
      <c r="G22" s="149">
        <v>-70599</v>
      </c>
      <c r="H22" s="149">
        <v>-62062</v>
      </c>
      <c r="I22" s="153">
        <v>-75783</v>
      </c>
      <c r="J22" s="153">
        <v>-84448</v>
      </c>
      <c r="K22" s="153">
        <v>-91659</v>
      </c>
      <c r="L22" s="153">
        <v>-74286</v>
      </c>
      <c r="M22" s="157">
        <v>-95269</v>
      </c>
      <c r="N22" s="157">
        <v>-70381</v>
      </c>
      <c r="O22" s="359">
        <v>-66586</v>
      </c>
      <c r="P22" s="157">
        <f>-296835-O22-N22-M22</f>
        <v>-64599</v>
      </c>
    </row>
    <row r="23" spans="1:16" ht="15.5">
      <c r="B23" s="16" t="s">
        <v>31</v>
      </c>
      <c r="C23" s="151">
        <v>2233855</v>
      </c>
      <c r="D23" s="151">
        <v>1516505</v>
      </c>
      <c r="E23" s="151">
        <v>327614</v>
      </c>
      <c r="F23" s="151">
        <v>277088</v>
      </c>
      <c r="G23" s="151">
        <v>442405</v>
      </c>
      <c r="H23" s="151">
        <v>498810</v>
      </c>
      <c r="I23" s="155">
        <v>394824</v>
      </c>
      <c r="J23" s="155">
        <v>481176</v>
      </c>
      <c r="K23" s="155">
        <v>459675</v>
      </c>
      <c r="L23" s="155">
        <v>473060</v>
      </c>
      <c r="M23" s="159">
        <v>397962</v>
      </c>
      <c r="N23" s="159">
        <v>591161</v>
      </c>
      <c r="O23" s="361">
        <v>524956</v>
      </c>
      <c r="P23" s="646">
        <f>+P20+P22</f>
        <v>702800</v>
      </c>
    </row>
    <row r="24" spans="1:16" ht="15.5">
      <c r="B24" s="10"/>
      <c r="C24" s="148"/>
      <c r="D24" s="148"/>
      <c r="E24" s="148"/>
      <c r="F24" s="148"/>
      <c r="G24" s="148"/>
      <c r="H24" s="148"/>
      <c r="I24" s="152"/>
      <c r="J24" s="152"/>
      <c r="K24" s="152"/>
      <c r="L24" s="152"/>
      <c r="M24" s="156"/>
      <c r="N24" s="156"/>
      <c r="O24" s="9"/>
      <c r="P24" s="181"/>
    </row>
    <row r="25" spans="1:16" ht="15.5">
      <c r="B25" s="12" t="s">
        <v>32</v>
      </c>
      <c r="C25" s="149">
        <v>92395</v>
      </c>
      <c r="D25" s="149">
        <v>73797</v>
      </c>
      <c r="E25" s="149">
        <v>28846</v>
      </c>
      <c r="F25" s="149">
        <v>43637</v>
      </c>
      <c r="G25" s="149">
        <v>28184</v>
      </c>
      <c r="H25" s="149">
        <v>-83905</v>
      </c>
      <c r="I25" s="153">
        <v>40505</v>
      </c>
      <c r="J25" s="153">
        <v>40894</v>
      </c>
      <c r="K25" s="153">
        <v>52631</v>
      </c>
      <c r="L25" s="153">
        <v>31200</v>
      </c>
      <c r="M25" s="157">
        <v>18262</v>
      </c>
      <c r="N25" s="157">
        <v>39554</v>
      </c>
      <c r="O25" s="359">
        <v>39993</v>
      </c>
      <c r="P25" s="157">
        <f>153929-O25-N25-M25</f>
        <v>56120</v>
      </c>
    </row>
    <row r="26" spans="1:16" ht="15.5">
      <c r="B26" s="16" t="s">
        <v>35</v>
      </c>
      <c r="C26" s="151">
        <v>2141460</v>
      </c>
      <c r="D26" s="151">
        <v>1442708</v>
      </c>
      <c r="E26" s="151">
        <v>298768</v>
      </c>
      <c r="F26" s="151">
        <v>233451</v>
      </c>
      <c r="G26" s="151">
        <v>414221</v>
      </c>
      <c r="H26" s="151">
        <v>582715</v>
      </c>
      <c r="I26" s="155">
        <v>354319</v>
      </c>
      <c r="J26" s="155">
        <v>440282</v>
      </c>
      <c r="K26" s="155">
        <v>407044</v>
      </c>
      <c r="L26" s="155">
        <v>441860</v>
      </c>
      <c r="M26" s="159">
        <v>379700</v>
      </c>
      <c r="N26" s="159">
        <v>551607</v>
      </c>
      <c r="O26" s="361">
        <v>484963</v>
      </c>
      <c r="P26" s="646">
        <f>+P23-P25</f>
        <v>646680</v>
      </c>
    </row>
    <row r="27" spans="1:16" ht="15.5">
      <c r="O27" s="357"/>
    </row>
    <row r="28" spans="1:16" ht="15.5">
      <c r="O28" s="357"/>
    </row>
    <row r="29" spans="1:16" ht="15.5">
      <c r="O29" s="357"/>
    </row>
    <row r="30" spans="1:16" ht="15">
      <c r="A30" s="225" t="s">
        <v>492</v>
      </c>
      <c r="B30" s="19" t="s">
        <v>93</v>
      </c>
      <c r="C30" s="8"/>
      <c r="D30" s="8"/>
      <c r="E30" s="8"/>
      <c r="F30" s="8"/>
      <c r="G30" s="8"/>
      <c r="H30" s="20"/>
      <c r="I30" s="20"/>
      <c r="J30" s="20"/>
      <c r="K30" s="20"/>
      <c r="L30" s="20"/>
      <c r="M30" s="20"/>
      <c r="N30" s="20"/>
      <c r="O30" s="362"/>
    </row>
    <row r="31" spans="1:16" ht="15">
      <c r="B31" s="21" t="s">
        <v>2</v>
      </c>
      <c r="C31" s="8"/>
      <c r="D31" s="8"/>
      <c r="E31" s="8"/>
      <c r="F31" s="8"/>
      <c r="G31" s="8"/>
      <c r="H31" s="22"/>
      <c r="I31" s="22"/>
      <c r="J31" s="22"/>
      <c r="K31" s="22"/>
      <c r="L31" s="22"/>
      <c r="M31" s="22"/>
      <c r="N31" s="22"/>
      <c r="O31" s="363"/>
    </row>
    <row r="32" spans="1:16" ht="15.5">
      <c r="B32" s="23"/>
      <c r="C32" s="8"/>
      <c r="D32" s="8"/>
      <c r="E32" s="8"/>
      <c r="F32" s="8"/>
      <c r="G32" s="8"/>
      <c r="H32" s="23"/>
      <c r="I32" s="23"/>
      <c r="J32" s="23"/>
      <c r="K32" s="23"/>
      <c r="L32" s="23"/>
      <c r="M32" s="23"/>
      <c r="N32" s="23"/>
      <c r="O32" s="364"/>
    </row>
    <row r="33" spans="2:16" ht="15.5" thickBot="1">
      <c r="B33" s="24"/>
      <c r="C33" s="25"/>
      <c r="D33" s="25"/>
      <c r="E33" s="25"/>
      <c r="F33" s="25"/>
      <c r="G33" s="25"/>
      <c r="H33" s="25"/>
      <c r="I33" s="25"/>
      <c r="J33" s="25"/>
      <c r="K33" s="25"/>
      <c r="L33" s="25"/>
      <c r="M33" s="25"/>
      <c r="N33" s="25"/>
      <c r="O33" s="365"/>
      <c r="P33" s="365"/>
    </row>
    <row r="34" spans="2:16" ht="15.5" thickBot="1">
      <c r="B34" s="26" t="s">
        <v>37</v>
      </c>
      <c r="C34" s="27"/>
      <c r="D34" s="27"/>
      <c r="E34" s="27"/>
      <c r="F34" s="27"/>
      <c r="G34" s="27"/>
      <c r="H34" s="27"/>
      <c r="I34" s="27"/>
      <c r="J34" s="27"/>
      <c r="K34" s="27"/>
      <c r="L34" s="27"/>
      <c r="M34" s="27"/>
      <c r="N34" s="26"/>
      <c r="O34" s="366"/>
      <c r="P34" s="366"/>
    </row>
    <row r="35" spans="2:16" ht="15.5" thickBot="1">
      <c r="B35" s="28" t="s">
        <v>38</v>
      </c>
      <c r="C35" s="29"/>
      <c r="D35" s="29"/>
      <c r="E35" s="29"/>
      <c r="F35" s="29"/>
      <c r="G35" s="29"/>
      <c r="H35" s="29"/>
      <c r="I35" s="29"/>
      <c r="J35" s="29"/>
      <c r="K35" s="29"/>
      <c r="L35" s="29"/>
      <c r="M35" s="29"/>
      <c r="N35" s="29"/>
      <c r="O35" s="367"/>
      <c r="P35" s="367"/>
    </row>
    <row r="36" spans="2:16" ht="16" thickBot="1">
      <c r="B36" s="30" t="s">
        <v>39</v>
      </c>
      <c r="C36" s="31">
        <v>254496</v>
      </c>
      <c r="D36" s="31">
        <v>361188</v>
      </c>
      <c r="E36" s="31">
        <v>315607</v>
      </c>
      <c r="F36" s="31">
        <v>403075</v>
      </c>
      <c r="G36" s="31">
        <v>590299</v>
      </c>
      <c r="H36" s="31">
        <v>433807</v>
      </c>
      <c r="I36" s="31">
        <v>524315</v>
      </c>
      <c r="J36" s="31">
        <v>721146</v>
      </c>
      <c r="K36" s="31">
        <v>460247</v>
      </c>
      <c r="L36" s="31">
        <v>541371</v>
      </c>
      <c r="M36" s="31">
        <v>409376</v>
      </c>
      <c r="N36" s="31">
        <v>1060187</v>
      </c>
      <c r="O36" s="368">
        <v>1068640</v>
      </c>
      <c r="P36" s="61">
        <v>542198</v>
      </c>
    </row>
    <row r="37" spans="2:16" ht="16" thickBot="1">
      <c r="B37" s="30" t="s">
        <v>40</v>
      </c>
      <c r="C37" s="31">
        <v>24008</v>
      </c>
      <c r="D37" s="31">
        <v>41776</v>
      </c>
      <c r="E37" s="31">
        <v>246287</v>
      </c>
      <c r="F37" s="31">
        <v>35401</v>
      </c>
      <c r="G37" s="31">
        <v>51428</v>
      </c>
      <c r="H37" s="31">
        <v>50199</v>
      </c>
      <c r="I37" s="31">
        <v>454588</v>
      </c>
      <c r="J37" s="31">
        <v>77976</v>
      </c>
      <c r="K37" s="31">
        <v>69730</v>
      </c>
      <c r="L37" s="31">
        <v>121792</v>
      </c>
      <c r="M37" s="31">
        <v>244445</v>
      </c>
      <c r="N37" s="31">
        <v>113023</v>
      </c>
      <c r="O37" s="368">
        <v>60469</v>
      </c>
      <c r="P37" s="61">
        <v>158541</v>
      </c>
    </row>
    <row r="38" spans="2:16" ht="16" thickBot="1">
      <c r="B38" s="30" t="s">
        <v>41</v>
      </c>
      <c r="C38" s="31">
        <v>23231</v>
      </c>
      <c r="D38" s="31">
        <v>20897</v>
      </c>
      <c r="E38" s="31">
        <v>55187</v>
      </c>
      <c r="F38" s="31">
        <v>89400</v>
      </c>
      <c r="G38" s="31">
        <v>88092</v>
      </c>
      <c r="H38" s="31">
        <v>37166</v>
      </c>
      <c r="I38" s="31">
        <v>57401</v>
      </c>
      <c r="J38" s="31">
        <v>44712</v>
      </c>
      <c r="K38" s="31">
        <v>66939</v>
      </c>
      <c r="L38" s="31">
        <v>41135</v>
      </c>
      <c r="M38" s="31">
        <v>68907</v>
      </c>
      <c r="N38" s="31">
        <v>99916</v>
      </c>
      <c r="O38" s="368">
        <v>126282</v>
      </c>
      <c r="P38" s="61">
        <v>68105</v>
      </c>
    </row>
    <row r="39" spans="2:16" ht="16" thickBot="1">
      <c r="B39" s="30" t="s">
        <v>43</v>
      </c>
      <c r="C39" s="31">
        <v>18150</v>
      </c>
      <c r="D39" s="31">
        <v>7786</v>
      </c>
      <c r="E39" s="31">
        <v>9401</v>
      </c>
      <c r="F39" s="31">
        <v>19984</v>
      </c>
      <c r="G39" s="31">
        <v>17092</v>
      </c>
      <c r="H39" s="31">
        <v>15188</v>
      </c>
      <c r="I39" s="31">
        <v>13600</v>
      </c>
      <c r="J39" s="31">
        <v>10298</v>
      </c>
      <c r="K39" s="31">
        <v>13428</v>
      </c>
      <c r="L39" s="31">
        <v>7798</v>
      </c>
      <c r="M39" s="31">
        <v>21194</v>
      </c>
      <c r="N39" s="31">
        <v>14017</v>
      </c>
      <c r="O39" s="368">
        <v>20591</v>
      </c>
      <c r="P39" s="61">
        <v>12676</v>
      </c>
    </row>
    <row r="40" spans="2:16" ht="16" thickBot="1">
      <c r="B40" s="30" t="s">
        <v>44</v>
      </c>
      <c r="C40" s="31">
        <v>38839</v>
      </c>
      <c r="D40" s="31">
        <v>210</v>
      </c>
      <c r="E40" s="31">
        <v>41275</v>
      </c>
      <c r="F40" s="31">
        <v>52291</v>
      </c>
      <c r="G40" s="31">
        <v>410</v>
      </c>
      <c r="H40" s="31">
        <v>407</v>
      </c>
      <c r="I40" s="31">
        <v>572</v>
      </c>
      <c r="J40" s="31">
        <v>1987</v>
      </c>
      <c r="K40" s="31">
        <v>913</v>
      </c>
      <c r="L40" s="31">
        <v>181</v>
      </c>
      <c r="M40" s="31">
        <v>2896</v>
      </c>
      <c r="N40" s="31">
        <v>6128</v>
      </c>
      <c r="O40" s="368">
        <v>9985</v>
      </c>
      <c r="P40" s="61">
        <v>6346</v>
      </c>
    </row>
    <row r="41" spans="2:16" ht="15.5" thickBot="1">
      <c r="B41" s="32" t="s">
        <v>45</v>
      </c>
      <c r="C41" s="33">
        <v>358724</v>
      </c>
      <c r="D41" s="33">
        <v>431857</v>
      </c>
      <c r="E41" s="33">
        <v>667757</v>
      </c>
      <c r="F41" s="33">
        <v>600151</v>
      </c>
      <c r="G41" s="33">
        <v>747321</v>
      </c>
      <c r="H41" s="33">
        <v>536767</v>
      </c>
      <c r="I41" s="33">
        <v>1050476</v>
      </c>
      <c r="J41" s="33">
        <v>856119</v>
      </c>
      <c r="K41" s="33">
        <v>611257</v>
      </c>
      <c r="L41" s="33">
        <v>712277</v>
      </c>
      <c r="M41" s="33">
        <v>746818</v>
      </c>
      <c r="N41" s="33">
        <v>1293271</v>
      </c>
      <c r="O41" s="369">
        <v>1285967</v>
      </c>
      <c r="P41" s="63">
        <f t="shared" ref="P41" si="0">SUM(P36:P40)</f>
        <v>787866</v>
      </c>
    </row>
    <row r="42" spans="2:16" ht="15.5" thickBot="1">
      <c r="B42" s="28" t="s">
        <v>46</v>
      </c>
      <c r="C42" s="29"/>
      <c r="D42" s="29"/>
      <c r="E42" s="29"/>
      <c r="F42" s="29"/>
      <c r="G42" s="29"/>
      <c r="H42" s="29"/>
      <c r="I42" s="29"/>
      <c r="J42" s="29"/>
      <c r="K42" s="29"/>
      <c r="L42" s="29"/>
      <c r="M42" s="29"/>
      <c r="N42" s="29"/>
      <c r="O42" s="367"/>
      <c r="P42" s="59"/>
    </row>
    <row r="43" spans="2:16" ht="16" thickBot="1">
      <c r="B43" s="30" t="s">
        <v>47</v>
      </c>
      <c r="C43" s="31">
        <v>20298</v>
      </c>
      <c r="D43" s="31">
        <v>16901</v>
      </c>
      <c r="E43" s="31">
        <v>13702</v>
      </c>
      <c r="F43" s="31">
        <v>12561</v>
      </c>
      <c r="G43" s="31">
        <v>10373</v>
      </c>
      <c r="H43" s="31">
        <v>10461</v>
      </c>
      <c r="I43" s="31">
        <v>12641</v>
      </c>
      <c r="J43" s="31">
        <v>13644</v>
      </c>
      <c r="K43" s="31">
        <v>12190</v>
      </c>
      <c r="L43" s="31">
        <v>11029</v>
      </c>
      <c r="M43" s="31">
        <v>11664</v>
      </c>
      <c r="N43" s="31">
        <v>10374</v>
      </c>
      <c r="O43" s="368">
        <v>9013</v>
      </c>
      <c r="P43" s="61">
        <v>8529</v>
      </c>
    </row>
    <row r="44" spans="2:16" ht="16" thickBot="1">
      <c r="B44" s="30" t="s">
        <v>48</v>
      </c>
      <c r="C44" s="31">
        <v>0</v>
      </c>
      <c r="D44" s="31">
        <v>44649</v>
      </c>
      <c r="E44" s="31">
        <v>44649</v>
      </c>
      <c r="F44" s="31">
        <v>44649</v>
      </c>
      <c r="G44" s="31">
        <v>44649</v>
      </c>
      <c r="H44" s="31">
        <v>24955</v>
      </c>
      <c r="I44" s="31">
        <v>25449</v>
      </c>
      <c r="J44" s="31">
        <v>23993</v>
      </c>
      <c r="K44" s="31">
        <v>28677</v>
      </c>
      <c r="L44" s="31">
        <v>1405</v>
      </c>
      <c r="M44" s="31">
        <v>8927</v>
      </c>
      <c r="N44" s="31">
        <v>16307</v>
      </c>
      <c r="O44" s="368">
        <v>21020</v>
      </c>
      <c r="P44" s="61">
        <v>1023</v>
      </c>
    </row>
    <row r="45" spans="2:16" ht="16" thickBot="1">
      <c r="B45" s="30" t="s">
        <v>94</v>
      </c>
      <c r="C45" s="31">
        <v>8056601</v>
      </c>
      <c r="D45" s="31">
        <v>10216170</v>
      </c>
      <c r="E45" s="31">
        <v>9530390</v>
      </c>
      <c r="F45" s="31">
        <v>9461072</v>
      </c>
      <c r="G45" s="31">
        <v>9802592</v>
      </c>
      <c r="H45" s="31">
        <v>11013197</v>
      </c>
      <c r="I45" s="31">
        <v>10732696</v>
      </c>
      <c r="J45" s="31">
        <v>11183637</v>
      </c>
      <c r="K45" s="31">
        <v>11593893</v>
      </c>
      <c r="L45" s="31">
        <v>11224367</v>
      </c>
      <c r="M45" s="31">
        <v>11933040</v>
      </c>
      <c r="N45" s="31">
        <v>11150959</v>
      </c>
      <c r="O45" s="368">
        <v>11852674</v>
      </c>
      <c r="P45" s="61">
        <v>11435299</v>
      </c>
    </row>
    <row r="46" spans="2:16" ht="16" thickBot="1">
      <c r="B46" s="30" t="s">
        <v>95</v>
      </c>
      <c r="C46" s="31">
        <v>12528</v>
      </c>
      <c r="D46" s="31">
        <v>12528</v>
      </c>
      <c r="E46" s="31">
        <v>12528</v>
      </c>
      <c r="F46" s="31">
        <v>12524</v>
      </c>
      <c r="G46" s="31">
        <v>12524</v>
      </c>
      <c r="H46" s="31">
        <v>12524</v>
      </c>
      <c r="I46" s="31">
        <v>12524</v>
      </c>
      <c r="J46" s="31">
        <v>12524</v>
      </c>
      <c r="K46" s="31">
        <v>12524</v>
      </c>
      <c r="L46" s="31">
        <v>12524</v>
      </c>
      <c r="M46" s="31">
        <v>12524</v>
      </c>
      <c r="N46" s="31">
        <v>12524</v>
      </c>
      <c r="O46" s="368">
        <v>12524</v>
      </c>
      <c r="P46" s="61">
        <v>12524</v>
      </c>
    </row>
    <row r="47" spans="2:16" ht="16" thickBot="1">
      <c r="B47" s="30" t="s">
        <v>40</v>
      </c>
      <c r="C47" s="31">
        <v>6350</v>
      </c>
      <c r="D47" s="31">
        <v>13629</v>
      </c>
      <c r="E47" s="31">
        <v>14315</v>
      </c>
      <c r="F47" s="31">
        <v>15069</v>
      </c>
      <c r="G47" s="31">
        <v>16013</v>
      </c>
      <c r="H47" s="31">
        <v>15621</v>
      </c>
      <c r="I47" s="31">
        <v>16688</v>
      </c>
      <c r="J47" s="31">
        <v>16934</v>
      </c>
      <c r="K47" s="31">
        <v>17416</v>
      </c>
      <c r="L47" s="31">
        <v>17475</v>
      </c>
      <c r="M47" s="31">
        <v>17502</v>
      </c>
      <c r="N47" s="31">
        <v>17446</v>
      </c>
      <c r="O47" s="368">
        <v>18052</v>
      </c>
      <c r="P47" s="61">
        <v>18346</v>
      </c>
    </row>
    <row r="48" spans="2:16" ht="16" thickBot="1">
      <c r="B48" s="30" t="s">
        <v>51</v>
      </c>
      <c r="C48" s="31">
        <v>0</v>
      </c>
      <c r="D48" s="31">
        <v>0</v>
      </c>
      <c r="E48" s="31">
        <v>0</v>
      </c>
      <c r="F48" s="31">
        <v>0</v>
      </c>
      <c r="G48" s="31">
        <v>0</v>
      </c>
      <c r="H48" s="31">
        <v>0</v>
      </c>
      <c r="I48" s="31">
        <v>0</v>
      </c>
      <c r="J48" s="31">
        <v>0</v>
      </c>
      <c r="K48" s="31">
        <v>0</v>
      </c>
      <c r="L48" s="31">
        <v>0</v>
      </c>
      <c r="M48" s="31">
        <v>0</v>
      </c>
      <c r="N48" s="31">
        <v>0</v>
      </c>
      <c r="O48" s="368">
        <v>0</v>
      </c>
      <c r="P48" s="61">
        <v>0</v>
      </c>
    </row>
    <row r="49" spans="2:16" ht="16" thickBot="1">
      <c r="B49" s="30" t="s">
        <v>52</v>
      </c>
      <c r="C49" s="31">
        <v>5066863</v>
      </c>
      <c r="D49" s="31">
        <v>5683964</v>
      </c>
      <c r="E49" s="31">
        <v>5835660</v>
      </c>
      <c r="F49" s="31">
        <v>5930332</v>
      </c>
      <c r="G49" s="31">
        <v>6084789</v>
      </c>
      <c r="H49" s="31">
        <v>6211045</v>
      </c>
      <c r="I49" s="31">
        <v>6287331</v>
      </c>
      <c r="J49" s="31">
        <v>6374734</v>
      </c>
      <c r="K49" s="31">
        <v>6480169</v>
      </c>
      <c r="L49" s="31">
        <v>6667921</v>
      </c>
      <c r="M49" s="31">
        <v>6797606</v>
      </c>
      <c r="N49" s="31">
        <v>6876688</v>
      </c>
      <c r="O49" s="368">
        <v>6981007</v>
      </c>
      <c r="P49" s="61">
        <v>7171938</v>
      </c>
    </row>
    <row r="50" spans="2:16" ht="16" thickBot="1">
      <c r="B50" s="30" t="s">
        <v>53</v>
      </c>
      <c r="C50" s="31">
        <v>7803</v>
      </c>
      <c r="D50" s="31">
        <v>7720</v>
      </c>
      <c r="E50" s="31">
        <v>7699</v>
      </c>
      <c r="F50" s="31">
        <v>7678</v>
      </c>
      <c r="G50" s="31">
        <v>7658</v>
      </c>
      <c r="H50" s="31">
        <v>7936</v>
      </c>
      <c r="I50" s="31">
        <v>7914</v>
      </c>
      <c r="J50" s="31">
        <v>7892</v>
      </c>
      <c r="K50" s="31">
        <v>7870</v>
      </c>
      <c r="L50" s="31">
        <v>7848</v>
      </c>
      <c r="M50" s="31">
        <v>7826</v>
      </c>
      <c r="N50" s="31">
        <v>7804</v>
      </c>
      <c r="O50" s="368">
        <v>7783</v>
      </c>
      <c r="P50" s="61">
        <v>7761</v>
      </c>
    </row>
    <row r="51" spans="2:16" ht="16" thickBot="1">
      <c r="B51" s="30" t="s">
        <v>55</v>
      </c>
      <c r="C51" s="31">
        <v>100716</v>
      </c>
      <c r="D51" s="31">
        <v>102263</v>
      </c>
      <c r="E51" s="31">
        <v>103689</v>
      </c>
      <c r="F51" s="31">
        <v>131067</v>
      </c>
      <c r="G51" s="31">
        <v>132314</v>
      </c>
      <c r="H51" s="31">
        <v>122692</v>
      </c>
      <c r="I51" s="31">
        <v>122010</v>
      </c>
      <c r="J51" s="31">
        <v>139118</v>
      </c>
      <c r="K51" s="31">
        <v>141132</v>
      </c>
      <c r="L51" s="31">
        <v>157983</v>
      </c>
      <c r="M51" s="31">
        <v>157003</v>
      </c>
      <c r="N51" s="31">
        <v>157771</v>
      </c>
      <c r="O51" s="368">
        <v>124695</v>
      </c>
      <c r="P51" s="61">
        <v>156725</v>
      </c>
    </row>
    <row r="52" spans="2:16" ht="16" thickBot="1">
      <c r="B52" s="30" t="s">
        <v>43</v>
      </c>
      <c r="C52" s="31">
        <v>1300</v>
      </c>
      <c r="D52" s="31">
        <v>1200</v>
      </c>
      <c r="E52" s="31">
        <v>1175</v>
      </c>
      <c r="F52" s="31">
        <v>1150</v>
      </c>
      <c r="G52" s="31">
        <v>1125</v>
      </c>
      <c r="H52" s="31">
        <v>1100</v>
      </c>
      <c r="I52" s="31">
        <v>1075</v>
      </c>
      <c r="J52" s="31">
        <v>1050</v>
      </c>
      <c r="K52" s="31">
        <v>1025</v>
      </c>
      <c r="L52" s="31">
        <v>1000</v>
      </c>
      <c r="M52" s="31">
        <v>975</v>
      </c>
      <c r="N52" s="31">
        <v>950</v>
      </c>
      <c r="O52" s="368">
        <v>925</v>
      </c>
      <c r="P52" s="61">
        <v>900</v>
      </c>
    </row>
    <row r="53" spans="2:16" ht="16" thickBot="1">
      <c r="B53" s="30" t="s">
        <v>56</v>
      </c>
      <c r="C53" s="31">
        <v>0</v>
      </c>
      <c r="D53" s="31">
        <v>0</v>
      </c>
      <c r="E53" s="31">
        <v>0</v>
      </c>
      <c r="F53" s="31">
        <v>0</v>
      </c>
      <c r="G53" s="31">
        <v>0</v>
      </c>
      <c r="H53" s="31">
        <v>0</v>
      </c>
      <c r="I53" s="31">
        <v>0</v>
      </c>
      <c r="J53" s="31">
        <v>0</v>
      </c>
      <c r="K53" s="31">
        <v>0</v>
      </c>
      <c r="L53" s="31">
        <v>0</v>
      </c>
      <c r="M53" s="31">
        <v>0</v>
      </c>
      <c r="N53" s="31">
        <v>0</v>
      </c>
      <c r="O53" s="368">
        <v>0</v>
      </c>
      <c r="P53" s="61">
        <v>0</v>
      </c>
    </row>
    <row r="54" spans="2:16" ht="16" thickBot="1">
      <c r="B54" s="30" t="s">
        <v>57</v>
      </c>
      <c r="C54" s="31">
        <v>0</v>
      </c>
      <c r="D54" s="31">
        <v>0</v>
      </c>
      <c r="E54" s="31">
        <v>0</v>
      </c>
      <c r="F54" s="31">
        <v>0</v>
      </c>
      <c r="G54" s="31">
        <v>0</v>
      </c>
      <c r="H54" s="31">
        <v>0</v>
      </c>
      <c r="I54" s="31">
        <v>6549</v>
      </c>
      <c r="J54" s="31">
        <v>7219</v>
      </c>
      <c r="K54" s="31">
        <v>6909</v>
      </c>
      <c r="L54" s="31">
        <v>0</v>
      </c>
      <c r="M54" s="31">
        <v>0</v>
      </c>
      <c r="N54" s="31">
        <v>0</v>
      </c>
      <c r="O54" s="368">
        <v>21615</v>
      </c>
      <c r="P54" s="61">
        <v>14945</v>
      </c>
    </row>
    <row r="55" spans="2:16" ht="16" thickBot="1">
      <c r="B55" s="30" t="s">
        <v>44</v>
      </c>
      <c r="C55" s="31">
        <v>209449</v>
      </c>
      <c r="D55" s="31">
        <v>195628</v>
      </c>
      <c r="E55" s="31">
        <v>182285</v>
      </c>
      <c r="F55" s="31">
        <v>190722</v>
      </c>
      <c r="G55" s="31">
        <v>135199</v>
      </c>
      <c r="H55" s="31">
        <v>147825</v>
      </c>
      <c r="I55" s="31">
        <v>103365</v>
      </c>
      <c r="J55" s="31">
        <v>104370</v>
      </c>
      <c r="K55" s="31">
        <v>101523</v>
      </c>
      <c r="L55" s="31">
        <v>96102</v>
      </c>
      <c r="M55" s="31">
        <v>313227</v>
      </c>
      <c r="N55" s="31">
        <v>289657</v>
      </c>
      <c r="O55" s="368">
        <v>298904</v>
      </c>
      <c r="P55" s="61">
        <v>187208</v>
      </c>
    </row>
    <row r="56" spans="2:16" ht="15.5" thickBot="1">
      <c r="B56" s="28" t="s">
        <v>59</v>
      </c>
      <c r="C56" s="34">
        <v>13481908</v>
      </c>
      <c r="D56" s="34">
        <v>16294652</v>
      </c>
      <c r="E56" s="34">
        <v>15746092</v>
      </c>
      <c r="F56" s="34">
        <v>15806824</v>
      </c>
      <c r="G56" s="34">
        <v>16247236</v>
      </c>
      <c r="H56" s="34">
        <v>17567356</v>
      </c>
      <c r="I56" s="146">
        <f>SUM(I43:I55)</f>
        <v>17328242</v>
      </c>
      <c r="J56" s="146">
        <f>SUM(J43:J55)</f>
        <v>17885115</v>
      </c>
      <c r="K56" s="146">
        <f>SUM(K43:K55)</f>
        <v>18403328</v>
      </c>
      <c r="L56" s="34">
        <v>18197654</v>
      </c>
      <c r="M56" s="34">
        <v>19260294</v>
      </c>
      <c r="N56" s="34">
        <v>18540480</v>
      </c>
      <c r="O56" s="370">
        <v>19348212</v>
      </c>
      <c r="P56" s="64">
        <f t="shared" ref="P56" si="1">SUM(P43:P55)</f>
        <v>19015198</v>
      </c>
    </row>
    <row r="57" spans="2:16" ht="15.5" thickBot="1">
      <c r="B57" s="35" t="s">
        <v>60</v>
      </c>
      <c r="C57" s="36">
        <v>13840632</v>
      </c>
      <c r="D57" s="36">
        <v>16726509</v>
      </c>
      <c r="E57" s="36">
        <v>16413849</v>
      </c>
      <c r="F57" s="36">
        <v>16406975</v>
      </c>
      <c r="G57" s="36">
        <v>16994557</v>
      </c>
      <c r="H57" s="36">
        <v>18104123</v>
      </c>
      <c r="I57" s="147">
        <f>+I56+I41</f>
        <v>18378718</v>
      </c>
      <c r="J57" s="147">
        <f>+J56+J41</f>
        <v>18741234</v>
      </c>
      <c r="K57" s="147">
        <f>+K56+K41</f>
        <v>19014585</v>
      </c>
      <c r="L57" s="36">
        <v>18909931</v>
      </c>
      <c r="M57" s="36">
        <v>20007112</v>
      </c>
      <c r="N57" s="36">
        <v>19833751</v>
      </c>
      <c r="O57" s="371">
        <v>20634179</v>
      </c>
      <c r="P57" s="66">
        <f t="shared" ref="P57" si="2">+P41+P56</f>
        <v>19803064</v>
      </c>
    </row>
    <row r="58" spans="2:16" ht="15.5" thickBot="1">
      <c r="B58" s="37"/>
      <c r="C58" s="38"/>
      <c r="D58" s="38"/>
      <c r="E58" s="38"/>
      <c r="F58" s="38"/>
      <c r="G58" s="38"/>
      <c r="H58" s="38"/>
      <c r="I58" s="38"/>
      <c r="J58" s="38"/>
      <c r="K58" s="38"/>
      <c r="L58" s="38"/>
      <c r="M58" s="38"/>
      <c r="N58" s="38"/>
      <c r="O58" s="372"/>
    </row>
    <row r="59" spans="2:16" ht="15.5" thickBot="1">
      <c r="B59" s="26" t="s">
        <v>61</v>
      </c>
      <c r="C59" s="39"/>
      <c r="D59" s="39"/>
      <c r="E59" s="39"/>
      <c r="F59" s="39"/>
      <c r="G59" s="39"/>
      <c r="H59" s="39"/>
      <c r="I59" s="39"/>
      <c r="J59" s="39"/>
      <c r="K59" s="39"/>
      <c r="L59" s="39"/>
      <c r="M59" s="39"/>
      <c r="N59" s="39"/>
      <c r="O59" s="373"/>
      <c r="P59" s="69"/>
    </row>
    <row r="60" spans="2:16" ht="15.5" thickBot="1">
      <c r="B60" s="28" t="s">
        <v>62</v>
      </c>
      <c r="C60" s="40"/>
      <c r="D60" s="40"/>
      <c r="E60" s="40"/>
      <c r="F60" s="40"/>
      <c r="G60" s="40"/>
      <c r="H60" s="40"/>
      <c r="I60" s="40"/>
      <c r="J60" s="40"/>
      <c r="K60" s="40"/>
      <c r="L60" s="40"/>
      <c r="M60" s="40"/>
      <c r="N60" s="40"/>
      <c r="O60" s="374"/>
      <c r="P60" s="70"/>
    </row>
    <row r="61" spans="2:16" ht="16" thickBot="1">
      <c r="B61" s="30" t="s">
        <v>63</v>
      </c>
      <c r="C61" s="31">
        <v>146843</v>
      </c>
      <c r="D61" s="31">
        <v>113155</v>
      </c>
      <c r="E61" s="31">
        <v>151747</v>
      </c>
      <c r="F61" s="31">
        <v>130979</v>
      </c>
      <c r="G61" s="31">
        <v>151971</v>
      </c>
      <c r="H61" s="31">
        <v>137339</v>
      </c>
      <c r="I61" s="31">
        <v>152898</v>
      </c>
      <c r="J61" s="31">
        <v>169407</v>
      </c>
      <c r="K61" s="31">
        <v>189054</v>
      </c>
      <c r="L61" s="31">
        <v>214786</v>
      </c>
      <c r="M61" s="31">
        <v>232772</v>
      </c>
      <c r="N61" s="31">
        <v>207416</v>
      </c>
      <c r="O61" s="368">
        <v>219519</v>
      </c>
      <c r="P61" s="61">
        <v>151393</v>
      </c>
    </row>
    <row r="62" spans="2:16" ht="16" thickBot="1">
      <c r="B62" s="30" t="s">
        <v>64</v>
      </c>
      <c r="C62" s="31">
        <v>70525</v>
      </c>
      <c r="D62" s="31">
        <v>120476</v>
      </c>
      <c r="E62" s="31">
        <v>702081</v>
      </c>
      <c r="F62" s="31">
        <v>669247</v>
      </c>
      <c r="G62" s="31">
        <v>365951</v>
      </c>
      <c r="H62" s="31">
        <v>90486</v>
      </c>
      <c r="I62" s="31">
        <v>672446</v>
      </c>
      <c r="J62" s="31">
        <v>722891</v>
      </c>
      <c r="K62" s="31">
        <v>363131</v>
      </c>
      <c r="L62" s="31">
        <v>110314</v>
      </c>
      <c r="M62" s="31">
        <v>836712</v>
      </c>
      <c r="N62" s="31">
        <v>796245</v>
      </c>
      <c r="O62" s="368">
        <v>441251</v>
      </c>
      <c r="P62" s="61">
        <v>111643</v>
      </c>
    </row>
    <row r="63" spans="2:16" ht="16" thickBot="1">
      <c r="B63" s="30" t="s">
        <v>66</v>
      </c>
      <c r="C63" s="31">
        <v>7387</v>
      </c>
      <c r="D63" s="31">
        <v>10159</v>
      </c>
      <c r="E63" s="31">
        <v>6589</v>
      </c>
      <c r="F63" s="31">
        <v>6947</v>
      </c>
      <c r="G63" s="31">
        <v>9175</v>
      </c>
      <c r="H63" s="31">
        <v>8405</v>
      </c>
      <c r="I63" s="31">
        <v>8346</v>
      </c>
      <c r="J63" s="31">
        <v>7357</v>
      </c>
      <c r="K63" s="31">
        <v>10434</v>
      </c>
      <c r="L63" s="31">
        <v>11689</v>
      </c>
      <c r="M63" s="31">
        <v>10529</v>
      </c>
      <c r="N63" s="31">
        <v>9821</v>
      </c>
      <c r="O63" s="368">
        <v>13886</v>
      </c>
      <c r="P63" s="61">
        <v>14041</v>
      </c>
    </row>
    <row r="64" spans="2:16" ht="16" thickBot="1">
      <c r="B64" s="30" t="s">
        <v>41</v>
      </c>
      <c r="C64" s="31">
        <v>6977</v>
      </c>
      <c r="D64" s="31">
        <v>10271</v>
      </c>
      <c r="E64" s="31">
        <v>35229</v>
      </c>
      <c r="F64" s="31">
        <v>76011</v>
      </c>
      <c r="G64" s="31">
        <v>106833</v>
      </c>
      <c r="H64" s="31">
        <v>12548</v>
      </c>
      <c r="I64" s="31">
        <v>47609</v>
      </c>
      <c r="J64" s="31">
        <v>86618</v>
      </c>
      <c r="K64" s="31">
        <v>124779</v>
      </c>
      <c r="L64" s="31">
        <v>38109</v>
      </c>
      <c r="M64" s="31">
        <v>55911</v>
      </c>
      <c r="N64" s="31">
        <v>88659</v>
      </c>
      <c r="O64" s="368">
        <v>126399</v>
      </c>
      <c r="P64" s="61">
        <v>62985</v>
      </c>
    </row>
    <row r="65" spans="2:16" ht="16" thickBot="1">
      <c r="B65" s="30" t="s">
        <v>67</v>
      </c>
      <c r="C65" s="31">
        <v>25927</v>
      </c>
      <c r="D65" s="31">
        <v>38287</v>
      </c>
      <c r="E65" s="31">
        <v>15913</v>
      </c>
      <c r="F65" s="31">
        <v>18847</v>
      </c>
      <c r="G65" s="31">
        <v>20242</v>
      </c>
      <c r="H65" s="31">
        <v>437</v>
      </c>
      <c r="I65" s="31">
        <v>6565</v>
      </c>
      <c r="J65" s="31">
        <v>5549</v>
      </c>
      <c r="K65" s="31">
        <v>8772</v>
      </c>
      <c r="L65" s="31">
        <v>1715</v>
      </c>
      <c r="M65" s="31">
        <v>0</v>
      </c>
      <c r="N65" s="31">
        <v>0</v>
      </c>
      <c r="O65" s="368">
        <v>0</v>
      </c>
      <c r="P65" s="61">
        <v>0</v>
      </c>
    </row>
    <row r="66" spans="2:16" ht="16" thickBot="1">
      <c r="B66" s="30" t="s">
        <v>68</v>
      </c>
      <c r="C66" s="31">
        <v>4115</v>
      </c>
      <c r="D66" s="31">
        <v>4040</v>
      </c>
      <c r="E66" s="31">
        <v>3680</v>
      </c>
      <c r="F66" s="31">
        <v>3626</v>
      </c>
      <c r="G66" s="31">
        <v>4581</v>
      </c>
      <c r="H66" s="31">
        <v>4025</v>
      </c>
      <c r="I66" s="31">
        <v>3877</v>
      </c>
      <c r="J66" s="31">
        <v>4607</v>
      </c>
      <c r="K66" s="31">
        <v>3716</v>
      </c>
      <c r="L66" s="31">
        <v>3798</v>
      </c>
      <c r="M66" s="31">
        <v>3979</v>
      </c>
      <c r="N66" s="31">
        <v>3511</v>
      </c>
      <c r="O66" s="368">
        <v>4355</v>
      </c>
      <c r="P66" s="61">
        <v>3570</v>
      </c>
    </row>
    <row r="67" spans="2:16" ht="16" thickBot="1">
      <c r="B67" s="30" t="s">
        <v>96</v>
      </c>
      <c r="C67" s="50">
        <v>0</v>
      </c>
      <c r="D67" s="50">
        <v>0</v>
      </c>
      <c r="E67" s="50">
        <v>219</v>
      </c>
      <c r="F67" s="50">
        <v>0</v>
      </c>
      <c r="G67" s="50">
        <v>0</v>
      </c>
      <c r="H67" s="50">
        <v>0</v>
      </c>
      <c r="I67" s="50">
        <v>0</v>
      </c>
      <c r="J67" s="50">
        <v>0</v>
      </c>
      <c r="K67" s="50">
        <v>0</v>
      </c>
      <c r="L67" s="50">
        <v>0</v>
      </c>
      <c r="M67" s="50">
        <v>0</v>
      </c>
      <c r="N67" s="50">
        <v>0</v>
      </c>
      <c r="O67" s="368"/>
      <c r="P67" s="50">
        <v>0</v>
      </c>
    </row>
    <row r="68" spans="2:16" ht="15.5" thickBot="1">
      <c r="B68" s="28" t="s">
        <v>70</v>
      </c>
      <c r="C68" s="34">
        <v>261774</v>
      </c>
      <c r="D68" s="34">
        <v>296388</v>
      </c>
      <c r="E68" s="34">
        <v>915458</v>
      </c>
      <c r="F68" s="34">
        <v>905657</v>
      </c>
      <c r="G68" s="34">
        <v>658753</v>
      </c>
      <c r="H68" s="34">
        <v>253240</v>
      </c>
      <c r="I68" s="34">
        <v>891741</v>
      </c>
      <c r="J68" s="34">
        <v>996429</v>
      </c>
      <c r="K68" s="34">
        <v>699886</v>
      </c>
      <c r="L68" s="34">
        <v>380411</v>
      </c>
      <c r="M68" s="34">
        <v>1139903</v>
      </c>
      <c r="N68" s="34">
        <v>1105652</v>
      </c>
      <c r="O68" s="370">
        <v>805410</v>
      </c>
      <c r="P68" s="64">
        <f t="shared" ref="P68" si="3">SUM(P61:P67)</f>
        <v>343632</v>
      </c>
    </row>
    <row r="69" spans="2:16" ht="15.5" thickBot="1">
      <c r="B69" s="41" t="s">
        <v>71</v>
      </c>
      <c r="C69" s="42"/>
      <c r="D69" s="42"/>
      <c r="E69" s="42"/>
      <c r="F69" s="42"/>
      <c r="G69" s="42"/>
      <c r="H69" s="42"/>
      <c r="I69" s="42"/>
      <c r="J69" s="42"/>
      <c r="K69" s="42"/>
      <c r="L69" s="42"/>
      <c r="M69" s="42"/>
      <c r="N69" s="42"/>
      <c r="O69" s="375"/>
      <c r="P69" s="72"/>
    </row>
    <row r="70" spans="2:16" ht="16" thickBot="1">
      <c r="B70" s="30" t="s">
        <v>63</v>
      </c>
      <c r="C70" s="31">
        <v>2084431</v>
      </c>
      <c r="D70" s="31">
        <v>3814421</v>
      </c>
      <c r="E70" s="31">
        <v>3767433</v>
      </c>
      <c r="F70" s="31">
        <v>3767688</v>
      </c>
      <c r="G70" s="31">
        <v>4220042</v>
      </c>
      <c r="H70" s="31">
        <v>4382795</v>
      </c>
      <c r="I70" s="31">
        <v>4490811</v>
      </c>
      <c r="J70" s="31">
        <v>4239362</v>
      </c>
      <c r="K70" s="31">
        <v>4217812</v>
      </c>
      <c r="L70" s="31">
        <v>4461883</v>
      </c>
      <c r="M70" s="31">
        <v>4495967</v>
      </c>
      <c r="N70" s="31">
        <v>4727877</v>
      </c>
      <c r="O70" s="368">
        <v>4992611</v>
      </c>
      <c r="P70" s="61">
        <v>4670715</v>
      </c>
    </row>
    <row r="71" spans="2:16" ht="16" thickBot="1">
      <c r="B71" s="30" t="s">
        <v>64</v>
      </c>
      <c r="C71" s="31">
        <v>4568</v>
      </c>
      <c r="D71" s="31">
        <v>8099</v>
      </c>
      <c r="E71" s="31">
        <v>3006</v>
      </c>
      <c r="F71" s="31">
        <v>3011</v>
      </c>
      <c r="G71" s="31">
        <v>5901</v>
      </c>
      <c r="H71" s="31">
        <v>5465</v>
      </c>
      <c r="I71" s="31">
        <v>5398</v>
      </c>
      <c r="J71" s="31">
        <v>5995</v>
      </c>
      <c r="K71" s="31">
        <v>5744</v>
      </c>
      <c r="L71" s="31">
        <v>12490</v>
      </c>
      <c r="M71" s="31">
        <v>12244</v>
      </c>
      <c r="N71" s="31">
        <v>11939</v>
      </c>
      <c r="O71" s="368">
        <v>15120</v>
      </c>
      <c r="P71" s="61">
        <v>13377</v>
      </c>
    </row>
    <row r="72" spans="2:16" ht="16" thickBot="1">
      <c r="B72" s="30" t="s">
        <v>72</v>
      </c>
      <c r="C72" s="31">
        <v>288768</v>
      </c>
      <c r="D72" s="31">
        <v>300346</v>
      </c>
      <c r="E72" s="31">
        <v>303034</v>
      </c>
      <c r="F72" s="31">
        <v>305600</v>
      </c>
      <c r="G72" s="31">
        <v>308142</v>
      </c>
      <c r="H72" s="31">
        <v>310675</v>
      </c>
      <c r="I72" s="31">
        <v>313280</v>
      </c>
      <c r="J72" s="31">
        <v>315901</v>
      </c>
      <c r="K72" s="31">
        <v>318585</v>
      </c>
      <c r="L72" s="31">
        <v>321299</v>
      </c>
      <c r="M72" s="31">
        <v>324046</v>
      </c>
      <c r="N72" s="31">
        <v>326525</v>
      </c>
      <c r="O72" s="368">
        <v>328253</v>
      </c>
      <c r="P72" s="61">
        <v>329546</v>
      </c>
    </row>
    <row r="73" spans="2:16" ht="16" thickBot="1">
      <c r="B73" s="30" t="s">
        <v>66</v>
      </c>
      <c r="C73" s="31">
        <v>211351</v>
      </c>
      <c r="D73" s="31">
        <v>223294</v>
      </c>
      <c r="E73" s="31">
        <v>229287</v>
      </c>
      <c r="F73" s="31">
        <v>231466</v>
      </c>
      <c r="G73" s="31">
        <v>235552</v>
      </c>
      <c r="H73" s="31">
        <v>226206</v>
      </c>
      <c r="I73" s="31">
        <v>230478</v>
      </c>
      <c r="J73" s="31">
        <v>234750</v>
      </c>
      <c r="K73" s="31">
        <v>239009</v>
      </c>
      <c r="L73" s="31">
        <v>234046</v>
      </c>
      <c r="M73" s="31">
        <v>237351</v>
      </c>
      <c r="N73" s="31">
        <v>239143</v>
      </c>
      <c r="O73" s="368">
        <v>241163</v>
      </c>
      <c r="P73" s="61">
        <v>241713</v>
      </c>
    </row>
    <row r="74" spans="2:16" ht="16" thickBot="1">
      <c r="B74" s="30" t="s">
        <v>67</v>
      </c>
      <c r="C74" s="31">
        <v>1549</v>
      </c>
      <c r="D74" s="31">
        <v>7026</v>
      </c>
      <c r="E74" s="31">
        <v>7019</v>
      </c>
      <c r="F74" s="31">
        <v>6925</v>
      </c>
      <c r="G74" s="31">
        <v>6850</v>
      </c>
      <c r="H74" s="31">
        <v>11054</v>
      </c>
      <c r="I74" s="31">
        <v>6548</v>
      </c>
      <c r="J74" s="31">
        <v>6548</v>
      </c>
      <c r="K74" s="31">
        <v>6547</v>
      </c>
      <c r="L74" s="31">
        <v>10131</v>
      </c>
      <c r="M74" s="31">
        <v>9956</v>
      </c>
      <c r="N74" s="31">
        <v>10118</v>
      </c>
      <c r="O74" s="368">
        <v>9947</v>
      </c>
      <c r="P74" s="61">
        <v>10007</v>
      </c>
    </row>
    <row r="75" spans="2:16" ht="16" thickBot="1">
      <c r="B75" s="30" t="s">
        <v>68</v>
      </c>
      <c r="C75" s="31">
        <v>209605</v>
      </c>
      <c r="D75" s="31">
        <v>191812</v>
      </c>
      <c r="E75" s="31">
        <v>187364</v>
      </c>
      <c r="F75" s="31">
        <v>182916</v>
      </c>
      <c r="G75" s="31">
        <v>178468</v>
      </c>
      <c r="H75" s="31">
        <v>173232</v>
      </c>
      <c r="I75" s="31">
        <v>169114</v>
      </c>
      <c r="J75" s="31">
        <v>164997</v>
      </c>
      <c r="K75" s="31">
        <v>160879</v>
      </c>
      <c r="L75" s="31">
        <v>158331</v>
      </c>
      <c r="M75" s="31">
        <v>154477</v>
      </c>
      <c r="N75" s="31">
        <v>151612</v>
      </c>
      <c r="O75" s="368">
        <v>147221</v>
      </c>
      <c r="P75" s="61">
        <v>143464</v>
      </c>
    </row>
    <row r="76" spans="2:16" ht="16" thickBot="1">
      <c r="B76" s="30" t="s">
        <v>97</v>
      </c>
      <c r="C76" s="31">
        <v>900352</v>
      </c>
      <c r="D76" s="31">
        <v>908995</v>
      </c>
      <c r="E76" s="31">
        <v>911922</v>
      </c>
      <c r="F76" s="31">
        <v>923989</v>
      </c>
      <c r="G76" s="31">
        <v>921376</v>
      </c>
      <c r="H76" s="31">
        <v>848216</v>
      </c>
      <c r="I76" s="31">
        <v>846041</v>
      </c>
      <c r="J76" s="31">
        <v>844589</v>
      </c>
      <c r="K76" s="31">
        <v>841597</v>
      </c>
      <c r="L76" s="31">
        <v>860525</v>
      </c>
      <c r="M76" s="31">
        <v>858780</v>
      </c>
      <c r="N76" s="31">
        <v>859174</v>
      </c>
      <c r="O76" s="368">
        <v>857158</v>
      </c>
      <c r="P76" s="61">
        <v>850437</v>
      </c>
    </row>
    <row r="77" spans="2:16" ht="15.5" thickBot="1">
      <c r="B77" s="28" t="s">
        <v>73</v>
      </c>
      <c r="C77" s="34">
        <v>3700624</v>
      </c>
      <c r="D77" s="34">
        <v>5453993</v>
      </c>
      <c r="E77" s="34">
        <v>5409065</v>
      </c>
      <c r="F77" s="34">
        <v>5421595</v>
      </c>
      <c r="G77" s="34">
        <v>5876331</v>
      </c>
      <c r="H77" s="34">
        <v>5957643</v>
      </c>
      <c r="I77" s="34">
        <v>6061670</v>
      </c>
      <c r="J77" s="34">
        <v>5812142</v>
      </c>
      <c r="K77" s="34">
        <v>5790173</v>
      </c>
      <c r="L77" s="34">
        <v>6058705</v>
      </c>
      <c r="M77" s="34">
        <v>6092821</v>
      </c>
      <c r="N77" s="34">
        <v>6326388</v>
      </c>
      <c r="O77" s="370">
        <v>6591473</v>
      </c>
      <c r="P77" s="64">
        <f t="shared" ref="P77" si="4">SUM(P70:P76)</f>
        <v>6259259</v>
      </c>
    </row>
    <row r="78" spans="2:16" ht="15.5" thickBot="1">
      <c r="B78" s="35" t="s">
        <v>74</v>
      </c>
      <c r="C78" s="36">
        <v>3962398</v>
      </c>
      <c r="D78" s="36">
        <v>5750381</v>
      </c>
      <c r="E78" s="36">
        <v>6324523</v>
      </c>
      <c r="F78" s="36">
        <v>6327252</v>
      </c>
      <c r="G78" s="36">
        <v>6535084</v>
      </c>
      <c r="H78" s="36">
        <v>6210883</v>
      </c>
      <c r="I78" s="36">
        <v>6953411</v>
      </c>
      <c r="J78" s="36">
        <v>6808571</v>
      </c>
      <c r="K78" s="36">
        <v>6490059</v>
      </c>
      <c r="L78" s="36">
        <v>6439116</v>
      </c>
      <c r="M78" s="36">
        <v>7232724</v>
      </c>
      <c r="N78" s="36">
        <v>7432040</v>
      </c>
      <c r="O78" s="371">
        <v>7396883</v>
      </c>
      <c r="P78" s="66">
        <f t="shared" ref="P78" si="5">+P68+P77</f>
        <v>6602891</v>
      </c>
    </row>
    <row r="79" spans="2:16" ht="15.5" thickBot="1">
      <c r="B79" s="37"/>
      <c r="C79" s="38"/>
      <c r="D79" s="38"/>
      <c r="E79" s="38"/>
      <c r="F79" s="38"/>
      <c r="G79" s="38"/>
      <c r="H79" s="38"/>
      <c r="I79" s="38"/>
      <c r="J79" s="38"/>
      <c r="K79" s="38"/>
      <c r="L79" s="38"/>
      <c r="M79" s="38"/>
      <c r="N79" s="38"/>
      <c r="O79" s="372"/>
      <c r="P79" s="618"/>
    </row>
    <row r="80" spans="2:16" ht="15.5" thickBot="1">
      <c r="B80" s="43" t="s">
        <v>75</v>
      </c>
      <c r="C80" s="42"/>
      <c r="D80" s="42"/>
      <c r="E80" s="42"/>
      <c r="F80" s="42"/>
      <c r="G80" s="42"/>
      <c r="H80" s="42"/>
      <c r="I80" s="42"/>
      <c r="J80" s="42"/>
      <c r="K80" s="42"/>
      <c r="L80" s="42"/>
      <c r="M80" s="42"/>
      <c r="N80" s="42"/>
      <c r="O80" s="375"/>
      <c r="P80" s="72"/>
    </row>
    <row r="81" spans="1:16" ht="16" thickBot="1">
      <c r="B81" s="30" t="s">
        <v>76</v>
      </c>
      <c r="C81" s="31">
        <v>36916</v>
      </c>
      <c r="D81" s="31">
        <v>36916</v>
      </c>
      <c r="E81" s="31">
        <v>36916</v>
      </c>
      <c r="F81" s="31">
        <v>36916</v>
      </c>
      <c r="G81" s="31">
        <v>36916</v>
      </c>
      <c r="H81" s="31">
        <v>36916</v>
      </c>
      <c r="I81" s="31">
        <v>36916</v>
      </c>
      <c r="J81" s="31">
        <v>36916</v>
      </c>
      <c r="K81" s="31">
        <v>36916</v>
      </c>
      <c r="L81" s="31">
        <v>36916</v>
      </c>
      <c r="M81" s="31">
        <v>36916</v>
      </c>
      <c r="N81" s="31">
        <v>36916</v>
      </c>
      <c r="O81" s="368">
        <v>36916</v>
      </c>
      <c r="P81" s="61">
        <v>36916</v>
      </c>
    </row>
    <row r="82" spans="1:16" ht="16" thickBot="1">
      <c r="B82" s="30" t="s">
        <v>77</v>
      </c>
      <c r="C82" s="31">
        <v>1428128</v>
      </c>
      <c r="D82" s="31">
        <v>1428128</v>
      </c>
      <c r="E82" s="31">
        <v>1428128</v>
      </c>
      <c r="F82" s="31">
        <v>1428128</v>
      </c>
      <c r="G82" s="31">
        <v>1428128</v>
      </c>
      <c r="H82" s="31">
        <v>1428128</v>
      </c>
      <c r="I82" s="31">
        <v>1428128</v>
      </c>
      <c r="J82" s="31">
        <v>1428128</v>
      </c>
      <c r="K82" s="31">
        <v>1428128</v>
      </c>
      <c r="L82" s="31">
        <v>1428128</v>
      </c>
      <c r="M82" s="31">
        <v>1428128</v>
      </c>
      <c r="N82" s="31">
        <v>1428128</v>
      </c>
      <c r="O82" s="368">
        <v>1428128</v>
      </c>
      <c r="P82" s="61">
        <v>1428128</v>
      </c>
    </row>
    <row r="83" spans="1:16" ht="16" thickBot="1">
      <c r="B83" s="30" t="s">
        <v>78</v>
      </c>
      <c r="C83" s="31">
        <v>1878709</v>
      </c>
      <c r="D83" s="31">
        <v>3585959</v>
      </c>
      <c r="E83" s="31">
        <v>4428306</v>
      </c>
      <c r="F83" s="31">
        <v>4428306</v>
      </c>
      <c r="G83" s="31">
        <v>4428306</v>
      </c>
      <c r="H83" s="31">
        <v>4428306</v>
      </c>
      <c r="I83" s="31">
        <v>5346023</v>
      </c>
      <c r="J83" s="31">
        <v>5346023</v>
      </c>
      <c r="K83" s="31">
        <v>5346023</v>
      </c>
      <c r="L83" s="31">
        <v>5346023</v>
      </c>
      <c r="M83" s="31">
        <v>6241845</v>
      </c>
      <c r="N83" s="31">
        <v>6241845</v>
      </c>
      <c r="O83" s="368">
        <v>6241845</v>
      </c>
      <c r="P83" s="61">
        <v>6241845</v>
      </c>
    </row>
    <row r="84" spans="1:16" ht="16" thickBot="1">
      <c r="B84" s="30" t="s">
        <v>79</v>
      </c>
      <c r="C84" s="31">
        <v>3242453</v>
      </c>
      <c r="D84" s="31">
        <v>3242453</v>
      </c>
      <c r="E84" s="31">
        <v>3242453</v>
      </c>
      <c r="F84" s="31">
        <v>3242453</v>
      </c>
      <c r="G84" s="31">
        <v>3242453</v>
      </c>
      <c r="H84" s="31">
        <v>3236320</v>
      </c>
      <c r="I84" s="31">
        <v>3236320</v>
      </c>
      <c r="J84" s="31">
        <v>3236320</v>
      </c>
      <c r="K84" s="31">
        <v>3236320</v>
      </c>
      <c r="L84" s="31">
        <v>3236320</v>
      </c>
      <c r="M84" s="31">
        <v>3236320</v>
      </c>
      <c r="N84" s="31">
        <v>3236320</v>
      </c>
      <c r="O84" s="368">
        <v>3207681</v>
      </c>
      <c r="P84" s="61">
        <v>3236320</v>
      </c>
    </row>
    <row r="85" spans="1:16" ht="16" thickBot="1">
      <c r="B85" s="30" t="s">
        <v>80</v>
      </c>
      <c r="C85" s="31">
        <v>2141460</v>
      </c>
      <c r="D85" s="31">
        <v>1442708</v>
      </c>
      <c r="E85" s="31">
        <v>298768</v>
      </c>
      <c r="F85" s="31">
        <v>532219</v>
      </c>
      <c r="G85" s="31">
        <v>946440</v>
      </c>
      <c r="H85" s="31">
        <v>1529155</v>
      </c>
      <c r="I85" s="31">
        <v>354319</v>
      </c>
      <c r="J85" s="31">
        <v>794601</v>
      </c>
      <c r="K85" s="31">
        <v>1201645</v>
      </c>
      <c r="L85" s="31">
        <v>1643505</v>
      </c>
      <c r="M85" s="31">
        <v>379700</v>
      </c>
      <c r="N85" s="31">
        <v>931307</v>
      </c>
      <c r="O85" s="368">
        <v>1412690</v>
      </c>
      <c r="P85" s="61">
        <v>2062950</v>
      </c>
    </row>
    <row r="86" spans="1:16" ht="16" thickBot="1">
      <c r="B86" s="30" t="s">
        <v>81</v>
      </c>
      <c r="C86" s="31">
        <v>1150568</v>
      </c>
      <c r="D86" s="31">
        <v>1239964</v>
      </c>
      <c r="E86" s="31">
        <v>654755</v>
      </c>
      <c r="F86" s="31">
        <v>411701</v>
      </c>
      <c r="G86" s="31">
        <v>377230</v>
      </c>
      <c r="H86" s="31">
        <v>1234415</v>
      </c>
      <c r="I86" s="31">
        <v>1023601</v>
      </c>
      <c r="J86" s="31">
        <v>1090675</v>
      </c>
      <c r="K86" s="31">
        <v>1275494</v>
      </c>
      <c r="L86" s="31">
        <v>779923</v>
      </c>
      <c r="M86" s="31">
        <v>1451479</v>
      </c>
      <c r="N86" s="31">
        <v>527195</v>
      </c>
      <c r="O86" s="368">
        <v>910036</v>
      </c>
      <c r="P86" s="61">
        <v>194014</v>
      </c>
    </row>
    <row r="87" spans="1:16" ht="15.5" thickBot="1">
      <c r="B87" s="28" t="s">
        <v>84</v>
      </c>
      <c r="C87" s="34">
        <v>9878234</v>
      </c>
      <c r="D87" s="34">
        <v>10976128</v>
      </c>
      <c r="E87" s="34">
        <v>10089326</v>
      </c>
      <c r="F87" s="34">
        <v>10079723</v>
      </c>
      <c r="G87" s="34">
        <v>10459473</v>
      </c>
      <c r="H87" s="34">
        <v>11893240</v>
      </c>
      <c r="I87" s="34">
        <f>SUM(I81:I86)</f>
        <v>11425307</v>
      </c>
      <c r="J87" s="34">
        <f>SUM(J81:J86)</f>
        <v>11932663</v>
      </c>
      <c r="K87" s="34">
        <f>SUM(K81:K86)</f>
        <v>12524526</v>
      </c>
      <c r="L87" s="34">
        <v>12470815</v>
      </c>
      <c r="M87" s="34">
        <v>12774388</v>
      </c>
      <c r="N87" s="34">
        <v>12401711</v>
      </c>
      <c r="O87" s="370">
        <v>13237296</v>
      </c>
      <c r="P87" s="64">
        <f t="shared" ref="P87" si="6">SUM(P81:P86)</f>
        <v>13200173</v>
      </c>
    </row>
    <row r="88" spans="1:16" ht="15.5" thickBot="1">
      <c r="B88" s="47" t="s">
        <v>85</v>
      </c>
      <c r="C88" s="36">
        <v>13840632</v>
      </c>
      <c r="D88" s="36">
        <v>16726509</v>
      </c>
      <c r="E88" s="36">
        <v>16413849</v>
      </c>
      <c r="F88" s="36">
        <v>16406975</v>
      </c>
      <c r="G88" s="36">
        <v>16994557</v>
      </c>
      <c r="H88" s="36">
        <v>18104123</v>
      </c>
      <c r="I88" s="36">
        <f>+I87+I787</f>
        <v>11425307</v>
      </c>
      <c r="J88" s="36">
        <f>+J87+J787</f>
        <v>11932663</v>
      </c>
      <c r="K88" s="36">
        <f>+K87+K787</f>
        <v>12524526</v>
      </c>
      <c r="L88" s="36">
        <v>18909931</v>
      </c>
      <c r="M88" s="36">
        <v>20007112</v>
      </c>
      <c r="N88" s="36">
        <v>19833751</v>
      </c>
      <c r="O88" s="371">
        <v>20634179</v>
      </c>
      <c r="P88" s="66">
        <f t="shared" ref="P88" si="7">+P78+P87</f>
        <v>19803064</v>
      </c>
    </row>
    <row r="89" spans="1:16" ht="15.5">
      <c r="B89" s="8"/>
      <c r="C89" s="48">
        <f>+C57-C78-C87</f>
        <v>0</v>
      </c>
      <c r="D89" s="48">
        <f t="shared" ref="D89:N89" si="8">+D57-D78-D87</f>
        <v>0</v>
      </c>
      <c r="E89" s="48">
        <f t="shared" si="8"/>
        <v>0</v>
      </c>
      <c r="F89" s="48">
        <f t="shared" si="8"/>
        <v>0</v>
      </c>
      <c r="G89" s="48">
        <f t="shared" si="8"/>
        <v>0</v>
      </c>
      <c r="H89" s="48">
        <f t="shared" si="8"/>
        <v>0</v>
      </c>
      <c r="I89" s="48">
        <f>+I57-I78-I87</f>
        <v>0</v>
      </c>
      <c r="J89" s="48">
        <f t="shared" si="8"/>
        <v>0</v>
      </c>
      <c r="K89" s="48">
        <f t="shared" si="8"/>
        <v>0</v>
      </c>
      <c r="L89" s="48">
        <f t="shared" si="8"/>
        <v>0</v>
      </c>
      <c r="M89" s="48">
        <f t="shared" si="8"/>
        <v>0</v>
      </c>
      <c r="N89" s="48">
        <f t="shared" si="8"/>
        <v>0</v>
      </c>
      <c r="O89" s="376">
        <v>0</v>
      </c>
      <c r="P89" s="259">
        <f t="shared" ref="P89" si="9">+P88-P57</f>
        <v>0</v>
      </c>
    </row>
    <row r="90" spans="1:16" ht="15.5">
      <c r="C90" s="144">
        <f>+C26-C85</f>
        <v>0</v>
      </c>
      <c r="D90" s="144">
        <f t="shared" ref="D90:M90" si="10">+D26-D85</f>
        <v>0</v>
      </c>
      <c r="E90" s="144">
        <f t="shared" si="10"/>
        <v>0</v>
      </c>
      <c r="F90" s="144">
        <f>+F26+E26-F85</f>
        <v>0</v>
      </c>
      <c r="G90" s="144">
        <f>+G26+F26+E26-G85</f>
        <v>0</v>
      </c>
      <c r="H90" s="144">
        <f>+H26+G26+F26+E26-H85</f>
        <v>0</v>
      </c>
      <c r="I90" s="144">
        <f t="shared" si="10"/>
        <v>0</v>
      </c>
      <c r="J90" s="144">
        <f>+J26+I26-J85</f>
        <v>0</v>
      </c>
      <c r="K90" s="144">
        <f>+K26+J26+I26-K85</f>
        <v>0</v>
      </c>
      <c r="L90" s="144">
        <f>+L26+K26+J26+I26-L85</f>
        <v>0</v>
      </c>
      <c r="M90" s="144">
        <f t="shared" si="10"/>
        <v>0</v>
      </c>
      <c r="N90" s="144">
        <f>+N26+M26-N85</f>
        <v>0</v>
      </c>
      <c r="O90" s="377">
        <v>3580</v>
      </c>
      <c r="P90" s="144"/>
    </row>
    <row r="91" spans="1:16" ht="15.5">
      <c r="C91" s="61"/>
      <c r="D91" s="61"/>
      <c r="E91" s="61"/>
      <c r="F91" s="61"/>
      <c r="G91" s="61"/>
      <c r="H91" s="61"/>
      <c r="I91" s="61"/>
      <c r="J91" s="61"/>
      <c r="K91" s="61"/>
      <c r="L91" s="61"/>
      <c r="M91" s="61"/>
      <c r="N91" s="61"/>
      <c r="O91" s="378"/>
    </row>
    <row r="92" spans="1:16" ht="15.5">
      <c r="A92" s="225" t="s">
        <v>492</v>
      </c>
      <c r="B92" s="19" t="s">
        <v>98</v>
      </c>
      <c r="C92" s="145"/>
      <c r="D92" s="145"/>
      <c r="E92" s="145"/>
      <c r="F92" s="145"/>
      <c r="G92" s="145"/>
      <c r="H92" s="145"/>
      <c r="I92" s="145"/>
      <c r="J92" s="145"/>
      <c r="K92" s="145"/>
      <c r="L92" s="145"/>
      <c r="M92" s="145"/>
      <c r="N92" s="145"/>
      <c r="O92" s="145"/>
    </row>
    <row r="93" spans="1:16" ht="15.5">
      <c r="B93" s="21" t="s">
        <v>2</v>
      </c>
      <c r="C93" s="8"/>
      <c r="D93" s="8"/>
      <c r="E93" s="8"/>
      <c r="F93" s="8"/>
      <c r="G93" s="8"/>
      <c r="H93" s="8"/>
      <c r="I93" s="8"/>
      <c r="J93" s="8"/>
      <c r="K93" s="8"/>
      <c r="L93" s="8"/>
      <c r="M93" s="8"/>
      <c r="N93" s="8"/>
      <c r="O93" s="379"/>
    </row>
    <row r="94" spans="1:16" ht="15.5">
      <c r="B94" s="9"/>
      <c r="C94" s="9"/>
      <c r="D94" s="9"/>
      <c r="E94" s="9"/>
      <c r="F94" s="9"/>
      <c r="G94" s="9"/>
      <c r="H94" s="9"/>
      <c r="I94" s="9"/>
      <c r="J94" s="9"/>
      <c r="K94" s="9"/>
      <c r="L94" s="9"/>
      <c r="M94" s="9"/>
      <c r="N94" s="9"/>
      <c r="O94" s="9"/>
    </row>
    <row r="95" spans="1:16" s="51" customFormat="1" ht="15">
      <c r="B95" s="52"/>
      <c r="C95" s="49">
        <v>2016</v>
      </c>
      <c r="D95" s="49">
        <v>2017</v>
      </c>
      <c r="E95" s="49" t="s">
        <v>3</v>
      </c>
      <c r="F95" s="49" t="s">
        <v>4</v>
      </c>
      <c r="G95" s="49" t="s">
        <v>5</v>
      </c>
      <c r="H95" s="49" t="s">
        <v>6</v>
      </c>
      <c r="I95" s="49" t="s">
        <v>7</v>
      </c>
      <c r="J95" s="49" t="s">
        <v>8</v>
      </c>
      <c r="K95" s="49" t="s">
        <v>9</v>
      </c>
      <c r="L95" s="49" t="s">
        <v>10</v>
      </c>
      <c r="M95" s="49" t="s">
        <v>11</v>
      </c>
      <c r="N95" s="49" t="s">
        <v>12</v>
      </c>
      <c r="O95" s="358" t="s">
        <v>685</v>
      </c>
      <c r="P95" s="358" t="s">
        <v>1111</v>
      </c>
    </row>
    <row r="96" spans="1:16" ht="15.5">
      <c r="B96" s="10"/>
      <c r="C96" s="11"/>
      <c r="D96" s="11"/>
      <c r="E96" s="11"/>
      <c r="F96" s="11"/>
      <c r="G96" s="11"/>
      <c r="H96" s="11"/>
      <c r="I96" s="11"/>
      <c r="J96" s="11"/>
      <c r="K96" s="11"/>
      <c r="L96" s="11"/>
      <c r="M96" s="11"/>
      <c r="N96" s="11"/>
      <c r="O96" s="9"/>
      <c r="P96" s="185"/>
    </row>
    <row r="97" spans="2:16" ht="15.5">
      <c r="B97" s="12" t="s">
        <v>88</v>
      </c>
      <c r="C97" s="13">
        <v>1017608</v>
      </c>
      <c r="D97" s="13">
        <v>947816</v>
      </c>
      <c r="E97" s="13">
        <v>236187</v>
      </c>
      <c r="F97" s="13">
        <v>240267</v>
      </c>
      <c r="G97" s="13">
        <v>243982</v>
      </c>
      <c r="H97" s="13">
        <v>249792</v>
      </c>
      <c r="I97" s="13">
        <v>250666</v>
      </c>
      <c r="J97" s="13">
        <v>257791</v>
      </c>
      <c r="K97" s="13">
        <v>265674</v>
      </c>
      <c r="L97" s="13">
        <v>270754</v>
      </c>
      <c r="M97" s="13">
        <v>281949</v>
      </c>
      <c r="N97" s="13">
        <v>286133</v>
      </c>
      <c r="O97" s="380">
        <v>287343</v>
      </c>
      <c r="P97" s="603">
        <v>286.89800000000002</v>
      </c>
    </row>
    <row r="98" spans="2:16" ht="15.5">
      <c r="B98" s="12" t="s">
        <v>532</v>
      </c>
      <c r="C98" s="13">
        <v>103748</v>
      </c>
      <c r="D98" s="13">
        <v>116537</v>
      </c>
      <c r="E98" s="13">
        <v>28712</v>
      </c>
      <c r="F98" s="13">
        <v>29431</v>
      </c>
      <c r="G98" s="13">
        <v>31229</v>
      </c>
      <c r="H98" s="13">
        <v>30633</v>
      </c>
      <c r="I98" s="13">
        <v>29501</v>
      </c>
      <c r="J98" s="13">
        <v>30517</v>
      </c>
      <c r="K98" s="13">
        <v>33076</v>
      </c>
      <c r="L98" s="13">
        <v>31313</v>
      </c>
      <c r="M98" s="13">
        <v>32691</v>
      </c>
      <c r="N98" s="13">
        <v>33338</v>
      </c>
      <c r="O98" s="380">
        <v>35723</v>
      </c>
      <c r="P98" s="603">
        <v>37.807000000000002</v>
      </c>
    </row>
    <row r="99" spans="2:16" ht="15.5">
      <c r="B99" s="12" t="s">
        <v>99</v>
      </c>
      <c r="C99" s="13">
        <v>13564</v>
      </c>
      <c r="D99" s="13">
        <v>14655</v>
      </c>
      <c r="E99" s="13">
        <v>4037</v>
      </c>
      <c r="F99" s="13">
        <v>4771</v>
      </c>
      <c r="G99" s="13">
        <v>5463</v>
      </c>
      <c r="H99" s="13">
        <v>6263</v>
      </c>
      <c r="I99" s="13">
        <v>4507</v>
      </c>
      <c r="J99" s="13">
        <v>5088</v>
      </c>
      <c r="K99" s="13">
        <v>6103</v>
      </c>
      <c r="L99" s="13">
        <v>6957</v>
      </c>
      <c r="M99" s="13">
        <v>4849</v>
      </c>
      <c r="N99" s="13">
        <v>4212</v>
      </c>
      <c r="O99" s="380">
        <v>6011</v>
      </c>
      <c r="P99" s="603">
        <v>6.52</v>
      </c>
    </row>
    <row r="100" spans="2:16" ht="15.5">
      <c r="B100" s="12" t="s">
        <v>100</v>
      </c>
      <c r="C100" s="13">
        <v>5535</v>
      </c>
      <c r="D100" s="13">
        <v>5566</v>
      </c>
      <c r="E100" s="13">
        <v>1417</v>
      </c>
      <c r="F100" s="13">
        <v>1418</v>
      </c>
      <c r="G100" s="13">
        <v>1418</v>
      </c>
      <c r="H100" s="13">
        <v>1688</v>
      </c>
      <c r="I100" s="13">
        <v>1876</v>
      </c>
      <c r="J100" s="13">
        <v>1862</v>
      </c>
      <c r="K100" s="13">
        <v>1840</v>
      </c>
      <c r="L100" s="13">
        <v>1844</v>
      </c>
      <c r="M100" s="13">
        <v>1100</v>
      </c>
      <c r="N100" s="13">
        <v>2010</v>
      </c>
      <c r="O100" s="380">
        <v>1505</v>
      </c>
      <c r="P100" s="603">
        <v>1.5349999999999999</v>
      </c>
    </row>
    <row r="101" spans="2:16" ht="15.5">
      <c r="B101" s="12" t="s">
        <v>22</v>
      </c>
      <c r="C101" s="13">
        <v>17730</v>
      </c>
      <c r="D101" s="13">
        <v>19144</v>
      </c>
      <c r="E101" s="13">
        <v>4127</v>
      </c>
      <c r="F101" s="13">
        <v>5694</v>
      </c>
      <c r="G101" s="13">
        <v>6555</v>
      </c>
      <c r="H101" s="13">
        <v>6652</v>
      </c>
      <c r="I101" s="13">
        <v>5184</v>
      </c>
      <c r="J101" s="13">
        <v>5827</v>
      </c>
      <c r="K101" s="13">
        <v>5445</v>
      </c>
      <c r="L101" s="13">
        <v>7489</v>
      </c>
      <c r="M101" s="13">
        <v>5693</v>
      </c>
      <c r="N101" s="13">
        <v>7000</v>
      </c>
      <c r="O101" s="380">
        <v>6344</v>
      </c>
      <c r="P101" s="603">
        <v>6.6630000000000003</v>
      </c>
    </row>
    <row r="102" spans="2:16" ht="15.5">
      <c r="B102" s="12" t="s">
        <v>23</v>
      </c>
      <c r="C102" s="13">
        <v>1094702</v>
      </c>
      <c r="D102" s="13">
        <v>1054887</v>
      </c>
      <c r="E102" s="13">
        <v>262624</v>
      </c>
      <c r="F102" s="13">
        <v>269268</v>
      </c>
      <c r="G102" s="13">
        <v>275919</v>
      </c>
      <c r="H102" s="13">
        <v>283929</v>
      </c>
      <c r="I102" s="13">
        <v>279650</v>
      </c>
      <c r="J102" s="13">
        <v>287769</v>
      </c>
      <c r="K102" s="13">
        <v>302186</v>
      </c>
      <c r="L102" s="13">
        <v>305298</v>
      </c>
      <c r="M102" s="13">
        <v>312532</v>
      </c>
      <c r="N102" s="13">
        <v>316528</v>
      </c>
      <c r="O102" s="380">
        <v>322980</v>
      </c>
      <c r="P102" s="603">
        <v>330.63200000000001</v>
      </c>
    </row>
    <row r="103" spans="2:16" ht="15.5">
      <c r="B103" s="16" t="s">
        <v>92</v>
      </c>
      <c r="C103" s="17">
        <v>63483</v>
      </c>
      <c r="D103" s="17">
        <v>48831</v>
      </c>
      <c r="E103" s="17">
        <v>11856</v>
      </c>
      <c r="F103" s="17">
        <v>12313</v>
      </c>
      <c r="G103" s="17">
        <v>12728</v>
      </c>
      <c r="H103" s="17">
        <v>11099</v>
      </c>
      <c r="I103" s="17">
        <v>12084</v>
      </c>
      <c r="J103" s="17">
        <v>13316</v>
      </c>
      <c r="K103" s="17">
        <v>9952</v>
      </c>
      <c r="L103" s="17">
        <v>13059</v>
      </c>
      <c r="M103" s="17">
        <v>13750</v>
      </c>
      <c r="N103" s="17">
        <v>16165</v>
      </c>
      <c r="O103" s="381">
        <v>13946</v>
      </c>
      <c r="P103" s="604">
        <v>8.7910000000000004</v>
      </c>
    </row>
    <row r="104" spans="2:16" ht="15.5">
      <c r="B104" s="10"/>
      <c r="C104" s="11"/>
      <c r="D104" s="11"/>
      <c r="E104" s="11"/>
      <c r="F104" s="11"/>
      <c r="G104" s="11"/>
      <c r="H104" s="11"/>
      <c r="I104" s="11"/>
      <c r="J104" s="11"/>
      <c r="K104" s="11"/>
      <c r="L104" s="11"/>
      <c r="M104" s="11"/>
      <c r="N104" s="11"/>
      <c r="O104" s="9"/>
      <c r="P104" s="605"/>
    </row>
    <row r="105" spans="2:16" ht="15.5">
      <c r="B105" s="12" t="s">
        <v>26</v>
      </c>
      <c r="C105" s="13">
        <v>20860</v>
      </c>
      <c r="D105" s="13">
        <v>6255</v>
      </c>
      <c r="E105" s="13">
        <v>786</v>
      </c>
      <c r="F105" s="13">
        <v>776</v>
      </c>
      <c r="G105" s="13">
        <v>1529</v>
      </c>
      <c r="H105" s="13">
        <v>380</v>
      </c>
      <c r="I105" s="13">
        <v>699</v>
      </c>
      <c r="J105" s="13">
        <v>856</v>
      </c>
      <c r="K105" s="13">
        <v>1047</v>
      </c>
      <c r="L105" s="13">
        <v>-21</v>
      </c>
      <c r="M105" s="13">
        <v>1031</v>
      </c>
      <c r="N105" s="13">
        <v>711</v>
      </c>
      <c r="O105" s="380">
        <v>943</v>
      </c>
      <c r="P105" s="603">
        <v>-3.4159999999999999</v>
      </c>
    </row>
    <row r="106" spans="2:16" ht="15.5">
      <c r="B106" s="12" t="s">
        <v>27</v>
      </c>
      <c r="C106" s="13">
        <v>0</v>
      </c>
      <c r="D106" s="13">
        <v>0</v>
      </c>
      <c r="E106" s="13">
        <v>0</v>
      </c>
      <c r="F106" s="13">
        <v>0</v>
      </c>
      <c r="G106" s="13">
        <v>0</v>
      </c>
      <c r="H106" s="13">
        <v>0</v>
      </c>
      <c r="I106" s="13">
        <v>0</v>
      </c>
      <c r="J106" s="13">
        <v>0</v>
      </c>
      <c r="K106" s="13">
        <v>0</v>
      </c>
      <c r="L106" s="13">
        <v>0</v>
      </c>
      <c r="M106" s="13">
        <v>0</v>
      </c>
      <c r="N106" s="13">
        <v>0</v>
      </c>
      <c r="O106" s="380">
        <v>0</v>
      </c>
      <c r="P106" s="603" t="s">
        <v>1115</v>
      </c>
    </row>
    <row r="107" spans="2:16" ht="15.5">
      <c r="B107" s="12" t="s">
        <v>28</v>
      </c>
      <c r="C107" s="13">
        <v>778</v>
      </c>
      <c r="D107" s="13">
        <v>1175</v>
      </c>
      <c r="E107" s="13">
        <v>293</v>
      </c>
      <c r="F107" s="13">
        <v>299</v>
      </c>
      <c r="G107" s="13">
        <v>358</v>
      </c>
      <c r="H107" s="13">
        <v>438</v>
      </c>
      <c r="I107" s="13">
        <v>308</v>
      </c>
      <c r="J107" s="13">
        <v>302</v>
      </c>
      <c r="K107" s="13">
        <v>1921</v>
      </c>
      <c r="L107" s="13">
        <v>350</v>
      </c>
      <c r="M107" s="13">
        <v>316</v>
      </c>
      <c r="N107" s="13">
        <v>-1220</v>
      </c>
      <c r="O107" s="380">
        <v>197</v>
      </c>
      <c r="P107" s="603">
        <v>-23</v>
      </c>
    </row>
    <row r="108" spans="2:16" ht="15.5">
      <c r="B108" s="16" t="s">
        <v>29</v>
      </c>
      <c r="C108" s="18">
        <v>43401</v>
      </c>
      <c r="D108" s="18">
        <v>43751</v>
      </c>
      <c r="E108" s="18">
        <v>11363</v>
      </c>
      <c r="F108" s="18">
        <v>11836</v>
      </c>
      <c r="G108" s="18">
        <v>11557</v>
      </c>
      <c r="H108" s="18">
        <v>11157</v>
      </c>
      <c r="I108" s="18">
        <v>11693</v>
      </c>
      <c r="J108" s="18">
        <v>12762</v>
      </c>
      <c r="K108" s="18">
        <v>10826</v>
      </c>
      <c r="L108" s="18">
        <v>13430</v>
      </c>
      <c r="M108" s="18">
        <v>13035</v>
      </c>
      <c r="N108" s="18">
        <v>14234</v>
      </c>
      <c r="O108" s="382">
        <v>13200</v>
      </c>
      <c r="P108" s="604">
        <v>12.183999999999999</v>
      </c>
    </row>
    <row r="109" spans="2:16" ht="15.5">
      <c r="B109" s="12"/>
      <c r="C109" s="13"/>
      <c r="D109" s="13"/>
      <c r="E109" s="13"/>
      <c r="F109" s="13"/>
      <c r="G109" s="13"/>
      <c r="H109" s="13"/>
      <c r="I109" s="13"/>
      <c r="J109" s="13"/>
      <c r="K109" s="13"/>
      <c r="L109" s="13"/>
      <c r="M109" s="13"/>
      <c r="N109" s="13"/>
      <c r="O109" s="380"/>
      <c r="P109" s="603"/>
    </row>
    <row r="110" spans="2:16" ht="15.5">
      <c r="B110" s="12" t="s">
        <v>30</v>
      </c>
      <c r="C110" s="13">
        <v>236</v>
      </c>
      <c r="D110" s="13">
        <v>-1324</v>
      </c>
      <c r="E110" s="13">
        <v>-470</v>
      </c>
      <c r="F110" s="13">
        <v>-1010</v>
      </c>
      <c r="G110" s="13">
        <v>-442</v>
      </c>
      <c r="H110" s="13">
        <v>-246</v>
      </c>
      <c r="I110" s="13">
        <v>-725</v>
      </c>
      <c r="J110" s="13">
        <v>-1309</v>
      </c>
      <c r="K110" s="13">
        <v>207</v>
      </c>
      <c r="L110" s="13">
        <v>-1470</v>
      </c>
      <c r="M110" s="13">
        <v>-548</v>
      </c>
      <c r="N110" s="13">
        <v>-1022</v>
      </c>
      <c r="O110" s="380">
        <v>-255</v>
      </c>
      <c r="P110" s="603">
        <v>-188</v>
      </c>
    </row>
    <row r="111" spans="2:16" ht="15.5">
      <c r="B111" s="16" t="s">
        <v>31</v>
      </c>
      <c r="C111" s="18">
        <v>43637</v>
      </c>
      <c r="D111" s="18">
        <v>42427</v>
      </c>
      <c r="E111" s="18">
        <v>10893</v>
      </c>
      <c r="F111" s="18">
        <v>10826</v>
      </c>
      <c r="G111" s="18">
        <v>11115</v>
      </c>
      <c r="H111" s="18">
        <v>10911</v>
      </c>
      <c r="I111" s="18">
        <v>10968</v>
      </c>
      <c r="J111" s="18">
        <v>11453</v>
      </c>
      <c r="K111" s="18">
        <v>11033</v>
      </c>
      <c r="L111" s="18">
        <v>11960</v>
      </c>
      <c r="M111" s="18">
        <v>12487</v>
      </c>
      <c r="N111" s="18">
        <v>13212</v>
      </c>
      <c r="O111" s="382">
        <v>12945</v>
      </c>
      <c r="P111" s="604">
        <v>11.996</v>
      </c>
    </row>
    <row r="112" spans="2:16" ht="15.5">
      <c r="B112" s="10"/>
      <c r="C112" s="11"/>
      <c r="D112" s="11"/>
      <c r="E112" s="11"/>
      <c r="F112" s="11"/>
      <c r="G112" s="11"/>
      <c r="H112" s="11"/>
      <c r="I112" s="11"/>
      <c r="J112" s="11"/>
      <c r="K112" s="11"/>
      <c r="L112" s="11"/>
      <c r="M112" s="11"/>
      <c r="N112" s="11"/>
      <c r="O112" s="9"/>
      <c r="P112" s="605"/>
    </row>
    <row r="113" spans="1:16" ht="15.5">
      <c r="B113" s="12" t="s">
        <v>32</v>
      </c>
      <c r="C113" s="13">
        <v>20008</v>
      </c>
      <c r="D113" s="13">
        <v>18005</v>
      </c>
      <c r="E113" s="13">
        <v>4189</v>
      </c>
      <c r="F113" s="13">
        <v>2264</v>
      </c>
      <c r="G113" s="13">
        <v>4363</v>
      </c>
      <c r="H113" s="13">
        <v>6451</v>
      </c>
      <c r="I113" s="13">
        <v>3396</v>
      </c>
      <c r="J113" s="13">
        <v>4552</v>
      </c>
      <c r="K113" s="13">
        <v>2844</v>
      </c>
      <c r="L113" s="13">
        <v>1679</v>
      </c>
      <c r="M113" s="13">
        <v>3913</v>
      </c>
      <c r="N113" s="13">
        <v>8604</v>
      </c>
      <c r="O113" s="380">
        <v>4572</v>
      </c>
      <c r="P113" s="603">
        <v>4.1269999999999998</v>
      </c>
    </row>
    <row r="114" spans="1:16" ht="15.5">
      <c r="B114" s="16" t="s">
        <v>35</v>
      </c>
      <c r="C114" s="18">
        <v>23629</v>
      </c>
      <c r="D114" s="18">
        <v>24422</v>
      </c>
      <c r="E114" s="18">
        <v>6704</v>
      </c>
      <c r="F114" s="18">
        <v>8562</v>
      </c>
      <c r="G114" s="18">
        <v>6752</v>
      </c>
      <c r="H114" s="18">
        <v>4460</v>
      </c>
      <c r="I114" s="18">
        <v>7572</v>
      </c>
      <c r="J114" s="18">
        <v>6901</v>
      </c>
      <c r="K114" s="18">
        <v>8189</v>
      </c>
      <c r="L114" s="18">
        <v>10281</v>
      </c>
      <c r="M114" s="18">
        <v>8574</v>
      </c>
      <c r="N114" s="18">
        <v>4608</v>
      </c>
      <c r="O114" s="382">
        <v>8373</v>
      </c>
      <c r="P114" s="604">
        <v>7.8689999999999998</v>
      </c>
    </row>
    <row r="115" spans="1:16" ht="15.5">
      <c r="O115" s="357"/>
    </row>
    <row r="116" spans="1:16" ht="15.5">
      <c r="O116" s="357"/>
    </row>
    <row r="117" spans="1:16" ht="15.5">
      <c r="O117" s="357"/>
    </row>
    <row r="118" spans="1:16" ht="15">
      <c r="A118" s="225" t="s">
        <v>492</v>
      </c>
      <c r="B118" s="19" t="s">
        <v>489</v>
      </c>
      <c r="C118" s="8"/>
      <c r="D118" s="8"/>
      <c r="E118" s="8"/>
      <c r="F118" s="8"/>
      <c r="G118" s="8"/>
      <c r="H118" s="20"/>
      <c r="I118" s="20"/>
      <c r="J118" s="20"/>
      <c r="K118" s="20"/>
      <c r="L118" s="20"/>
      <c r="M118" s="20"/>
      <c r="N118" s="20"/>
      <c r="O118" s="362"/>
    </row>
    <row r="119" spans="1:16" ht="15">
      <c r="B119" s="21" t="s">
        <v>2</v>
      </c>
      <c r="C119" s="8"/>
      <c r="D119" s="8"/>
      <c r="E119" s="8"/>
      <c r="F119" s="8"/>
      <c r="G119" s="8"/>
      <c r="H119" s="22"/>
      <c r="I119" s="22"/>
      <c r="J119" s="22"/>
      <c r="K119" s="22"/>
      <c r="L119" s="22"/>
      <c r="M119" s="22"/>
      <c r="N119" s="53">
        <v>1000000</v>
      </c>
      <c r="O119" s="383"/>
    </row>
    <row r="120" spans="1:16" ht="15.5">
      <c r="B120" s="23"/>
      <c r="C120" s="8"/>
      <c r="D120" s="8"/>
      <c r="E120" s="8"/>
      <c r="F120" s="8"/>
      <c r="G120" s="8"/>
      <c r="H120" s="23"/>
      <c r="I120" s="23"/>
      <c r="J120" s="23"/>
      <c r="K120" s="23"/>
      <c r="L120" s="23"/>
      <c r="M120" s="23"/>
      <c r="N120" s="8"/>
      <c r="O120" s="379"/>
    </row>
    <row r="121" spans="1:16" ht="16" thickBot="1">
      <c r="B121" s="24"/>
      <c r="C121" s="25"/>
      <c r="D121" s="25"/>
      <c r="E121" s="25"/>
      <c r="F121" s="25"/>
      <c r="G121" s="25"/>
      <c r="H121" s="25"/>
      <c r="I121" s="25"/>
      <c r="J121" s="25"/>
      <c r="K121" s="25"/>
      <c r="L121" s="25"/>
      <c r="M121" s="25"/>
      <c r="N121" s="25"/>
      <c r="O121" s="365"/>
      <c r="P121" s="606" t="s">
        <v>1116</v>
      </c>
    </row>
    <row r="122" spans="1:16" ht="16" thickBot="1">
      <c r="B122" s="26" t="s">
        <v>37</v>
      </c>
      <c r="C122" s="27"/>
      <c r="D122" s="27"/>
      <c r="E122" s="27"/>
      <c r="F122" s="27"/>
      <c r="G122" s="27"/>
      <c r="H122" s="27"/>
      <c r="I122" s="27"/>
      <c r="J122" s="27"/>
      <c r="K122" s="27"/>
      <c r="L122" s="27"/>
      <c r="M122" s="27"/>
      <c r="N122" s="26"/>
      <c r="O122" s="366"/>
      <c r="P122" s="607" t="s">
        <v>1116</v>
      </c>
    </row>
    <row r="123" spans="1:16" ht="16" thickBot="1">
      <c r="B123" s="28" t="s">
        <v>38</v>
      </c>
      <c r="C123" s="29"/>
      <c r="D123" s="29"/>
      <c r="E123" s="29"/>
      <c r="F123" s="29"/>
      <c r="G123" s="29"/>
      <c r="H123" s="29"/>
      <c r="I123" s="29"/>
      <c r="J123" s="29"/>
      <c r="K123" s="29"/>
      <c r="L123" s="29"/>
      <c r="M123" s="29"/>
      <c r="N123" s="29"/>
      <c r="O123" s="367"/>
      <c r="P123" s="608" t="s">
        <v>1116</v>
      </c>
    </row>
    <row r="124" spans="1:16" ht="16" thickBot="1">
      <c r="B124" s="30" t="s">
        <v>39</v>
      </c>
      <c r="C124" s="31">
        <v>23319</v>
      </c>
      <c r="D124" s="31">
        <v>9087</v>
      </c>
      <c r="E124" s="31">
        <v>2785</v>
      </c>
      <c r="F124" s="31">
        <v>22853</v>
      </c>
      <c r="G124" s="31">
        <v>15789</v>
      </c>
      <c r="H124" s="31">
        <v>6897</v>
      </c>
      <c r="I124" s="31">
        <v>19708</v>
      </c>
      <c r="J124" s="31">
        <v>14069</v>
      </c>
      <c r="K124" s="31">
        <v>19842</v>
      </c>
      <c r="L124" s="31">
        <v>15917</v>
      </c>
      <c r="M124" s="31">
        <v>27931</v>
      </c>
      <c r="N124" s="31">
        <v>28816</v>
      </c>
      <c r="O124" s="368">
        <v>13300</v>
      </c>
      <c r="P124" s="609">
        <v>24.596</v>
      </c>
    </row>
    <row r="125" spans="1:16" ht="16" thickBot="1">
      <c r="B125" s="30" t="s">
        <v>40</v>
      </c>
      <c r="C125" s="31">
        <v>110464</v>
      </c>
      <c r="D125" s="31">
        <v>115144</v>
      </c>
      <c r="E125" s="31">
        <v>112904</v>
      </c>
      <c r="F125" s="31">
        <v>117435</v>
      </c>
      <c r="G125" s="31">
        <v>119858</v>
      </c>
      <c r="H125" s="31">
        <v>121770</v>
      </c>
      <c r="I125" s="31">
        <v>118333</v>
      </c>
      <c r="J125" s="31">
        <v>124432</v>
      </c>
      <c r="K125" s="31">
        <v>125586</v>
      </c>
      <c r="L125" s="31">
        <v>123153</v>
      </c>
      <c r="M125" s="31">
        <v>129153</v>
      </c>
      <c r="N125" s="31">
        <v>129965</v>
      </c>
      <c r="O125" s="368">
        <v>136029</v>
      </c>
      <c r="P125" s="610">
        <v>135.30199999999999</v>
      </c>
    </row>
    <row r="126" spans="1:16" ht="16" thickBot="1">
      <c r="B126" s="30" t="s">
        <v>41</v>
      </c>
      <c r="C126" s="31">
        <v>13841</v>
      </c>
      <c r="D126" s="31">
        <v>14865</v>
      </c>
      <c r="E126" s="31">
        <v>20485</v>
      </c>
      <c r="F126" s="31">
        <v>32304</v>
      </c>
      <c r="G126" s="31">
        <v>21822</v>
      </c>
      <c r="H126" s="31">
        <v>8704</v>
      </c>
      <c r="I126" s="31">
        <v>17458</v>
      </c>
      <c r="J126" s="31">
        <v>19192</v>
      </c>
      <c r="K126" s="31">
        <v>23815</v>
      </c>
      <c r="L126" s="31">
        <v>14458</v>
      </c>
      <c r="M126" s="31">
        <v>18479</v>
      </c>
      <c r="N126" s="31">
        <v>16694</v>
      </c>
      <c r="O126" s="368">
        <v>10215</v>
      </c>
      <c r="P126" s="610">
        <v>456</v>
      </c>
    </row>
    <row r="127" spans="1:16" ht="16" thickBot="1">
      <c r="B127" s="30" t="s">
        <v>42</v>
      </c>
      <c r="C127" s="31">
        <v>3633</v>
      </c>
      <c r="D127" s="31">
        <v>3534</v>
      </c>
      <c r="E127" s="31">
        <v>4103</v>
      </c>
      <c r="F127" s="31">
        <v>4237</v>
      </c>
      <c r="G127" s="31">
        <v>3991</v>
      </c>
      <c r="H127" s="31">
        <v>3702</v>
      </c>
      <c r="I127" s="31">
        <v>3585</v>
      </c>
      <c r="J127" s="31">
        <v>3171</v>
      </c>
      <c r="K127" s="31">
        <v>2788</v>
      </c>
      <c r="L127" s="31">
        <v>2569</v>
      </c>
      <c r="M127" s="31">
        <v>4123</v>
      </c>
      <c r="N127" s="31">
        <v>4010</v>
      </c>
      <c r="O127" s="368">
        <v>3514</v>
      </c>
      <c r="P127" s="610">
        <v>3.532</v>
      </c>
    </row>
    <row r="128" spans="1:16" ht="16" thickBot="1">
      <c r="B128" s="30" t="s">
        <v>43</v>
      </c>
      <c r="C128" s="31">
        <v>3857</v>
      </c>
      <c r="D128" s="31">
        <v>4854</v>
      </c>
      <c r="E128" s="31">
        <v>8831</v>
      </c>
      <c r="F128" s="31">
        <v>6503</v>
      </c>
      <c r="G128" s="31">
        <v>7541</v>
      </c>
      <c r="H128" s="31">
        <v>5261</v>
      </c>
      <c r="I128" s="31">
        <v>8878</v>
      </c>
      <c r="J128" s="31">
        <v>6792</v>
      </c>
      <c r="K128" s="31">
        <v>8037</v>
      </c>
      <c r="L128" s="31">
        <v>6682</v>
      </c>
      <c r="M128" s="31">
        <v>9686</v>
      </c>
      <c r="N128" s="31">
        <v>8342</v>
      </c>
      <c r="O128" s="368">
        <v>16229</v>
      </c>
      <c r="P128" s="610">
        <v>12.24</v>
      </c>
    </row>
    <row r="129" spans="2:16" ht="16" thickBot="1">
      <c r="B129" s="30" t="s">
        <v>44</v>
      </c>
      <c r="C129" s="31">
        <v>0</v>
      </c>
      <c r="D129" s="31">
        <v>0</v>
      </c>
      <c r="E129" s="31">
        <v>0</v>
      </c>
      <c r="F129" s="31">
        <v>0</v>
      </c>
      <c r="G129" s="31">
        <v>0</v>
      </c>
      <c r="H129" s="31">
        <v>0</v>
      </c>
      <c r="I129" s="31">
        <v>0</v>
      </c>
      <c r="J129" s="31">
        <v>0</v>
      </c>
      <c r="K129" s="31">
        <v>0</v>
      </c>
      <c r="L129" s="31">
        <v>0</v>
      </c>
      <c r="M129" s="31">
        <v>0</v>
      </c>
      <c r="N129" s="31">
        <v>0</v>
      </c>
      <c r="O129" s="368">
        <v>0</v>
      </c>
      <c r="P129" s="610" t="s">
        <v>1115</v>
      </c>
    </row>
    <row r="130" spans="2:16" ht="16" thickBot="1">
      <c r="B130" s="32" t="s">
        <v>45</v>
      </c>
      <c r="C130" s="33">
        <v>155114</v>
      </c>
      <c r="D130" s="33">
        <v>147484</v>
      </c>
      <c r="E130" s="33">
        <v>149108</v>
      </c>
      <c r="F130" s="33">
        <v>183332</v>
      </c>
      <c r="G130" s="33">
        <v>169001</v>
      </c>
      <c r="H130" s="33">
        <v>146334</v>
      </c>
      <c r="I130" s="33">
        <v>167962</v>
      </c>
      <c r="J130" s="33">
        <v>167656</v>
      </c>
      <c r="K130" s="33">
        <v>180068</v>
      </c>
      <c r="L130" s="33">
        <v>162779</v>
      </c>
      <c r="M130" s="33">
        <v>189372</v>
      </c>
      <c r="N130" s="33">
        <v>187827</v>
      </c>
      <c r="O130" s="369">
        <v>179287</v>
      </c>
      <c r="P130" s="611">
        <v>176.126</v>
      </c>
    </row>
    <row r="131" spans="2:16" ht="16" thickBot="1">
      <c r="B131" s="28" t="s">
        <v>46</v>
      </c>
      <c r="C131" s="29"/>
      <c r="D131" s="29"/>
      <c r="E131" s="29"/>
      <c r="F131" s="29"/>
      <c r="G131" s="29"/>
      <c r="H131" s="29"/>
      <c r="I131" s="29"/>
      <c r="J131" s="29"/>
      <c r="K131" s="29"/>
      <c r="L131" s="29"/>
      <c r="M131" s="29"/>
      <c r="N131" s="29"/>
      <c r="O131" s="367"/>
      <c r="P131" s="608" t="s">
        <v>1116</v>
      </c>
    </row>
    <row r="132" spans="2:16" ht="16" thickBot="1">
      <c r="B132" s="30" t="s">
        <v>47</v>
      </c>
      <c r="C132" s="31">
        <v>0</v>
      </c>
      <c r="D132" s="31">
        <v>0</v>
      </c>
      <c r="E132" s="31">
        <v>0</v>
      </c>
      <c r="F132" s="31">
        <v>4100</v>
      </c>
      <c r="G132" s="31">
        <v>0</v>
      </c>
      <c r="H132" s="31">
        <v>0</v>
      </c>
      <c r="I132" s="31">
        <v>0</v>
      </c>
      <c r="J132" s="31">
        <v>0</v>
      </c>
      <c r="K132" s="31">
        <v>0</v>
      </c>
      <c r="L132" s="31">
        <v>0</v>
      </c>
      <c r="M132" s="31">
        <v>0</v>
      </c>
      <c r="N132" s="31">
        <v>0</v>
      </c>
      <c r="O132" s="368">
        <v>0</v>
      </c>
      <c r="P132" s="609" t="s">
        <v>1115</v>
      </c>
    </row>
    <row r="133" spans="2:16" ht="16" thickBot="1">
      <c r="B133" s="30" t="s">
        <v>40</v>
      </c>
      <c r="C133" s="31">
        <v>12703</v>
      </c>
      <c r="D133" s="31">
        <v>8145</v>
      </c>
      <c r="E133" s="31">
        <v>8834</v>
      </c>
      <c r="F133" s="31">
        <v>8901</v>
      </c>
      <c r="G133" s="31">
        <v>12927</v>
      </c>
      <c r="H133" s="31">
        <v>12138</v>
      </c>
      <c r="I133" s="31">
        <v>17314</v>
      </c>
      <c r="J133" s="31">
        <v>17776</v>
      </c>
      <c r="K133" s="31">
        <v>18126</v>
      </c>
      <c r="L133" s="31">
        <v>13711</v>
      </c>
      <c r="M133" s="31">
        <v>18066</v>
      </c>
      <c r="N133" s="31">
        <v>18557</v>
      </c>
      <c r="O133" s="368">
        <v>19417</v>
      </c>
      <c r="P133" s="610">
        <v>14.997</v>
      </c>
    </row>
    <row r="134" spans="2:16" ht="16" thickBot="1">
      <c r="B134" s="30" t="s">
        <v>42</v>
      </c>
      <c r="C134" s="31">
        <v>42971</v>
      </c>
      <c r="D134" s="31">
        <v>44251</v>
      </c>
      <c r="E134" s="31">
        <v>44424</v>
      </c>
      <c r="F134" s="31">
        <v>44630</v>
      </c>
      <c r="G134" s="31">
        <v>43913</v>
      </c>
      <c r="H134" s="31">
        <v>43832</v>
      </c>
      <c r="I134" s="31">
        <v>44360</v>
      </c>
      <c r="J134" s="31">
        <v>45253</v>
      </c>
      <c r="K134" s="31">
        <v>45490</v>
      </c>
      <c r="L134" s="31">
        <v>46255</v>
      </c>
      <c r="M134" s="31">
        <v>46184</v>
      </c>
      <c r="N134" s="31">
        <v>46417</v>
      </c>
      <c r="O134" s="368">
        <v>47291</v>
      </c>
      <c r="P134" s="610">
        <v>51.017000000000003</v>
      </c>
    </row>
    <row r="135" spans="2:16" ht="16" thickBot="1">
      <c r="B135" s="30" t="s">
        <v>55</v>
      </c>
      <c r="C135" s="31">
        <v>0</v>
      </c>
      <c r="D135" s="31">
        <v>0</v>
      </c>
      <c r="E135" s="31">
        <v>0</v>
      </c>
      <c r="F135" s="31">
        <v>0</v>
      </c>
      <c r="G135" s="31">
        <v>10</v>
      </c>
      <c r="H135" s="31">
        <v>0</v>
      </c>
      <c r="I135" s="31">
        <v>14</v>
      </c>
      <c r="J135" s="31">
        <v>21</v>
      </c>
      <c r="K135" s="31">
        <v>103</v>
      </c>
      <c r="L135" s="31">
        <v>0</v>
      </c>
      <c r="M135" s="31">
        <v>0</v>
      </c>
      <c r="N135" s="31">
        <v>0</v>
      </c>
      <c r="O135" s="368">
        <v>0</v>
      </c>
      <c r="P135" s="610" t="s">
        <v>1115</v>
      </c>
    </row>
    <row r="136" spans="2:16" ht="16" thickBot="1">
      <c r="B136" s="30" t="s">
        <v>56</v>
      </c>
      <c r="C136" s="31">
        <v>24830</v>
      </c>
      <c r="D136" s="31">
        <v>28316</v>
      </c>
      <c r="E136" s="31">
        <v>28970</v>
      </c>
      <c r="F136" s="31">
        <v>29540</v>
      </c>
      <c r="G136" s="31">
        <v>29754</v>
      </c>
      <c r="H136" s="31">
        <v>25198</v>
      </c>
      <c r="I136" s="31">
        <v>25894</v>
      </c>
      <c r="J136" s="31">
        <v>26427</v>
      </c>
      <c r="K136" s="31">
        <v>27082</v>
      </c>
      <c r="L136" s="31">
        <v>25903</v>
      </c>
      <c r="M136" s="31">
        <v>26585</v>
      </c>
      <c r="N136" s="31">
        <v>27177</v>
      </c>
      <c r="O136" s="368">
        <v>25846</v>
      </c>
      <c r="P136" s="610">
        <v>25.43</v>
      </c>
    </row>
    <row r="137" spans="2:16" ht="16" thickBot="1">
      <c r="B137" s="30" t="s">
        <v>533</v>
      </c>
      <c r="C137" s="31">
        <v>0</v>
      </c>
      <c r="D137" s="31">
        <v>0</v>
      </c>
      <c r="E137" s="31">
        <v>0</v>
      </c>
      <c r="F137" s="31">
        <v>0</v>
      </c>
      <c r="G137" s="31">
        <v>0</v>
      </c>
      <c r="H137" s="31">
        <v>4100</v>
      </c>
      <c r="I137" s="31">
        <v>0</v>
      </c>
      <c r="J137" s="31">
        <v>0</v>
      </c>
      <c r="K137" s="31">
        <v>0</v>
      </c>
      <c r="L137" s="31">
        <v>4100</v>
      </c>
      <c r="M137" s="31">
        <v>647</v>
      </c>
      <c r="N137" s="31">
        <v>706</v>
      </c>
      <c r="O137" s="368">
        <v>0</v>
      </c>
      <c r="P137" s="610" t="s">
        <v>1115</v>
      </c>
    </row>
    <row r="138" spans="2:16" ht="16" thickBot="1">
      <c r="B138" s="30" t="s">
        <v>43</v>
      </c>
      <c r="C138" s="31">
        <v>0</v>
      </c>
      <c r="D138" s="31">
        <v>0</v>
      </c>
      <c r="E138" s="31">
        <v>0</v>
      </c>
      <c r="F138" s="31">
        <v>0</v>
      </c>
      <c r="G138" s="31">
        <v>0</v>
      </c>
      <c r="H138" s="31">
        <v>0</v>
      </c>
      <c r="I138" s="31">
        <v>0</v>
      </c>
      <c r="J138" s="31">
        <v>0</v>
      </c>
      <c r="K138" s="31">
        <v>0</v>
      </c>
      <c r="L138" s="31">
        <v>0</v>
      </c>
      <c r="M138" s="31">
        <v>0</v>
      </c>
      <c r="N138" s="31">
        <v>0</v>
      </c>
      <c r="O138" s="368">
        <v>0</v>
      </c>
      <c r="P138" s="610" t="s">
        <v>1115</v>
      </c>
    </row>
    <row r="139" spans="2:16" ht="16" thickBot="1">
      <c r="B139" s="30" t="s">
        <v>95</v>
      </c>
      <c r="C139" s="31">
        <v>0</v>
      </c>
      <c r="D139" s="31">
        <v>0</v>
      </c>
      <c r="E139" s="31">
        <v>0</v>
      </c>
      <c r="F139" s="31">
        <v>0</v>
      </c>
      <c r="G139" s="31">
        <v>0</v>
      </c>
      <c r="H139" s="31">
        <v>0</v>
      </c>
      <c r="I139" s="31">
        <v>0</v>
      </c>
      <c r="J139" s="31">
        <v>0</v>
      </c>
      <c r="K139" s="31">
        <v>0</v>
      </c>
      <c r="L139" s="31">
        <v>0</v>
      </c>
      <c r="M139" s="31">
        <v>0</v>
      </c>
      <c r="N139" s="31">
        <v>0</v>
      </c>
      <c r="O139" s="368">
        <v>0</v>
      </c>
      <c r="P139" s="610" t="s">
        <v>1115</v>
      </c>
    </row>
    <row r="140" spans="2:16" ht="16" thickBot="1">
      <c r="B140" s="30" t="s">
        <v>52</v>
      </c>
      <c r="C140" s="31">
        <v>0</v>
      </c>
      <c r="D140" s="31">
        <v>0</v>
      </c>
      <c r="E140" s="31">
        <v>0</v>
      </c>
      <c r="F140" s="31">
        <v>0</v>
      </c>
      <c r="G140" s="31">
        <v>0</v>
      </c>
      <c r="H140" s="31">
        <v>0</v>
      </c>
      <c r="I140" s="31">
        <v>0</v>
      </c>
      <c r="J140" s="31">
        <v>0</v>
      </c>
      <c r="K140" s="31">
        <v>0</v>
      </c>
      <c r="L140" s="31">
        <v>0</v>
      </c>
      <c r="M140" s="31">
        <v>0</v>
      </c>
      <c r="N140" s="31">
        <v>0</v>
      </c>
      <c r="O140" s="368">
        <v>0</v>
      </c>
      <c r="P140" s="610" t="s">
        <v>1115</v>
      </c>
    </row>
    <row r="141" spans="2:16" ht="16" thickBot="1">
      <c r="B141" s="30" t="s">
        <v>53</v>
      </c>
      <c r="C141" s="31">
        <v>0</v>
      </c>
      <c r="D141" s="31">
        <v>0</v>
      </c>
      <c r="E141" s="31">
        <v>0</v>
      </c>
      <c r="F141" s="31">
        <v>0</v>
      </c>
      <c r="G141" s="31">
        <v>0</v>
      </c>
      <c r="H141" s="31">
        <v>0</v>
      </c>
      <c r="I141" s="31">
        <v>0</v>
      </c>
      <c r="J141" s="31">
        <v>0</v>
      </c>
      <c r="K141" s="31">
        <v>0</v>
      </c>
      <c r="L141" s="31">
        <v>0</v>
      </c>
      <c r="M141" s="31">
        <v>0</v>
      </c>
      <c r="N141" s="31">
        <v>0</v>
      </c>
      <c r="O141" s="368">
        <v>0</v>
      </c>
      <c r="P141" s="610" t="s">
        <v>1115</v>
      </c>
    </row>
    <row r="142" spans="2:16" ht="16" thickBot="1">
      <c r="B142" s="30" t="s">
        <v>57</v>
      </c>
      <c r="C142" s="31">
        <v>0</v>
      </c>
      <c r="D142" s="31">
        <v>0</v>
      </c>
      <c r="E142" s="31">
        <v>0</v>
      </c>
      <c r="F142" s="31">
        <v>0</v>
      </c>
      <c r="G142" s="31">
        <v>0</v>
      </c>
      <c r="H142" s="31">
        <v>0</v>
      </c>
      <c r="I142" s="31">
        <v>0</v>
      </c>
      <c r="J142" s="31">
        <v>0</v>
      </c>
      <c r="K142" s="31">
        <v>0</v>
      </c>
      <c r="L142" s="31">
        <v>0</v>
      </c>
      <c r="M142" s="31">
        <v>0</v>
      </c>
      <c r="N142" s="31">
        <v>0</v>
      </c>
      <c r="O142" s="368">
        <v>643</v>
      </c>
      <c r="P142" s="610">
        <v>4.68</v>
      </c>
    </row>
    <row r="143" spans="2:16" ht="16" thickBot="1">
      <c r="B143" s="30" t="s">
        <v>48</v>
      </c>
      <c r="C143" s="31">
        <v>0</v>
      </c>
      <c r="D143" s="31">
        <v>0</v>
      </c>
      <c r="E143" s="31">
        <v>0</v>
      </c>
      <c r="F143" s="31">
        <v>0</v>
      </c>
      <c r="G143" s="31">
        <v>0</v>
      </c>
      <c r="H143" s="31">
        <v>0</v>
      </c>
      <c r="I143" s="31">
        <v>0</v>
      </c>
      <c r="J143" s="31">
        <v>0</v>
      </c>
      <c r="K143" s="31">
        <v>0</v>
      </c>
      <c r="L143" s="31">
        <v>0</v>
      </c>
      <c r="M143" s="31">
        <v>0</v>
      </c>
      <c r="N143" s="31">
        <v>0</v>
      </c>
      <c r="O143" s="368">
        <v>0</v>
      </c>
      <c r="P143" s="610" t="s">
        <v>1116</v>
      </c>
    </row>
    <row r="144" spans="2:16" ht="16" thickBot="1">
      <c r="B144" s="30" t="s">
        <v>44</v>
      </c>
      <c r="C144" s="31">
        <v>0</v>
      </c>
      <c r="D144" s="31">
        <v>0</v>
      </c>
      <c r="E144" s="31">
        <v>0</v>
      </c>
      <c r="F144" s="31">
        <v>0</v>
      </c>
      <c r="G144" s="31">
        <v>0</v>
      </c>
      <c r="H144" s="31">
        <v>0</v>
      </c>
      <c r="I144" s="31">
        <v>0</v>
      </c>
      <c r="J144" s="31">
        <v>0</v>
      </c>
      <c r="K144" s="31">
        <v>0</v>
      </c>
      <c r="L144" s="31">
        <v>0</v>
      </c>
      <c r="M144" s="31">
        <v>0</v>
      </c>
      <c r="N144" s="31">
        <v>0</v>
      </c>
      <c r="O144" s="368">
        <v>0</v>
      </c>
      <c r="P144" s="610" t="s">
        <v>1116</v>
      </c>
    </row>
    <row r="145" spans="2:16" ht="16" thickBot="1">
      <c r="B145" s="28" t="s">
        <v>59</v>
      </c>
      <c r="C145" s="34">
        <v>80504</v>
      </c>
      <c r="D145" s="34">
        <v>80712</v>
      </c>
      <c r="E145" s="34">
        <v>82228</v>
      </c>
      <c r="F145" s="34">
        <v>87171</v>
      </c>
      <c r="G145" s="34">
        <v>86604</v>
      </c>
      <c r="H145" s="34">
        <v>85268</v>
      </c>
      <c r="I145" s="34">
        <v>87582</v>
      </c>
      <c r="J145" s="34">
        <v>89477</v>
      </c>
      <c r="K145" s="34">
        <v>90801</v>
      </c>
      <c r="L145" s="34">
        <v>89969</v>
      </c>
      <c r="M145" s="34">
        <v>91482</v>
      </c>
      <c r="N145" s="34">
        <v>92857</v>
      </c>
      <c r="O145" s="370">
        <v>93197</v>
      </c>
      <c r="P145" s="612">
        <v>96.123999999999995</v>
      </c>
    </row>
    <row r="146" spans="2:16" ht="16" thickBot="1">
      <c r="B146" s="35" t="s">
        <v>60</v>
      </c>
      <c r="C146" s="36">
        <v>235618</v>
      </c>
      <c r="D146" s="36">
        <v>228196</v>
      </c>
      <c r="E146" s="36">
        <v>231336</v>
      </c>
      <c r="F146" s="36">
        <v>270503</v>
      </c>
      <c r="G146" s="36">
        <v>255605</v>
      </c>
      <c r="H146" s="36">
        <v>231602</v>
      </c>
      <c r="I146" s="36">
        <v>255544</v>
      </c>
      <c r="J146" s="36">
        <v>257133</v>
      </c>
      <c r="K146" s="36">
        <v>270869</v>
      </c>
      <c r="L146" s="36">
        <v>252748</v>
      </c>
      <c r="M146" s="36">
        <v>280854</v>
      </c>
      <c r="N146" s="36">
        <v>280684</v>
      </c>
      <c r="O146" s="371">
        <v>272484</v>
      </c>
      <c r="P146" s="613">
        <v>272.25</v>
      </c>
    </row>
    <row r="147" spans="2:16" ht="16" thickBot="1">
      <c r="B147" s="37"/>
      <c r="C147" s="38"/>
      <c r="D147" s="38"/>
      <c r="E147" s="38"/>
      <c r="F147" s="38"/>
      <c r="G147" s="38"/>
      <c r="H147" s="38"/>
      <c r="I147" s="38"/>
      <c r="J147" s="38"/>
      <c r="K147" s="38"/>
      <c r="L147" s="38"/>
      <c r="M147" s="38"/>
      <c r="N147" s="38"/>
      <c r="O147" s="372"/>
      <c r="P147" s="614" t="s">
        <v>1116</v>
      </c>
    </row>
    <row r="148" spans="2:16" ht="16" thickBot="1">
      <c r="B148" s="26" t="s">
        <v>61</v>
      </c>
      <c r="C148" s="39"/>
      <c r="D148" s="39"/>
      <c r="E148" s="39"/>
      <c r="F148" s="39"/>
      <c r="G148" s="39"/>
      <c r="H148" s="39"/>
      <c r="I148" s="39"/>
      <c r="J148" s="39"/>
      <c r="K148" s="39"/>
      <c r="L148" s="39"/>
      <c r="M148" s="39"/>
      <c r="N148" s="39"/>
      <c r="O148" s="373"/>
      <c r="P148" s="615" t="s">
        <v>1116</v>
      </c>
    </row>
    <row r="149" spans="2:16" ht="16" thickBot="1">
      <c r="B149" s="28" t="s">
        <v>62</v>
      </c>
      <c r="C149" s="40"/>
      <c r="D149" s="40"/>
      <c r="E149" s="40"/>
      <c r="F149" s="40"/>
      <c r="G149" s="40"/>
      <c r="H149" s="40"/>
      <c r="I149" s="40"/>
      <c r="J149" s="40"/>
      <c r="K149" s="40"/>
      <c r="L149" s="40"/>
      <c r="M149" s="40"/>
      <c r="N149" s="40"/>
      <c r="O149" s="374"/>
      <c r="P149" s="616" t="s">
        <v>1116</v>
      </c>
    </row>
    <row r="150" spans="2:16" ht="16" thickBot="1">
      <c r="B150" s="30" t="s">
        <v>64</v>
      </c>
      <c r="C150" s="31">
        <v>31679</v>
      </c>
      <c r="D150" s="31">
        <v>20442</v>
      </c>
      <c r="E150" s="31">
        <v>23518</v>
      </c>
      <c r="F150" s="31">
        <v>25769</v>
      </c>
      <c r="G150" s="31">
        <v>21703</v>
      </c>
      <c r="H150" s="31">
        <v>21030</v>
      </c>
      <c r="I150" s="31">
        <v>46399</v>
      </c>
      <c r="J150" s="31">
        <v>26194</v>
      </c>
      <c r="K150" s="31">
        <v>27597</v>
      </c>
      <c r="L150" s="31">
        <v>22333</v>
      </c>
      <c r="M150" s="31">
        <v>53624</v>
      </c>
      <c r="N150" s="31">
        <v>20513</v>
      </c>
      <c r="O150" s="368">
        <v>29850</v>
      </c>
      <c r="P150" s="609">
        <v>28.093</v>
      </c>
    </row>
    <row r="151" spans="2:16" ht="16" thickBot="1">
      <c r="B151" s="30" t="s">
        <v>534</v>
      </c>
      <c r="C151" s="31">
        <v>38636</v>
      </c>
      <c r="D151" s="31">
        <v>23373</v>
      </c>
      <c r="E151" s="31">
        <v>39363</v>
      </c>
      <c r="F151" s="31">
        <v>51104</v>
      </c>
      <c r="G151" s="31">
        <v>19640</v>
      </c>
      <c r="H151" s="31">
        <v>10505</v>
      </c>
      <c r="I151" s="31">
        <v>29145</v>
      </c>
      <c r="J151" s="31">
        <v>29846</v>
      </c>
      <c r="K151" s="31">
        <v>21967</v>
      </c>
      <c r="L151" s="31">
        <v>14796</v>
      </c>
      <c r="M151" s="31">
        <v>34619</v>
      </c>
      <c r="N151" s="31">
        <v>45533</v>
      </c>
      <c r="O151" s="368">
        <v>6922</v>
      </c>
      <c r="P151" s="610">
        <v>13.177</v>
      </c>
    </row>
    <row r="152" spans="2:16" ht="16" thickBot="1">
      <c r="B152" s="30" t="s">
        <v>66</v>
      </c>
      <c r="C152" s="31">
        <v>13087</v>
      </c>
      <c r="D152" s="31">
        <v>15442</v>
      </c>
      <c r="E152" s="31">
        <v>13390</v>
      </c>
      <c r="F152" s="31">
        <v>14427</v>
      </c>
      <c r="G152" s="31">
        <v>17419</v>
      </c>
      <c r="H152" s="31">
        <v>13487</v>
      </c>
      <c r="I152" s="31">
        <v>12475</v>
      </c>
      <c r="J152" s="31">
        <v>11418</v>
      </c>
      <c r="K152" s="31">
        <v>17796</v>
      </c>
      <c r="L152" s="31">
        <v>14319</v>
      </c>
      <c r="M152" s="31">
        <v>13724</v>
      </c>
      <c r="N152" s="31">
        <v>13403</v>
      </c>
      <c r="O152" s="368">
        <v>20451</v>
      </c>
      <c r="P152" s="610">
        <v>16.452000000000002</v>
      </c>
    </row>
    <row r="153" spans="2:16" ht="16" thickBot="1">
      <c r="B153" s="30" t="s">
        <v>41</v>
      </c>
      <c r="C153" s="31">
        <v>3984</v>
      </c>
      <c r="D153" s="31">
        <v>9715</v>
      </c>
      <c r="E153" s="31">
        <v>10498</v>
      </c>
      <c r="F153" s="31">
        <v>18237</v>
      </c>
      <c r="G153" s="31">
        <v>28810</v>
      </c>
      <c r="H153" s="31">
        <v>17153</v>
      </c>
      <c r="I153" s="31">
        <v>14144</v>
      </c>
      <c r="J153" s="31">
        <v>20369</v>
      </c>
      <c r="K153" s="31">
        <v>26364</v>
      </c>
      <c r="L153" s="31">
        <v>15482</v>
      </c>
      <c r="M153" s="31">
        <v>13211</v>
      </c>
      <c r="N153" s="31">
        <v>22241</v>
      </c>
      <c r="O153" s="368">
        <v>27678</v>
      </c>
      <c r="P153" s="610">
        <v>23.501000000000001</v>
      </c>
    </row>
    <row r="154" spans="2:16" ht="16" thickBot="1">
      <c r="B154" s="30" t="s">
        <v>67</v>
      </c>
      <c r="C154" s="31">
        <v>135</v>
      </c>
      <c r="D154" s="31">
        <v>0</v>
      </c>
      <c r="E154" s="31">
        <v>0</v>
      </c>
      <c r="F154" s="31">
        <v>0</v>
      </c>
      <c r="G154" s="31">
        <v>0</v>
      </c>
      <c r="H154" s="31">
        <v>0</v>
      </c>
      <c r="I154" s="31">
        <v>26</v>
      </c>
      <c r="J154" s="31">
        <v>26</v>
      </c>
      <c r="K154" s="31">
        <v>0</v>
      </c>
      <c r="L154" s="31">
        <v>0</v>
      </c>
      <c r="M154" s="31">
        <v>0</v>
      </c>
      <c r="N154" s="31">
        <v>0</v>
      </c>
      <c r="O154" s="368">
        <v>0</v>
      </c>
      <c r="P154" s="610" t="s">
        <v>1115</v>
      </c>
    </row>
    <row r="155" spans="2:16" ht="16" thickBot="1">
      <c r="B155" s="30" t="s">
        <v>68</v>
      </c>
      <c r="C155" s="31">
        <v>2208</v>
      </c>
      <c r="D155" s="31">
        <v>2503</v>
      </c>
      <c r="E155" s="31">
        <v>367</v>
      </c>
      <c r="F155" s="31">
        <v>6732</v>
      </c>
      <c r="G155" s="31">
        <v>4814</v>
      </c>
      <c r="H155" s="31">
        <v>2558</v>
      </c>
      <c r="I155" s="31">
        <v>225</v>
      </c>
      <c r="J155" s="31">
        <v>7139</v>
      </c>
      <c r="K155" s="31">
        <v>4705</v>
      </c>
      <c r="L155" s="31">
        <v>2616</v>
      </c>
      <c r="M155" s="31">
        <v>647</v>
      </c>
      <c r="N155" s="31">
        <v>7051</v>
      </c>
      <c r="O155" s="368">
        <v>4752</v>
      </c>
      <c r="P155" s="610">
        <v>2.431</v>
      </c>
    </row>
    <row r="156" spans="2:16" ht="16" thickBot="1">
      <c r="B156" s="30" t="s">
        <v>63</v>
      </c>
      <c r="C156" s="31">
        <v>0</v>
      </c>
      <c r="D156" s="31">
        <v>0</v>
      </c>
      <c r="E156" s="31">
        <v>0</v>
      </c>
      <c r="F156" s="31">
        <v>0</v>
      </c>
      <c r="G156" s="31">
        <v>0</v>
      </c>
      <c r="H156" s="31">
        <v>0</v>
      </c>
      <c r="I156" s="31">
        <v>0</v>
      </c>
      <c r="J156" s="31">
        <v>0</v>
      </c>
      <c r="K156" s="31">
        <v>0</v>
      </c>
      <c r="L156" s="31">
        <v>0</v>
      </c>
      <c r="M156" s="31">
        <v>0</v>
      </c>
      <c r="N156" s="31">
        <v>0</v>
      </c>
      <c r="O156" s="368">
        <v>0</v>
      </c>
      <c r="P156" s="610" t="s">
        <v>1115</v>
      </c>
    </row>
    <row r="157" spans="2:16" ht="16" thickBot="1">
      <c r="B157" s="30" t="s">
        <v>96</v>
      </c>
      <c r="C157" s="31">
        <v>0</v>
      </c>
      <c r="D157" s="31">
        <v>0</v>
      </c>
      <c r="E157" s="31">
        <v>0</v>
      </c>
      <c r="F157" s="31">
        <v>0</v>
      </c>
      <c r="G157" s="31">
        <v>0</v>
      </c>
      <c r="H157" s="31">
        <v>0</v>
      </c>
      <c r="I157" s="31">
        <v>0</v>
      </c>
      <c r="J157" s="31">
        <v>0</v>
      </c>
      <c r="K157" s="31">
        <v>0</v>
      </c>
      <c r="L157" s="31">
        <v>0</v>
      </c>
      <c r="M157" s="31">
        <v>0</v>
      </c>
      <c r="N157" s="31">
        <v>0</v>
      </c>
      <c r="O157" s="368">
        <v>0</v>
      </c>
      <c r="P157" s="610" t="s">
        <v>1115</v>
      </c>
    </row>
    <row r="158" spans="2:16" ht="16" thickBot="1">
      <c r="B158" s="28" t="s">
        <v>70</v>
      </c>
      <c r="C158" s="34">
        <v>89729</v>
      </c>
      <c r="D158" s="34">
        <v>71475</v>
      </c>
      <c r="E158" s="34">
        <v>87136</v>
      </c>
      <c r="F158" s="34">
        <v>116269</v>
      </c>
      <c r="G158" s="34">
        <v>92386</v>
      </c>
      <c r="H158" s="34">
        <v>64733</v>
      </c>
      <c r="I158" s="34">
        <v>102414</v>
      </c>
      <c r="J158" s="34">
        <v>94992</v>
      </c>
      <c r="K158" s="34">
        <v>98429</v>
      </c>
      <c r="L158" s="34">
        <v>69546</v>
      </c>
      <c r="M158" s="34">
        <v>115825</v>
      </c>
      <c r="N158" s="34">
        <v>108741</v>
      </c>
      <c r="O158" s="370">
        <v>89653</v>
      </c>
      <c r="P158" s="612">
        <v>83.653999999999996</v>
      </c>
    </row>
    <row r="159" spans="2:16" ht="16" thickBot="1">
      <c r="B159" s="41" t="s">
        <v>71</v>
      </c>
      <c r="C159" s="42"/>
      <c r="D159" s="42"/>
      <c r="E159" s="42"/>
      <c r="F159" s="42"/>
      <c r="G159" s="42"/>
      <c r="H159" s="42"/>
      <c r="I159" s="42"/>
      <c r="J159" s="42"/>
      <c r="K159" s="42"/>
      <c r="L159" s="42"/>
      <c r="M159" s="42"/>
      <c r="N159" s="42"/>
      <c r="O159" s="375"/>
      <c r="P159" s="617" t="s">
        <v>1116</v>
      </c>
    </row>
    <row r="160" spans="2:16" ht="16" thickBot="1">
      <c r="B160" s="30" t="s">
        <v>64</v>
      </c>
      <c r="C160" s="31">
        <v>0</v>
      </c>
      <c r="D160" s="31">
        <v>0</v>
      </c>
      <c r="E160" s="31">
        <v>1</v>
      </c>
      <c r="F160" s="31">
        <v>0</v>
      </c>
      <c r="G160" s="31">
        <v>0</v>
      </c>
      <c r="H160" s="31">
        <v>0</v>
      </c>
      <c r="I160" s="31">
        <v>0</v>
      </c>
      <c r="J160" s="31">
        <v>0</v>
      </c>
      <c r="K160" s="31">
        <v>0</v>
      </c>
      <c r="L160" s="31">
        <v>0</v>
      </c>
      <c r="M160" s="31">
        <v>646</v>
      </c>
      <c r="N160" s="31">
        <v>390</v>
      </c>
      <c r="O160" s="368">
        <v>327</v>
      </c>
      <c r="P160" s="609" t="s">
        <v>1115</v>
      </c>
    </row>
    <row r="161" spans="2:16" ht="16" thickBot="1">
      <c r="B161" s="30" t="s">
        <v>102</v>
      </c>
      <c r="C161" s="31">
        <v>5551</v>
      </c>
      <c r="D161" s="31">
        <v>6942</v>
      </c>
      <c r="E161" s="31">
        <v>6960</v>
      </c>
      <c r="F161" s="31">
        <v>7140</v>
      </c>
      <c r="G161" s="31">
        <v>7364</v>
      </c>
      <c r="H161" s="31">
        <v>7364</v>
      </c>
      <c r="I161" s="31">
        <v>7775</v>
      </c>
      <c r="J161" s="31">
        <v>7775</v>
      </c>
      <c r="K161" s="31">
        <v>7775</v>
      </c>
      <c r="L161" s="31">
        <v>7906</v>
      </c>
      <c r="M161" s="31">
        <v>7906</v>
      </c>
      <c r="N161" s="31">
        <v>8213</v>
      </c>
      <c r="O161" s="368">
        <v>8538</v>
      </c>
      <c r="P161" s="610">
        <v>8.5559999999999992</v>
      </c>
    </row>
    <row r="162" spans="2:16" ht="16" thickBot="1">
      <c r="B162" s="30" t="s">
        <v>66</v>
      </c>
      <c r="C162" s="31">
        <v>63512</v>
      </c>
      <c r="D162" s="31">
        <v>70741</v>
      </c>
      <c r="E162" s="31">
        <v>73476</v>
      </c>
      <c r="F162" s="31">
        <v>74769</v>
      </c>
      <c r="G162" s="31">
        <v>76780</v>
      </c>
      <c r="H162" s="31">
        <v>75296</v>
      </c>
      <c r="I162" s="31">
        <v>77406</v>
      </c>
      <c r="J162" s="31">
        <v>79515</v>
      </c>
      <c r="K162" s="31">
        <v>81623</v>
      </c>
      <c r="L162" s="31">
        <v>82959</v>
      </c>
      <c r="M162" s="31">
        <v>85214</v>
      </c>
      <c r="N162" s="31">
        <v>87469</v>
      </c>
      <c r="O162" s="368">
        <v>89721</v>
      </c>
      <c r="P162" s="610">
        <v>92.54</v>
      </c>
    </row>
    <row r="163" spans="2:16" ht="16" thickBot="1">
      <c r="B163" s="30" t="s">
        <v>63</v>
      </c>
      <c r="C163" s="31">
        <v>0</v>
      </c>
      <c r="D163" s="31">
        <v>0</v>
      </c>
      <c r="E163" s="31">
        <v>0</v>
      </c>
      <c r="F163" s="31">
        <v>0</v>
      </c>
      <c r="G163" s="31">
        <v>0</v>
      </c>
      <c r="H163" s="31">
        <v>0</v>
      </c>
      <c r="I163" s="31">
        <v>0</v>
      </c>
      <c r="J163" s="31">
        <v>0</v>
      </c>
      <c r="K163" s="31">
        <v>0</v>
      </c>
      <c r="L163" s="31">
        <v>0</v>
      </c>
      <c r="M163" s="31">
        <v>0</v>
      </c>
      <c r="N163" s="31">
        <v>0</v>
      </c>
      <c r="O163" s="368">
        <v>0</v>
      </c>
      <c r="P163" s="610" t="s">
        <v>1115</v>
      </c>
    </row>
    <row r="164" spans="2:16" ht="16" thickBot="1">
      <c r="B164" s="30" t="s">
        <v>72</v>
      </c>
      <c r="C164" s="31">
        <v>0</v>
      </c>
      <c r="D164" s="31">
        <v>0</v>
      </c>
      <c r="E164" s="31">
        <v>0</v>
      </c>
      <c r="F164" s="31">
        <v>0</v>
      </c>
      <c r="G164" s="31">
        <v>0</v>
      </c>
      <c r="H164" s="31">
        <v>0</v>
      </c>
      <c r="I164" s="31">
        <v>0</v>
      </c>
      <c r="J164" s="31">
        <v>0</v>
      </c>
      <c r="K164" s="31">
        <v>0</v>
      </c>
      <c r="L164" s="31">
        <v>0</v>
      </c>
      <c r="M164" s="31">
        <v>0</v>
      </c>
      <c r="N164" s="31">
        <v>0</v>
      </c>
      <c r="O164" s="368">
        <v>0</v>
      </c>
      <c r="P164" s="610" t="s">
        <v>1115</v>
      </c>
    </row>
    <row r="165" spans="2:16" ht="16" thickBot="1">
      <c r="B165" s="30" t="s">
        <v>67</v>
      </c>
      <c r="C165" s="31">
        <v>0</v>
      </c>
      <c r="D165" s="31">
        <v>0</v>
      </c>
      <c r="E165" s="31">
        <v>0</v>
      </c>
      <c r="F165" s="31">
        <v>0</v>
      </c>
      <c r="G165" s="31">
        <v>0</v>
      </c>
      <c r="H165" s="31">
        <v>0</v>
      </c>
      <c r="I165" s="31">
        <v>0</v>
      </c>
      <c r="J165" s="31">
        <v>0</v>
      </c>
      <c r="K165" s="31">
        <v>0</v>
      </c>
      <c r="L165" s="31">
        <v>0</v>
      </c>
      <c r="M165" s="31">
        <v>0</v>
      </c>
      <c r="N165" s="31">
        <v>0</v>
      </c>
      <c r="O165" s="368">
        <v>0</v>
      </c>
      <c r="P165" s="610" t="s">
        <v>1115</v>
      </c>
    </row>
    <row r="166" spans="2:16" ht="16" thickBot="1">
      <c r="B166" s="30" t="s">
        <v>68</v>
      </c>
      <c r="C166" s="31">
        <v>0</v>
      </c>
      <c r="D166" s="31">
        <v>0</v>
      </c>
      <c r="E166" s="31">
        <v>0</v>
      </c>
      <c r="F166" s="31">
        <v>0</v>
      </c>
      <c r="G166" s="31">
        <v>0</v>
      </c>
      <c r="H166" s="31">
        <v>0</v>
      </c>
      <c r="I166" s="31">
        <v>0</v>
      </c>
      <c r="J166" s="31">
        <v>0</v>
      </c>
      <c r="K166" s="31">
        <v>0</v>
      </c>
      <c r="L166" s="31">
        <v>0</v>
      </c>
      <c r="M166" s="31">
        <v>0</v>
      </c>
      <c r="N166" s="31">
        <v>0</v>
      </c>
      <c r="O166" s="368">
        <v>0</v>
      </c>
      <c r="P166" s="610" t="s">
        <v>1115</v>
      </c>
    </row>
    <row r="167" spans="2:16" ht="16" thickBot="1">
      <c r="B167" s="30" t="s">
        <v>97</v>
      </c>
      <c r="C167" s="31">
        <v>0</v>
      </c>
      <c r="D167" s="31">
        <v>0</v>
      </c>
      <c r="E167" s="31">
        <v>0</v>
      </c>
      <c r="F167" s="31">
        <v>0</v>
      </c>
      <c r="G167" s="31">
        <v>0</v>
      </c>
      <c r="H167" s="31">
        <v>0</v>
      </c>
      <c r="I167" s="31">
        <v>0</v>
      </c>
      <c r="J167" s="31">
        <v>0</v>
      </c>
      <c r="K167" s="31">
        <v>0</v>
      </c>
      <c r="L167" s="31">
        <v>0</v>
      </c>
      <c r="M167" s="31">
        <v>0</v>
      </c>
      <c r="N167" s="31">
        <v>0</v>
      </c>
      <c r="O167" s="368">
        <v>0</v>
      </c>
      <c r="P167" s="610" t="s">
        <v>1115</v>
      </c>
    </row>
    <row r="168" spans="2:16" ht="16" thickBot="1">
      <c r="B168" s="28" t="s">
        <v>73</v>
      </c>
      <c r="C168" s="34">
        <v>69063</v>
      </c>
      <c r="D168" s="34">
        <v>77683</v>
      </c>
      <c r="E168" s="34">
        <v>80437</v>
      </c>
      <c r="F168" s="34">
        <v>81909</v>
      </c>
      <c r="G168" s="34">
        <v>84144</v>
      </c>
      <c r="H168" s="34">
        <v>82660</v>
      </c>
      <c r="I168" s="34">
        <v>85181</v>
      </c>
      <c r="J168" s="34">
        <v>87290</v>
      </c>
      <c r="K168" s="34">
        <v>89398</v>
      </c>
      <c r="L168" s="34">
        <v>90865</v>
      </c>
      <c r="M168" s="34">
        <v>93766</v>
      </c>
      <c r="N168" s="34">
        <v>96072</v>
      </c>
      <c r="O168" s="370">
        <v>98586</v>
      </c>
      <c r="P168" s="612">
        <v>101.096</v>
      </c>
    </row>
    <row r="169" spans="2:16" ht="16" thickBot="1">
      <c r="B169" s="35" t="s">
        <v>74</v>
      </c>
      <c r="C169" s="36">
        <v>158792</v>
      </c>
      <c r="D169" s="36">
        <v>149158</v>
      </c>
      <c r="E169" s="36">
        <v>167573</v>
      </c>
      <c r="F169" s="36">
        <v>198178</v>
      </c>
      <c r="G169" s="36">
        <v>176530</v>
      </c>
      <c r="H169" s="36">
        <v>147393</v>
      </c>
      <c r="I169" s="36">
        <v>187595</v>
      </c>
      <c r="J169" s="36">
        <v>182282</v>
      </c>
      <c r="K169" s="36">
        <v>187827</v>
      </c>
      <c r="L169" s="36">
        <v>160411</v>
      </c>
      <c r="M169" s="36">
        <v>209591</v>
      </c>
      <c r="N169" s="36">
        <v>204813</v>
      </c>
      <c r="O169" s="371">
        <v>188239</v>
      </c>
      <c r="P169" s="613">
        <v>184.75</v>
      </c>
    </row>
    <row r="170" spans="2:16" ht="16" thickBot="1">
      <c r="B170" s="37"/>
      <c r="C170" s="38"/>
      <c r="D170" s="38"/>
      <c r="E170" s="38"/>
      <c r="F170" s="38"/>
      <c r="G170" s="38"/>
      <c r="H170" s="38"/>
      <c r="I170" s="38"/>
      <c r="J170" s="38"/>
      <c r="K170" s="38"/>
      <c r="L170" s="38"/>
      <c r="M170" s="38"/>
      <c r="N170" s="38"/>
      <c r="O170" s="372"/>
      <c r="P170" s="614" t="s">
        <v>1116</v>
      </c>
    </row>
    <row r="171" spans="2:16" ht="16" thickBot="1">
      <c r="B171" s="43" t="s">
        <v>75</v>
      </c>
      <c r="C171" s="42"/>
      <c r="D171" s="42"/>
      <c r="E171" s="42"/>
      <c r="F171" s="42"/>
      <c r="G171" s="42"/>
      <c r="H171" s="42"/>
      <c r="I171" s="42"/>
      <c r="J171" s="42"/>
      <c r="K171" s="42"/>
      <c r="L171" s="42"/>
      <c r="M171" s="42"/>
      <c r="N171" s="42"/>
      <c r="O171" s="375"/>
      <c r="P171" s="617" t="s">
        <v>1116</v>
      </c>
    </row>
    <row r="172" spans="2:16" ht="16" thickBot="1">
      <c r="B172" s="30" t="s">
        <v>76</v>
      </c>
      <c r="C172" s="31">
        <v>73050</v>
      </c>
      <c r="D172" s="31">
        <v>73050</v>
      </c>
      <c r="E172" s="31">
        <v>73050</v>
      </c>
      <c r="F172" s="31">
        <v>73050</v>
      </c>
      <c r="G172" s="31">
        <v>73050</v>
      </c>
      <c r="H172" s="31">
        <v>73050</v>
      </c>
      <c r="I172" s="31">
        <v>73050</v>
      </c>
      <c r="J172" s="31">
        <v>73050</v>
      </c>
      <c r="K172" s="31">
        <v>73050</v>
      </c>
      <c r="L172" s="31">
        <v>73050</v>
      </c>
      <c r="M172" s="31">
        <v>73050</v>
      </c>
      <c r="N172" s="31">
        <v>73050</v>
      </c>
      <c r="O172" s="368">
        <v>73050</v>
      </c>
      <c r="P172" s="609">
        <v>73.05</v>
      </c>
    </row>
    <row r="173" spans="2:16" ht="16" thickBot="1">
      <c r="B173" s="30" t="s">
        <v>77</v>
      </c>
      <c r="C173" s="31">
        <v>0</v>
      </c>
      <c r="D173" s="31">
        <v>0</v>
      </c>
      <c r="E173" s="31">
        <v>0</v>
      </c>
      <c r="F173" s="31">
        <v>0</v>
      </c>
      <c r="G173" s="31">
        <v>0</v>
      </c>
      <c r="H173" s="31">
        <v>0</v>
      </c>
      <c r="I173" s="31">
        <v>0</v>
      </c>
      <c r="J173" s="31">
        <v>0</v>
      </c>
      <c r="K173" s="31">
        <v>0</v>
      </c>
      <c r="L173" s="31">
        <v>0</v>
      </c>
      <c r="M173" s="31">
        <v>0</v>
      </c>
      <c r="N173" s="31">
        <v>0</v>
      </c>
      <c r="O173" s="368">
        <v>0</v>
      </c>
      <c r="P173" s="610" t="s">
        <v>1115</v>
      </c>
    </row>
    <row r="174" spans="2:16" ht="16" thickBot="1">
      <c r="B174" s="30" t="s">
        <v>78</v>
      </c>
      <c r="C174" s="31">
        <v>4962</v>
      </c>
      <c r="D174" s="31">
        <v>7325</v>
      </c>
      <c r="E174" s="31">
        <v>9767</v>
      </c>
      <c r="F174" s="31">
        <v>9767</v>
      </c>
      <c r="G174" s="31">
        <v>9767</v>
      </c>
      <c r="H174" s="31">
        <v>9767</v>
      </c>
      <c r="I174" s="31">
        <v>12414</v>
      </c>
      <c r="J174" s="31">
        <v>12414</v>
      </c>
      <c r="K174" s="31">
        <v>12414</v>
      </c>
      <c r="L174" s="31">
        <v>12414</v>
      </c>
      <c r="M174" s="31">
        <v>15709</v>
      </c>
      <c r="N174" s="31">
        <v>15709</v>
      </c>
      <c r="O174" s="368">
        <v>15709</v>
      </c>
      <c r="P174" s="610">
        <v>15.709</v>
      </c>
    </row>
    <row r="175" spans="2:16" ht="16" thickBot="1">
      <c r="B175" s="30" t="s">
        <v>79</v>
      </c>
      <c r="C175" s="31">
        <v>-21651</v>
      </c>
      <c r="D175" s="31">
        <v>-21651</v>
      </c>
      <c r="E175" s="31">
        <v>-21650</v>
      </c>
      <c r="F175" s="31">
        <v>-21650</v>
      </c>
      <c r="G175" s="31">
        <v>-21650</v>
      </c>
      <c r="H175" s="31">
        <v>-22095</v>
      </c>
      <c r="I175" s="31">
        <v>-22095</v>
      </c>
      <c r="J175" s="31">
        <v>-22095</v>
      </c>
      <c r="K175" s="31">
        <v>-22095</v>
      </c>
      <c r="L175" s="31">
        <v>-22095</v>
      </c>
      <c r="M175" s="31">
        <v>-22095</v>
      </c>
      <c r="N175" s="31">
        <v>-22095</v>
      </c>
      <c r="O175" s="368">
        <v>-22095</v>
      </c>
      <c r="P175" s="610">
        <v>-22.094999999999999</v>
      </c>
    </row>
    <row r="176" spans="2:16" ht="16" thickBot="1">
      <c r="B176" s="30" t="s">
        <v>80</v>
      </c>
      <c r="C176" s="31">
        <v>23629</v>
      </c>
      <c r="D176" s="31">
        <v>24422</v>
      </c>
      <c r="E176" s="31">
        <v>6704</v>
      </c>
      <c r="F176" s="31">
        <v>15266</v>
      </c>
      <c r="G176" s="31">
        <v>22018</v>
      </c>
      <c r="H176" s="31">
        <v>26478</v>
      </c>
      <c r="I176" s="31">
        <v>7572</v>
      </c>
      <c r="J176" s="31">
        <v>14473</v>
      </c>
      <c r="K176" s="31">
        <v>22662</v>
      </c>
      <c r="L176" s="31">
        <v>32943</v>
      </c>
      <c r="M176" s="31">
        <v>8574</v>
      </c>
      <c r="N176" s="31">
        <v>13182</v>
      </c>
      <c r="O176" s="368">
        <v>21555</v>
      </c>
      <c r="P176" s="610">
        <v>29.423999999999999</v>
      </c>
    </row>
    <row r="177" spans="1:16" ht="16" thickBot="1">
      <c r="B177" s="30" t="s">
        <v>81</v>
      </c>
      <c r="C177" s="31">
        <v>-3164</v>
      </c>
      <c r="D177" s="31">
        <v>-4108</v>
      </c>
      <c r="E177" s="31">
        <v>-4108</v>
      </c>
      <c r="F177" s="31">
        <v>-4108</v>
      </c>
      <c r="G177" s="31">
        <v>-4110</v>
      </c>
      <c r="H177" s="31">
        <v>-2991</v>
      </c>
      <c r="I177" s="31">
        <v>-2992</v>
      </c>
      <c r="J177" s="31">
        <v>-2991</v>
      </c>
      <c r="K177" s="31">
        <v>-2989</v>
      </c>
      <c r="L177" s="31">
        <v>-3975</v>
      </c>
      <c r="M177" s="31">
        <v>-3975</v>
      </c>
      <c r="N177" s="31">
        <v>-3975</v>
      </c>
      <c r="O177" s="368">
        <v>-3974</v>
      </c>
      <c r="P177" s="610">
        <v>-8.5879999999999992</v>
      </c>
    </row>
    <row r="178" spans="1:16" ht="16" thickBot="1">
      <c r="B178" s="28" t="s">
        <v>84</v>
      </c>
      <c r="C178" s="34">
        <v>76826</v>
      </c>
      <c r="D178" s="34">
        <v>79038</v>
      </c>
      <c r="E178" s="34">
        <v>63763</v>
      </c>
      <c r="F178" s="34">
        <v>72325</v>
      </c>
      <c r="G178" s="34">
        <v>79075</v>
      </c>
      <c r="H178" s="34">
        <v>84209</v>
      </c>
      <c r="I178" s="34">
        <v>67949</v>
      </c>
      <c r="J178" s="34">
        <v>74851</v>
      </c>
      <c r="K178" s="34">
        <v>83042</v>
      </c>
      <c r="L178" s="34">
        <v>92337</v>
      </c>
      <c r="M178" s="34">
        <v>71263</v>
      </c>
      <c r="N178" s="34">
        <v>75871</v>
      </c>
      <c r="O178" s="370">
        <v>84245</v>
      </c>
      <c r="P178" s="612">
        <v>87.5</v>
      </c>
    </row>
    <row r="179" spans="1:16" ht="16" thickBot="1">
      <c r="B179" s="47" t="s">
        <v>85</v>
      </c>
      <c r="C179" s="36">
        <v>235618</v>
      </c>
      <c r="D179" s="36">
        <v>228196</v>
      </c>
      <c r="E179" s="36">
        <v>231336</v>
      </c>
      <c r="F179" s="36">
        <v>270503</v>
      </c>
      <c r="G179" s="36">
        <v>255605</v>
      </c>
      <c r="H179" s="36">
        <v>231602</v>
      </c>
      <c r="I179" s="36">
        <v>255544</v>
      </c>
      <c r="J179" s="36">
        <v>257133</v>
      </c>
      <c r="K179" s="36">
        <v>270869</v>
      </c>
      <c r="L179" s="36">
        <v>252748</v>
      </c>
      <c r="M179" s="36">
        <v>280854</v>
      </c>
      <c r="N179" s="36">
        <v>280684</v>
      </c>
      <c r="O179" s="371">
        <v>272484</v>
      </c>
      <c r="P179" s="613">
        <v>272.25</v>
      </c>
    </row>
    <row r="180" spans="1:16" ht="15.5">
      <c r="B180" s="8"/>
      <c r="C180" s="48">
        <f>+C146-C169-C178</f>
        <v>0</v>
      </c>
      <c r="D180" s="48">
        <f t="shared" ref="D180:N180" si="11">+D146-D169-D178</f>
        <v>0</v>
      </c>
      <c r="E180" s="48">
        <f t="shared" si="11"/>
        <v>0</v>
      </c>
      <c r="F180" s="48">
        <f t="shared" si="11"/>
        <v>0</v>
      </c>
      <c r="G180" s="48">
        <f t="shared" si="11"/>
        <v>0</v>
      </c>
      <c r="H180" s="48">
        <f t="shared" si="11"/>
        <v>0</v>
      </c>
      <c r="I180" s="48">
        <f t="shared" si="11"/>
        <v>0</v>
      </c>
      <c r="J180" s="48">
        <f t="shared" si="11"/>
        <v>0</v>
      </c>
      <c r="K180" s="48">
        <f t="shared" si="11"/>
        <v>0</v>
      </c>
      <c r="L180" s="48">
        <f t="shared" si="11"/>
        <v>0</v>
      </c>
      <c r="M180" s="48">
        <f t="shared" si="11"/>
        <v>0</v>
      </c>
      <c r="N180" s="48">
        <f t="shared" si="11"/>
        <v>0</v>
      </c>
      <c r="O180" s="376">
        <v>0</v>
      </c>
    </row>
    <row r="181" spans="1:16" ht="15.5">
      <c r="C181" s="144">
        <f>+C114-C176</f>
        <v>0</v>
      </c>
      <c r="D181" s="144">
        <f>+D114-D176</f>
        <v>0</v>
      </c>
      <c r="E181" s="144">
        <f>+E114-E176</f>
        <v>0</v>
      </c>
      <c r="F181" s="144">
        <f>+F114+E114-F176</f>
        <v>0</v>
      </c>
      <c r="G181" s="144">
        <f>+G114+F114+E114-G176</f>
        <v>0</v>
      </c>
      <c r="H181" s="144">
        <f>+H114+G114+F114+E114-H176</f>
        <v>0</v>
      </c>
      <c r="I181" s="144">
        <f>+I114-I176</f>
        <v>0</v>
      </c>
      <c r="J181" s="144">
        <f>+J114+I114-J176</f>
        <v>0</v>
      </c>
      <c r="K181" s="144">
        <f>+K114+J114+I114-K176</f>
        <v>0</v>
      </c>
      <c r="L181" s="144">
        <f>+L114+K114+J114+I114-L176</f>
        <v>0</v>
      </c>
      <c r="M181" s="144">
        <f>+M114-M176</f>
        <v>0</v>
      </c>
      <c r="N181" s="144">
        <f>+N114+M114-N176</f>
        <v>0</v>
      </c>
      <c r="O181" s="377">
        <v>0</v>
      </c>
      <c r="P181" s="144"/>
    </row>
    <row r="182" spans="1:16" ht="15.5">
      <c r="C182" s="160"/>
      <c r="D182" s="160"/>
      <c r="E182" s="160"/>
      <c r="F182" s="160"/>
      <c r="G182" s="160"/>
      <c r="H182" s="160"/>
      <c r="I182" s="160"/>
      <c r="J182" s="160"/>
      <c r="K182" s="160"/>
      <c r="L182" s="160"/>
      <c r="M182" s="160"/>
      <c r="N182" s="160"/>
      <c r="O182" s="384"/>
    </row>
    <row r="183" spans="1:16" ht="15.5">
      <c r="A183" s="225" t="s">
        <v>492</v>
      </c>
      <c r="B183" s="19" t="s">
        <v>103</v>
      </c>
      <c r="C183" s="6"/>
      <c r="D183" s="6"/>
      <c r="E183" s="7"/>
      <c r="F183" s="6"/>
      <c r="G183" s="6"/>
      <c r="H183" s="6"/>
      <c r="I183" s="7"/>
      <c r="J183" s="6"/>
      <c r="K183" s="6"/>
      <c r="L183" s="6"/>
      <c r="M183" s="7"/>
      <c r="N183" s="6"/>
      <c r="O183" s="6"/>
    </row>
    <row r="184" spans="1:16" ht="15.5">
      <c r="B184" s="21" t="s">
        <v>2</v>
      </c>
      <c r="C184" s="8"/>
      <c r="D184" s="8"/>
      <c r="E184" s="8"/>
      <c r="F184" s="8"/>
      <c r="G184" s="8"/>
      <c r="H184" s="8"/>
      <c r="I184" s="8"/>
      <c r="J184" s="8"/>
      <c r="K184" s="8"/>
      <c r="L184" s="8"/>
      <c r="M184" s="8"/>
      <c r="N184" s="8"/>
      <c r="O184" s="379"/>
    </row>
    <row r="185" spans="1:16" ht="15.5">
      <c r="B185" s="9"/>
      <c r="C185" s="9"/>
      <c r="D185" s="9"/>
      <c r="E185" s="9"/>
      <c r="F185" s="9"/>
      <c r="G185" s="9"/>
      <c r="H185" s="9"/>
      <c r="I185" s="9"/>
      <c r="J185" s="9"/>
      <c r="K185" s="9"/>
      <c r="L185" s="9"/>
      <c r="M185" s="9"/>
      <c r="N185" s="9"/>
      <c r="O185" s="9"/>
    </row>
    <row r="186" spans="1:16" s="51" customFormat="1" ht="15">
      <c r="B186" s="52"/>
      <c r="C186" s="49">
        <v>2016</v>
      </c>
      <c r="D186" s="49">
        <v>2017</v>
      </c>
      <c r="E186" s="49" t="s">
        <v>3</v>
      </c>
      <c r="F186" s="49" t="s">
        <v>4</v>
      </c>
      <c r="G186" s="49" t="s">
        <v>5</v>
      </c>
      <c r="H186" s="49" t="s">
        <v>6</v>
      </c>
      <c r="I186" s="49" t="s">
        <v>7</v>
      </c>
      <c r="J186" s="49" t="s">
        <v>8</v>
      </c>
      <c r="K186" s="49" t="s">
        <v>9</v>
      </c>
      <c r="L186" s="49" t="s">
        <v>10</v>
      </c>
      <c r="M186" s="49" t="s">
        <v>11</v>
      </c>
      <c r="N186" s="49" t="s">
        <v>12</v>
      </c>
      <c r="O186" s="358" t="s">
        <v>685</v>
      </c>
      <c r="P186" s="358" t="s">
        <v>1111</v>
      </c>
    </row>
    <row r="187" spans="1:16" ht="15.5">
      <c r="B187" s="10"/>
      <c r="C187" s="11"/>
      <c r="D187" s="11"/>
      <c r="E187" s="11"/>
      <c r="F187" s="11"/>
      <c r="G187" s="11"/>
      <c r="H187" s="11"/>
      <c r="I187" s="11"/>
      <c r="J187" s="11"/>
      <c r="K187" s="11"/>
      <c r="L187" s="11"/>
      <c r="M187" s="11"/>
      <c r="N187" s="11"/>
      <c r="O187" s="9"/>
    </row>
    <row r="188" spans="1:16">
      <c r="B188" s="12" t="s">
        <v>88</v>
      </c>
      <c r="C188" s="13">
        <v>129114</v>
      </c>
      <c r="D188" s="13">
        <v>129681</v>
      </c>
      <c r="E188" s="13">
        <v>32993</v>
      </c>
      <c r="F188" s="13">
        <v>32961</v>
      </c>
      <c r="G188" s="13">
        <v>33349</v>
      </c>
      <c r="H188" s="13">
        <v>33847</v>
      </c>
      <c r="I188" s="13">
        <v>34073</v>
      </c>
      <c r="J188" s="13">
        <v>34509</v>
      </c>
      <c r="K188" s="13">
        <v>35213</v>
      </c>
      <c r="L188" s="13">
        <v>35723</v>
      </c>
      <c r="M188" s="13">
        <v>35290</v>
      </c>
      <c r="N188" s="13">
        <v>35995</v>
      </c>
      <c r="O188" s="13">
        <v>35693</v>
      </c>
      <c r="P188" s="13">
        <v>36252</v>
      </c>
    </row>
    <row r="189" spans="1:16">
      <c r="B189" s="12" t="s">
        <v>89</v>
      </c>
      <c r="C189" s="13">
        <v>105814</v>
      </c>
      <c r="D189" s="13">
        <v>105442</v>
      </c>
      <c r="E189" s="13">
        <v>26867</v>
      </c>
      <c r="F189" s="13">
        <v>27098</v>
      </c>
      <c r="G189" s="13">
        <v>27421</v>
      </c>
      <c r="H189" s="13">
        <v>29532</v>
      </c>
      <c r="I189" s="13">
        <v>28710</v>
      </c>
      <c r="J189" s="13">
        <v>29079</v>
      </c>
      <c r="K189" s="13">
        <v>29392</v>
      </c>
      <c r="L189" s="13">
        <v>30072</v>
      </c>
      <c r="M189" s="13">
        <v>29659</v>
      </c>
      <c r="N189" s="13">
        <v>29636</v>
      </c>
      <c r="O189" s="13">
        <v>29580</v>
      </c>
      <c r="P189" s="13">
        <v>30364</v>
      </c>
    </row>
    <row r="190" spans="1:16">
      <c r="B190" s="12" t="s">
        <v>104</v>
      </c>
      <c r="C190" s="13">
        <v>101</v>
      </c>
      <c r="D190" s="13">
        <v>75</v>
      </c>
      <c r="E190" s="13">
        <v>18</v>
      </c>
      <c r="F190" s="13">
        <v>18</v>
      </c>
      <c r="G190" s="13">
        <v>361</v>
      </c>
      <c r="H190" s="13">
        <v>-325</v>
      </c>
      <c r="I190" s="13">
        <v>18</v>
      </c>
      <c r="J190" s="13">
        <v>19</v>
      </c>
      <c r="K190" s="13">
        <v>19</v>
      </c>
      <c r="L190" s="13">
        <v>18</v>
      </c>
      <c r="M190" s="13">
        <v>19</v>
      </c>
      <c r="N190" s="13">
        <v>19</v>
      </c>
      <c r="O190" s="13">
        <v>19</v>
      </c>
      <c r="P190" s="13">
        <v>19</v>
      </c>
    </row>
    <row r="191" spans="1:16">
      <c r="B191" s="12" t="s">
        <v>22</v>
      </c>
      <c r="C191" s="13">
        <v>8443</v>
      </c>
      <c r="D191" s="13">
        <v>8866</v>
      </c>
      <c r="E191" s="13">
        <v>2525</v>
      </c>
      <c r="F191" s="13">
        <v>2019</v>
      </c>
      <c r="G191" s="13">
        <v>1974</v>
      </c>
      <c r="H191" s="13">
        <v>2702</v>
      </c>
      <c r="I191" s="13">
        <v>1370</v>
      </c>
      <c r="J191" s="13">
        <v>2975</v>
      </c>
      <c r="K191" s="13">
        <v>2660</v>
      </c>
      <c r="L191" s="13">
        <v>3527</v>
      </c>
      <c r="M191" s="13">
        <v>1913</v>
      </c>
      <c r="N191" s="13">
        <v>2026</v>
      </c>
      <c r="O191" s="13">
        <v>2111</v>
      </c>
      <c r="P191" s="13">
        <v>2841</v>
      </c>
    </row>
    <row r="192" spans="1:16">
      <c r="B192" s="12" t="s">
        <v>23</v>
      </c>
      <c r="C192" s="13">
        <v>78240</v>
      </c>
      <c r="D192" s="13">
        <v>80724</v>
      </c>
      <c r="E192" s="13">
        <v>19907</v>
      </c>
      <c r="F192" s="13">
        <v>19822</v>
      </c>
      <c r="G192" s="13">
        <v>20044</v>
      </c>
      <c r="H192" s="13">
        <v>23718</v>
      </c>
      <c r="I192" s="13">
        <v>19579</v>
      </c>
      <c r="J192" s="13">
        <v>20953</v>
      </c>
      <c r="K192" s="13">
        <v>20303</v>
      </c>
      <c r="L192" s="13">
        <v>25693</v>
      </c>
      <c r="M192" s="13">
        <v>21797</v>
      </c>
      <c r="N192" s="13">
        <v>20844</v>
      </c>
      <c r="O192" s="13">
        <v>20757</v>
      </c>
      <c r="P192" s="13">
        <v>27753</v>
      </c>
    </row>
    <row r="193" spans="1:16">
      <c r="B193" s="16" t="s">
        <v>92</v>
      </c>
      <c r="C193" s="344">
        <f>+C188+C189+C190+C191-C192</f>
        <v>165232</v>
      </c>
      <c r="D193" s="344">
        <f t="shared" ref="D193:P193" si="12">+D188+D189+D190+D191-D192</f>
        <v>163340</v>
      </c>
      <c r="E193" s="344">
        <f t="shared" si="12"/>
        <v>42496</v>
      </c>
      <c r="F193" s="344">
        <f t="shared" si="12"/>
        <v>42274</v>
      </c>
      <c r="G193" s="344">
        <f t="shared" si="12"/>
        <v>43061</v>
      </c>
      <c r="H193" s="344">
        <f t="shared" si="12"/>
        <v>42038</v>
      </c>
      <c r="I193" s="344">
        <f t="shared" si="12"/>
        <v>44592</v>
      </c>
      <c r="J193" s="344">
        <f t="shared" si="12"/>
        <v>45629</v>
      </c>
      <c r="K193" s="344">
        <f t="shared" si="12"/>
        <v>46981</v>
      </c>
      <c r="L193" s="344">
        <f t="shared" si="12"/>
        <v>43647</v>
      </c>
      <c r="M193" s="344">
        <f t="shared" si="12"/>
        <v>45084</v>
      </c>
      <c r="N193" s="344">
        <f t="shared" si="12"/>
        <v>46832</v>
      </c>
      <c r="O193" s="344">
        <f t="shared" si="12"/>
        <v>46646</v>
      </c>
      <c r="P193" s="344">
        <f t="shared" si="12"/>
        <v>41723</v>
      </c>
    </row>
    <row r="194" spans="1:16">
      <c r="B194" s="10"/>
      <c r="C194" s="181"/>
      <c r="D194" s="181"/>
      <c r="E194" s="181"/>
      <c r="F194" s="181"/>
      <c r="G194" s="181"/>
      <c r="H194" s="181"/>
      <c r="I194" s="181"/>
      <c r="J194" s="181"/>
      <c r="K194" s="181"/>
      <c r="L194" s="181"/>
      <c r="M194" s="181"/>
      <c r="N194" s="181"/>
      <c r="O194" s="181"/>
      <c r="P194" s="181"/>
    </row>
    <row r="195" spans="1:16">
      <c r="B195" s="12" t="s">
        <v>26</v>
      </c>
      <c r="C195" s="13">
        <v>60663</v>
      </c>
      <c r="D195" s="13">
        <v>43503</v>
      </c>
      <c r="E195" s="13">
        <v>10214</v>
      </c>
      <c r="F195" s="13">
        <v>10258</v>
      </c>
      <c r="G195" s="13">
        <v>10298</v>
      </c>
      <c r="H195" s="13">
        <v>11049</v>
      </c>
      <c r="I195" s="13">
        <v>10283</v>
      </c>
      <c r="J195" s="13">
        <v>10361</v>
      </c>
      <c r="K195" s="13">
        <v>10605</v>
      </c>
      <c r="L195" s="13">
        <v>10757</v>
      </c>
      <c r="M195" s="13">
        <v>9941</v>
      </c>
      <c r="N195" s="13">
        <v>9884</v>
      </c>
      <c r="O195" s="13">
        <v>8528</v>
      </c>
      <c r="P195" s="13">
        <v>18333</v>
      </c>
    </row>
    <row r="196" spans="1:16">
      <c r="B196" s="12" t="s">
        <v>27</v>
      </c>
      <c r="C196" s="13">
        <v>51858</v>
      </c>
      <c r="D196" s="13">
        <v>50752</v>
      </c>
      <c r="E196" s="13">
        <v>14600</v>
      </c>
      <c r="F196" s="13">
        <v>15412</v>
      </c>
      <c r="G196" s="13">
        <v>16495</v>
      </c>
      <c r="H196" s="13">
        <v>23021</v>
      </c>
      <c r="I196" s="13">
        <v>19715</v>
      </c>
      <c r="J196" s="13">
        <v>20515</v>
      </c>
      <c r="K196" s="13">
        <v>21108</v>
      </c>
      <c r="L196" s="13">
        <v>39996</v>
      </c>
      <c r="M196" s="13">
        <v>21539</v>
      </c>
      <c r="N196" s="13">
        <v>24125</v>
      </c>
      <c r="O196" s="13">
        <v>21737</v>
      </c>
      <c r="P196" s="13">
        <v>20279</v>
      </c>
    </row>
    <row r="197" spans="1:16">
      <c r="B197" s="12" t="s">
        <v>28</v>
      </c>
      <c r="C197" s="13">
        <v>1526</v>
      </c>
      <c r="D197" s="13">
        <v>5283</v>
      </c>
      <c r="E197" s="13">
        <v>1214</v>
      </c>
      <c r="F197" s="13">
        <v>1912</v>
      </c>
      <c r="G197" s="13">
        <v>-2580</v>
      </c>
      <c r="H197" s="13">
        <v>-2984</v>
      </c>
      <c r="I197" s="13">
        <v>-41</v>
      </c>
      <c r="J197" s="13">
        <v>-782</v>
      </c>
      <c r="K197" s="13">
        <v>-1807</v>
      </c>
      <c r="L197" s="13">
        <v>-6778</v>
      </c>
      <c r="M197" s="13">
        <v>563</v>
      </c>
      <c r="N197" s="13">
        <v>169</v>
      </c>
      <c r="O197" s="13">
        <v>-3330</v>
      </c>
      <c r="P197" s="13">
        <v>-4923</v>
      </c>
    </row>
    <row r="198" spans="1:16">
      <c r="B198" s="16" t="s">
        <v>29</v>
      </c>
      <c r="C198" s="345">
        <f>+C193-C195+C196+C197</f>
        <v>157953</v>
      </c>
      <c r="D198" s="345">
        <f>+D193-D195+D196+D197</f>
        <v>175872</v>
      </c>
      <c r="E198" s="345">
        <f t="shared" ref="E198:O198" si="13">+E193-E195+E196+E197</f>
        <v>48096</v>
      </c>
      <c r="F198" s="345">
        <f t="shared" si="13"/>
        <v>49340</v>
      </c>
      <c r="G198" s="345">
        <f t="shared" si="13"/>
        <v>46678</v>
      </c>
      <c r="H198" s="345">
        <f t="shared" si="13"/>
        <v>51026</v>
      </c>
      <c r="I198" s="345">
        <f t="shared" si="13"/>
        <v>53983</v>
      </c>
      <c r="J198" s="345">
        <f t="shared" si="13"/>
        <v>55001</v>
      </c>
      <c r="K198" s="345">
        <f t="shared" si="13"/>
        <v>55677</v>
      </c>
      <c r="L198" s="345">
        <f t="shared" si="13"/>
        <v>66108</v>
      </c>
      <c r="M198" s="345">
        <f t="shared" si="13"/>
        <v>57245</v>
      </c>
      <c r="N198" s="345">
        <f t="shared" si="13"/>
        <v>61242</v>
      </c>
      <c r="O198" s="345">
        <f t="shared" si="13"/>
        <v>56525</v>
      </c>
      <c r="P198" s="345">
        <f>+P193-P195+P196+P197</f>
        <v>38746</v>
      </c>
    </row>
    <row r="199" spans="1:16">
      <c r="B199" s="12"/>
      <c r="C199" s="13"/>
      <c r="D199" s="13"/>
      <c r="E199" s="13"/>
      <c r="F199" s="13"/>
      <c r="G199" s="13"/>
      <c r="H199" s="13"/>
      <c r="I199" s="13"/>
      <c r="J199" s="13"/>
      <c r="K199" s="13"/>
      <c r="L199" s="13"/>
      <c r="M199" s="13"/>
      <c r="N199" s="13"/>
      <c r="O199" s="13"/>
      <c r="P199" s="13"/>
    </row>
    <row r="200" spans="1:16">
      <c r="B200" s="12" t="s">
        <v>30</v>
      </c>
      <c r="C200" s="13">
        <v>-43180</v>
      </c>
      <c r="D200" s="13">
        <v>-29658</v>
      </c>
      <c r="E200" s="13">
        <v>-7224</v>
      </c>
      <c r="F200" s="13">
        <v>-6370</v>
      </c>
      <c r="G200" s="13">
        <v>-6374</v>
      </c>
      <c r="H200" s="13">
        <v>-5931</v>
      </c>
      <c r="I200" s="13">
        <v>-4724</v>
      </c>
      <c r="J200" s="13">
        <v>-5948</v>
      </c>
      <c r="K200" s="13">
        <v>-7235</v>
      </c>
      <c r="L200" s="13">
        <v>-6974</v>
      </c>
      <c r="M200" s="13">
        <v>-6659</v>
      </c>
      <c r="N200" s="13">
        <v>-9103</v>
      </c>
      <c r="O200" s="13">
        <v>-6593</v>
      </c>
      <c r="P200" s="13">
        <v>-5477</v>
      </c>
    </row>
    <row r="201" spans="1:16">
      <c r="B201" s="16" t="s">
        <v>31</v>
      </c>
      <c r="C201" s="345">
        <f>+C198+C200</f>
        <v>114773</v>
      </c>
      <c r="D201" s="345">
        <f t="shared" ref="D201:O201" si="14">+D198+D200</f>
        <v>146214</v>
      </c>
      <c r="E201" s="345">
        <f t="shared" si="14"/>
        <v>40872</v>
      </c>
      <c r="F201" s="345">
        <f t="shared" si="14"/>
        <v>42970</v>
      </c>
      <c r="G201" s="345">
        <f t="shared" si="14"/>
        <v>40304</v>
      </c>
      <c r="H201" s="345">
        <f t="shared" si="14"/>
        <v>45095</v>
      </c>
      <c r="I201" s="345">
        <f t="shared" si="14"/>
        <v>49259</v>
      </c>
      <c r="J201" s="345">
        <f t="shared" si="14"/>
        <v>49053</v>
      </c>
      <c r="K201" s="345">
        <f t="shared" si="14"/>
        <v>48442</v>
      </c>
      <c r="L201" s="345">
        <f t="shared" si="14"/>
        <v>59134</v>
      </c>
      <c r="M201" s="345">
        <f t="shared" si="14"/>
        <v>50586</v>
      </c>
      <c r="N201" s="345">
        <f t="shared" si="14"/>
        <v>52139</v>
      </c>
      <c r="O201" s="345">
        <f t="shared" si="14"/>
        <v>49932</v>
      </c>
      <c r="P201" s="345">
        <f>+P198+P200</f>
        <v>33269</v>
      </c>
    </row>
    <row r="202" spans="1:16">
      <c r="B202" s="10"/>
      <c r="C202" s="181"/>
      <c r="D202" s="181"/>
      <c r="E202" s="181"/>
      <c r="F202" s="181"/>
      <c r="G202" s="181"/>
      <c r="H202" s="181"/>
      <c r="I202" s="181"/>
      <c r="J202" s="181"/>
      <c r="K202" s="181"/>
      <c r="L202" s="181"/>
      <c r="M202" s="181"/>
      <c r="N202" s="181"/>
      <c r="O202" s="181"/>
      <c r="P202" s="181"/>
    </row>
    <row r="203" spans="1:16">
      <c r="B203" s="12" t="s">
        <v>32</v>
      </c>
      <c r="C203" s="13">
        <v>26011</v>
      </c>
      <c r="D203" s="13">
        <v>38236</v>
      </c>
      <c r="E203" s="13">
        <v>9756</v>
      </c>
      <c r="F203" s="13">
        <v>10072</v>
      </c>
      <c r="G203" s="13">
        <v>8319</v>
      </c>
      <c r="H203" s="13">
        <v>5310</v>
      </c>
      <c r="I203" s="13">
        <v>9609</v>
      </c>
      <c r="J203" s="13">
        <v>10092</v>
      </c>
      <c r="K203" s="13">
        <v>8936</v>
      </c>
      <c r="L203" s="13">
        <v>6632</v>
      </c>
      <c r="M203" s="13">
        <v>10350</v>
      </c>
      <c r="N203" s="13">
        <v>11503</v>
      </c>
      <c r="O203" s="13">
        <v>11416</v>
      </c>
      <c r="P203" s="13">
        <v>5842</v>
      </c>
    </row>
    <row r="204" spans="1:16">
      <c r="B204" s="16" t="s">
        <v>35</v>
      </c>
      <c r="C204" s="345">
        <f>+C201-C203</f>
        <v>88762</v>
      </c>
      <c r="D204" s="345">
        <f t="shared" ref="D204:O204" si="15">+D201-D203</f>
        <v>107978</v>
      </c>
      <c r="E204" s="345">
        <f t="shared" si="15"/>
        <v>31116</v>
      </c>
      <c r="F204" s="345">
        <f t="shared" si="15"/>
        <v>32898</v>
      </c>
      <c r="G204" s="345">
        <f t="shared" si="15"/>
        <v>31985</v>
      </c>
      <c r="H204" s="345">
        <f t="shared" si="15"/>
        <v>39785</v>
      </c>
      <c r="I204" s="345">
        <f t="shared" si="15"/>
        <v>39650</v>
      </c>
      <c r="J204" s="345">
        <f t="shared" si="15"/>
        <v>38961</v>
      </c>
      <c r="K204" s="345">
        <f t="shared" si="15"/>
        <v>39506</v>
      </c>
      <c r="L204" s="345">
        <f t="shared" si="15"/>
        <v>52502</v>
      </c>
      <c r="M204" s="345">
        <f>+M201-M203</f>
        <v>40236</v>
      </c>
      <c r="N204" s="345">
        <f t="shared" si="15"/>
        <v>40636</v>
      </c>
      <c r="O204" s="345">
        <f t="shared" si="15"/>
        <v>38516</v>
      </c>
      <c r="P204" s="345">
        <f>+P201-P203</f>
        <v>27427</v>
      </c>
    </row>
    <row r="205" spans="1:16" ht="15.5">
      <c r="O205" s="357"/>
    </row>
    <row r="206" spans="1:16" s="1" customFormat="1" ht="15.5">
      <c r="O206" s="357"/>
    </row>
    <row r="207" spans="1:16" s="1" customFormat="1" ht="15.5">
      <c r="A207" s="225" t="s">
        <v>492</v>
      </c>
      <c r="B207" s="19" t="s">
        <v>105</v>
      </c>
      <c r="O207" s="357"/>
    </row>
    <row r="208" spans="1:16" ht="15.5">
      <c r="B208" s="21" t="s">
        <v>2</v>
      </c>
      <c r="C208" s="1"/>
      <c r="D208" s="1"/>
      <c r="E208" s="1"/>
      <c r="F208" s="1"/>
      <c r="G208" s="1"/>
      <c r="H208" s="1"/>
      <c r="I208" s="1"/>
      <c r="J208" s="1"/>
      <c r="K208" s="1"/>
      <c r="L208" s="1"/>
      <c r="M208" s="1"/>
      <c r="N208" s="1"/>
      <c r="O208" s="357"/>
    </row>
    <row r="209" spans="2:16" ht="15.5">
      <c r="O209" s="357"/>
    </row>
    <row r="210" spans="2:16" ht="15.5" thickBot="1">
      <c r="B210" s="54"/>
      <c r="C210" s="55"/>
      <c r="D210" s="55"/>
      <c r="E210" s="55"/>
      <c r="F210" s="55"/>
      <c r="G210" s="55"/>
      <c r="H210" s="55"/>
      <c r="I210" s="55"/>
      <c r="J210" s="55"/>
      <c r="K210" s="55"/>
      <c r="L210" s="55"/>
      <c r="M210" s="55"/>
      <c r="N210" s="55"/>
      <c r="O210" s="385"/>
      <c r="P210" s="385"/>
    </row>
    <row r="211" spans="2:16" ht="15.5" thickBot="1">
      <c r="B211" s="56" t="s">
        <v>37</v>
      </c>
      <c r="C211" s="57"/>
      <c r="D211" s="57"/>
      <c r="E211" s="57"/>
      <c r="F211" s="57"/>
      <c r="G211" s="57"/>
      <c r="H211" s="57"/>
      <c r="I211" s="57"/>
      <c r="J211" s="57"/>
      <c r="K211" s="57"/>
      <c r="L211" s="57"/>
      <c r="M211" s="56"/>
      <c r="N211" s="56"/>
      <c r="O211" s="386"/>
      <c r="P211" s="386"/>
    </row>
    <row r="212" spans="2:16" ht="15.5" thickBot="1">
      <c r="B212" s="58" t="s">
        <v>38</v>
      </c>
      <c r="C212" s="59"/>
      <c r="D212" s="59"/>
      <c r="E212" s="59"/>
      <c r="F212" s="59"/>
      <c r="G212" s="59"/>
      <c r="H212" s="59"/>
      <c r="I212" s="59"/>
      <c r="J212" s="59"/>
      <c r="K212" s="59"/>
      <c r="L212" s="59"/>
      <c r="M212" s="59"/>
      <c r="N212" s="59"/>
      <c r="O212" s="387"/>
      <c r="P212" s="387"/>
    </row>
    <row r="213" spans="2:16" ht="16" thickBot="1">
      <c r="B213" s="60" t="s">
        <v>39</v>
      </c>
      <c r="C213" s="61">
        <v>42610</v>
      </c>
      <c r="D213" s="61">
        <v>37156</v>
      </c>
      <c r="E213" s="61">
        <v>25585</v>
      </c>
      <c r="F213" s="61">
        <v>22251</v>
      </c>
      <c r="G213" s="61">
        <v>31573</v>
      </c>
      <c r="H213" s="61">
        <v>47764</v>
      </c>
      <c r="I213" s="61">
        <v>24298</v>
      </c>
      <c r="J213" s="61">
        <v>10663</v>
      </c>
      <c r="K213" s="61">
        <v>25334</v>
      </c>
      <c r="L213" s="61">
        <v>31863</v>
      </c>
      <c r="M213" s="61">
        <v>37743</v>
      </c>
      <c r="N213" s="61">
        <v>59893</v>
      </c>
      <c r="O213" s="378">
        <v>63820</v>
      </c>
      <c r="P213" s="378">
        <v>70596</v>
      </c>
    </row>
    <row r="214" spans="2:16" ht="16" thickBot="1">
      <c r="B214" s="60" t="s">
        <v>40</v>
      </c>
      <c r="C214" s="61">
        <v>29125</v>
      </c>
      <c r="D214" s="61">
        <v>31485</v>
      </c>
      <c r="E214" s="61">
        <v>70841</v>
      </c>
      <c r="F214" s="61">
        <v>30922</v>
      </c>
      <c r="G214" s="61">
        <v>32474</v>
      </c>
      <c r="H214" s="61">
        <v>29773</v>
      </c>
      <c r="I214" s="61">
        <v>108812</v>
      </c>
      <c r="J214" s="61">
        <v>31981</v>
      </c>
      <c r="K214" s="61">
        <v>32713</v>
      </c>
      <c r="L214" s="61">
        <f>34215+32941</f>
        <v>67156</v>
      </c>
      <c r="M214" s="61">
        <v>36460</v>
      </c>
      <c r="N214" s="61">
        <v>34033</v>
      </c>
      <c r="O214" s="378">
        <v>33819</v>
      </c>
      <c r="P214" s="378">
        <v>36713</v>
      </c>
    </row>
    <row r="215" spans="2:16" ht="16" thickBot="1">
      <c r="B215" s="60" t="s">
        <v>41</v>
      </c>
      <c r="C215" s="61">
        <v>3681</v>
      </c>
      <c r="D215" s="61">
        <v>4512</v>
      </c>
      <c r="E215" s="61">
        <v>10043</v>
      </c>
      <c r="F215" s="61">
        <v>20683</v>
      </c>
      <c r="G215" s="61">
        <v>24653</v>
      </c>
      <c r="H215" s="61">
        <v>5384</v>
      </c>
      <c r="I215" s="61">
        <v>12396</v>
      </c>
      <c r="J215" s="61">
        <v>23934</v>
      </c>
      <c r="K215" s="61">
        <v>28732</v>
      </c>
      <c r="L215" s="61">
        <v>7665</v>
      </c>
      <c r="M215" s="61">
        <v>15716</v>
      </c>
      <c r="N215" s="61">
        <v>25840</v>
      </c>
      <c r="O215" s="378">
        <v>30090</v>
      </c>
      <c r="P215" s="378">
        <v>8649</v>
      </c>
    </row>
    <row r="216" spans="2:16" ht="16" thickBot="1">
      <c r="B216" s="60" t="s">
        <v>43</v>
      </c>
      <c r="C216" s="61">
        <v>3480</v>
      </c>
      <c r="D216" s="61">
        <v>2318</v>
      </c>
      <c r="E216" s="61">
        <v>950</v>
      </c>
      <c r="F216" s="61">
        <v>332</v>
      </c>
      <c r="G216" s="61">
        <v>3435</v>
      </c>
      <c r="H216" s="61">
        <v>2759</v>
      </c>
      <c r="I216" s="61">
        <v>3245</v>
      </c>
      <c r="J216" s="61">
        <v>3389</v>
      </c>
      <c r="K216" s="61">
        <v>2381</v>
      </c>
      <c r="L216" s="61">
        <v>1654</v>
      </c>
      <c r="M216" s="61">
        <v>4461</v>
      </c>
      <c r="N216" s="61">
        <v>3550</v>
      </c>
      <c r="O216" s="378">
        <v>2747</v>
      </c>
      <c r="P216" s="378">
        <v>3933</v>
      </c>
    </row>
    <row r="217" spans="2:16" ht="16" thickBot="1">
      <c r="B217" s="60" t="s">
        <v>44</v>
      </c>
      <c r="C217" s="61">
        <v>777</v>
      </c>
      <c r="D217" s="61">
        <v>805</v>
      </c>
      <c r="E217" s="61">
        <v>-244886</v>
      </c>
      <c r="F217" s="61">
        <v>-244886</v>
      </c>
      <c r="G217" s="61">
        <v>0</v>
      </c>
      <c r="H217" s="61">
        <v>1790</v>
      </c>
      <c r="I217" s="61">
        <v>0</v>
      </c>
      <c r="J217" s="61">
        <v>0</v>
      </c>
      <c r="K217" s="61">
        <v>0</v>
      </c>
      <c r="L217" s="61">
        <v>1088</v>
      </c>
      <c r="M217" s="61">
        <v>0</v>
      </c>
      <c r="N217" s="61">
        <v>0</v>
      </c>
      <c r="O217" s="378">
        <v>0</v>
      </c>
      <c r="P217" s="378"/>
    </row>
    <row r="218" spans="2:16" ht="15.5" thickBot="1">
      <c r="B218" s="62" t="s">
        <v>45</v>
      </c>
      <c r="C218" s="63">
        <f t="shared" ref="C218:N218" si="16">SUM(C213:C217)</f>
        <v>79673</v>
      </c>
      <c r="D218" s="63">
        <f t="shared" si="16"/>
        <v>76276</v>
      </c>
      <c r="E218" s="63">
        <f t="shared" si="16"/>
        <v>-137467</v>
      </c>
      <c r="F218" s="63">
        <f t="shared" si="16"/>
        <v>-170698</v>
      </c>
      <c r="G218" s="63">
        <f t="shared" si="16"/>
        <v>92135</v>
      </c>
      <c r="H218" s="63">
        <f t="shared" si="16"/>
        <v>87470</v>
      </c>
      <c r="I218" s="63">
        <f t="shared" si="16"/>
        <v>148751</v>
      </c>
      <c r="J218" s="63">
        <f t="shared" si="16"/>
        <v>69967</v>
      </c>
      <c r="K218" s="63">
        <f t="shared" si="16"/>
        <v>89160</v>
      </c>
      <c r="L218" s="63">
        <f t="shared" si="16"/>
        <v>109426</v>
      </c>
      <c r="M218" s="63">
        <f t="shared" si="16"/>
        <v>94380</v>
      </c>
      <c r="N218" s="63">
        <f t="shared" si="16"/>
        <v>123316</v>
      </c>
      <c r="O218" s="388">
        <v>130476</v>
      </c>
      <c r="P218" s="388">
        <v>119891</v>
      </c>
    </row>
    <row r="219" spans="2:16" ht="15.5" thickBot="1">
      <c r="B219" s="58" t="s">
        <v>46</v>
      </c>
      <c r="C219" s="59"/>
      <c r="D219" s="59"/>
      <c r="E219" s="59"/>
      <c r="F219" s="59"/>
      <c r="G219" s="59"/>
      <c r="H219" s="59"/>
      <c r="I219" s="59"/>
      <c r="J219" s="59"/>
      <c r="K219" s="59"/>
      <c r="L219" s="59"/>
      <c r="M219" s="59"/>
      <c r="N219" s="59"/>
      <c r="O219" s="387"/>
      <c r="P219" s="387"/>
    </row>
    <row r="220" spans="2:16" ht="16" thickBot="1">
      <c r="B220" s="60" t="s">
        <v>47</v>
      </c>
      <c r="C220" s="61">
        <v>35</v>
      </c>
      <c r="D220" s="61">
        <v>35</v>
      </c>
      <c r="E220" s="61">
        <v>35</v>
      </c>
      <c r="F220" s="61">
        <v>35</v>
      </c>
      <c r="G220" s="61">
        <v>35</v>
      </c>
      <c r="H220" s="61">
        <v>35</v>
      </c>
      <c r="I220" s="61">
        <v>35</v>
      </c>
      <c r="J220" s="61">
        <v>35</v>
      </c>
      <c r="K220" s="61">
        <v>35</v>
      </c>
      <c r="L220" s="61">
        <v>35</v>
      </c>
      <c r="M220" s="61">
        <v>35</v>
      </c>
      <c r="N220" s="61">
        <v>35</v>
      </c>
      <c r="O220" s="378">
        <v>35</v>
      </c>
      <c r="P220" s="378">
        <v>35</v>
      </c>
    </row>
    <row r="221" spans="2:16" ht="16" thickBot="1">
      <c r="B221" s="60" t="s">
        <v>48</v>
      </c>
      <c r="C221" s="61">
        <v>0</v>
      </c>
      <c r="D221" s="61">
        <v>0</v>
      </c>
      <c r="E221" s="61">
        <v>149</v>
      </c>
      <c r="F221" s="61">
        <v>229</v>
      </c>
      <c r="G221" s="61">
        <v>0</v>
      </c>
      <c r="H221" s="61">
        <v>0</v>
      </c>
      <c r="I221" s="61">
        <v>0</v>
      </c>
      <c r="J221" s="61">
        <v>0</v>
      </c>
      <c r="K221" s="61">
        <v>0</v>
      </c>
      <c r="L221" s="61">
        <v>0</v>
      </c>
      <c r="M221" s="61">
        <v>0</v>
      </c>
      <c r="N221" s="61">
        <v>0</v>
      </c>
      <c r="O221" s="378">
        <v>0</v>
      </c>
      <c r="P221" s="378"/>
    </row>
    <row r="222" spans="2:16" ht="16" thickBot="1">
      <c r="B222" s="60" t="s">
        <v>106</v>
      </c>
      <c r="C222" s="61">
        <v>280143</v>
      </c>
      <c r="D222" s="61">
        <v>280139</v>
      </c>
      <c r="E222" s="61">
        <v>226598</v>
      </c>
      <c r="F222" s="61">
        <v>255055</v>
      </c>
      <c r="G222" s="61">
        <v>275379</v>
      </c>
      <c r="H222" s="61">
        <v>309078</v>
      </c>
      <c r="I222" s="61">
        <v>243120</v>
      </c>
      <c r="J222" s="61">
        <v>265428</v>
      </c>
      <c r="K222" s="61">
        <v>309217</v>
      </c>
      <c r="L222" s="61">
        <v>299686</v>
      </c>
      <c r="M222" s="61">
        <v>382551</v>
      </c>
      <c r="N222" s="61">
        <v>278218</v>
      </c>
      <c r="O222" s="378">
        <v>310373</v>
      </c>
      <c r="P222" s="378">
        <v>294143</v>
      </c>
    </row>
    <row r="223" spans="2:16" ht="16" thickBot="1">
      <c r="B223" s="60" t="s">
        <v>95</v>
      </c>
      <c r="C223" s="61">
        <v>0</v>
      </c>
      <c r="D223" s="61">
        <v>0</v>
      </c>
      <c r="E223" s="61">
        <v>0</v>
      </c>
      <c r="F223" s="61">
        <v>0</v>
      </c>
      <c r="G223" s="61">
        <v>0</v>
      </c>
      <c r="H223" s="61">
        <v>0</v>
      </c>
      <c r="I223" s="61">
        <v>0</v>
      </c>
      <c r="J223" s="61">
        <v>0</v>
      </c>
      <c r="K223" s="61">
        <v>0</v>
      </c>
      <c r="L223" s="61">
        <v>0</v>
      </c>
      <c r="M223" s="61">
        <v>0</v>
      </c>
      <c r="N223" s="61">
        <v>0</v>
      </c>
      <c r="O223" s="378">
        <v>0</v>
      </c>
      <c r="P223" s="378"/>
    </row>
    <row r="224" spans="2:16" ht="16" thickBot="1">
      <c r="B224" s="60" t="s">
        <v>40</v>
      </c>
      <c r="C224" s="61">
        <v>5133</v>
      </c>
      <c r="D224" s="61">
        <v>4625</v>
      </c>
      <c r="E224" s="61">
        <v>62908</v>
      </c>
      <c r="F224" s="61">
        <v>65236</v>
      </c>
      <c r="G224" s="61">
        <v>67390</v>
      </c>
      <c r="H224" s="61">
        <v>4269</v>
      </c>
      <c r="I224" s="61">
        <v>72405</v>
      </c>
      <c r="J224" s="61">
        <v>74865</v>
      </c>
      <c r="K224" s="61">
        <v>77275</v>
      </c>
      <c r="L224" s="61">
        <v>3475</v>
      </c>
      <c r="M224" s="61">
        <v>82551</v>
      </c>
      <c r="N224" s="61">
        <v>84812</v>
      </c>
      <c r="O224" s="378">
        <v>86806</v>
      </c>
      <c r="P224" s="378">
        <v>88413</v>
      </c>
    </row>
    <row r="225" spans="2:16" ht="16" thickBot="1">
      <c r="B225" s="60" t="s">
        <v>42</v>
      </c>
      <c r="C225" s="61">
        <v>7925</v>
      </c>
      <c r="D225" s="61">
        <v>8121</v>
      </c>
      <c r="E225" s="61">
        <v>8388</v>
      </c>
      <c r="F225" s="61">
        <v>8997</v>
      </c>
      <c r="G225" s="61">
        <v>9117</v>
      </c>
      <c r="H225" s="61">
        <v>8162</v>
      </c>
      <c r="I225" s="61">
        <v>8307</v>
      </c>
      <c r="J225" s="61">
        <v>8224</v>
      </c>
      <c r="K225" s="61">
        <v>8267</v>
      </c>
      <c r="L225" s="61">
        <v>7979</v>
      </c>
      <c r="M225" s="61">
        <v>7411</v>
      </c>
      <c r="N225" s="61">
        <v>7455</v>
      </c>
      <c r="O225" s="378">
        <v>7450</v>
      </c>
      <c r="P225" s="378">
        <v>6900</v>
      </c>
    </row>
    <row r="226" spans="2:16" ht="16" thickBot="1">
      <c r="B226" s="60" t="s">
        <v>52</v>
      </c>
      <c r="C226" s="61">
        <v>689893</v>
      </c>
      <c r="D226" s="61">
        <v>671689</v>
      </c>
      <c r="E226" s="61">
        <v>669300</v>
      </c>
      <c r="F226" s="61">
        <v>666224</v>
      </c>
      <c r="G226" s="61">
        <v>661293</v>
      </c>
      <c r="H226" s="61">
        <v>658200</v>
      </c>
      <c r="I226" s="61">
        <v>666854</v>
      </c>
      <c r="J226" s="61">
        <v>667232</v>
      </c>
      <c r="K226" s="61">
        <v>666296</v>
      </c>
      <c r="L226" s="61">
        <v>651255</v>
      </c>
      <c r="M226" s="61">
        <v>660784</v>
      </c>
      <c r="N226" s="61">
        <v>657478</v>
      </c>
      <c r="O226" s="378">
        <v>654846</v>
      </c>
      <c r="P226" s="378">
        <v>644132</v>
      </c>
    </row>
    <row r="227" spans="2:16" ht="16" thickBot="1">
      <c r="B227" s="60" t="s">
        <v>53</v>
      </c>
      <c r="C227" s="61">
        <v>0</v>
      </c>
      <c r="D227" s="61">
        <v>0</v>
      </c>
      <c r="E227" s="61">
        <v>0</v>
      </c>
      <c r="F227" s="61">
        <v>0</v>
      </c>
      <c r="G227" s="61">
        <v>0</v>
      </c>
      <c r="H227" s="61">
        <v>0</v>
      </c>
      <c r="I227" s="61">
        <v>0</v>
      </c>
      <c r="J227" s="61">
        <v>0</v>
      </c>
      <c r="K227" s="61">
        <v>0</v>
      </c>
      <c r="L227" s="61">
        <v>0</v>
      </c>
      <c r="M227" s="61">
        <v>0</v>
      </c>
      <c r="N227" s="61">
        <v>0</v>
      </c>
      <c r="O227" s="378">
        <v>0</v>
      </c>
      <c r="P227" s="378"/>
    </row>
    <row r="228" spans="2:16" ht="16" thickBot="1">
      <c r="B228" s="60" t="s">
        <v>55</v>
      </c>
      <c r="C228" s="61">
        <v>10973</v>
      </c>
      <c r="D228" s="61">
        <v>11103</v>
      </c>
      <c r="E228" s="61">
        <v>10974</v>
      </c>
      <c r="F228" s="61">
        <v>10889</v>
      </c>
      <c r="G228" s="61">
        <v>10813</v>
      </c>
      <c r="H228" s="61">
        <v>10856</v>
      </c>
      <c r="I228" s="61">
        <v>12995</v>
      </c>
      <c r="J228" s="61">
        <v>12858</v>
      </c>
      <c r="K228" s="61">
        <v>14363</v>
      </c>
      <c r="L228" s="61">
        <v>11187</v>
      </c>
      <c r="M228" s="61">
        <v>13338</v>
      </c>
      <c r="N228" s="61">
        <v>11816</v>
      </c>
      <c r="O228" s="378">
        <v>12407</v>
      </c>
      <c r="P228" s="378">
        <v>11880</v>
      </c>
    </row>
    <row r="229" spans="2:16" ht="16" thickBot="1">
      <c r="B229" s="60" t="s">
        <v>43</v>
      </c>
      <c r="C229" s="61">
        <v>0</v>
      </c>
      <c r="D229" s="61">
        <v>0</v>
      </c>
      <c r="E229" s="61">
        <v>0</v>
      </c>
      <c r="F229" s="61">
        <v>0</v>
      </c>
      <c r="G229" s="61">
        <v>0</v>
      </c>
      <c r="H229" s="61">
        <v>0</v>
      </c>
      <c r="I229" s="61">
        <v>0</v>
      </c>
      <c r="J229" s="61">
        <v>0</v>
      </c>
      <c r="K229" s="61">
        <v>0</v>
      </c>
      <c r="L229" s="61">
        <v>0</v>
      </c>
      <c r="M229" s="61">
        <v>0</v>
      </c>
      <c r="N229" s="61">
        <v>0</v>
      </c>
      <c r="O229" s="378">
        <v>0</v>
      </c>
      <c r="P229" s="378"/>
    </row>
    <row r="230" spans="2:16" ht="16" thickBot="1">
      <c r="B230" s="60" t="s">
        <v>56</v>
      </c>
      <c r="C230" s="61">
        <v>33958</v>
      </c>
      <c r="D230" s="61">
        <v>36061</v>
      </c>
      <c r="E230" s="61">
        <v>36310</v>
      </c>
      <c r="F230" s="61">
        <v>35583</v>
      </c>
      <c r="G230" s="61">
        <v>35543</v>
      </c>
      <c r="H230" s="61">
        <v>35252</v>
      </c>
      <c r="I230" s="61">
        <v>35002</v>
      </c>
      <c r="J230" s="61">
        <v>34590</v>
      </c>
      <c r="K230" s="61">
        <v>34115</v>
      </c>
      <c r="L230" s="61">
        <v>33100</v>
      </c>
      <c r="M230" s="61">
        <v>33094</v>
      </c>
      <c r="N230" s="61">
        <v>31937</v>
      </c>
      <c r="O230" s="378">
        <v>31447</v>
      </c>
      <c r="P230" s="378">
        <v>31875</v>
      </c>
    </row>
    <row r="231" spans="2:16" ht="16" thickBot="1">
      <c r="B231" s="60" t="s">
        <v>57</v>
      </c>
      <c r="C231" s="61">
        <v>748</v>
      </c>
      <c r="D231" s="61">
        <v>492</v>
      </c>
      <c r="E231" s="61">
        <v>427</v>
      </c>
      <c r="F231" s="61">
        <v>363</v>
      </c>
      <c r="G231" s="61">
        <v>299</v>
      </c>
      <c r="H231" s="61">
        <v>12936</v>
      </c>
      <c r="I231" s="61">
        <v>171</v>
      </c>
      <c r="J231" s="61">
        <v>103</v>
      </c>
      <c r="K231" s="61">
        <v>41</v>
      </c>
      <c r="L231" s="61">
        <v>13464</v>
      </c>
      <c r="M231" s="61">
        <v>436</v>
      </c>
      <c r="N231" s="61">
        <v>1211</v>
      </c>
      <c r="O231" s="378">
        <v>1813</v>
      </c>
      <c r="P231" s="378">
        <v>14102</v>
      </c>
    </row>
    <row r="232" spans="2:16" ht="16" thickBot="1">
      <c r="B232" s="60" t="s">
        <v>107</v>
      </c>
      <c r="C232" s="61">
        <v>0</v>
      </c>
      <c r="D232" s="61">
        <v>0</v>
      </c>
      <c r="E232" s="61">
        <v>0</v>
      </c>
      <c r="F232" s="61">
        <v>0</v>
      </c>
      <c r="G232" s="61">
        <v>0</v>
      </c>
      <c r="H232" s="61">
        <v>0</v>
      </c>
      <c r="I232" s="61">
        <v>0</v>
      </c>
      <c r="J232" s="61">
        <v>0</v>
      </c>
      <c r="K232" s="61">
        <v>0</v>
      </c>
      <c r="L232" s="61">
        <v>1390</v>
      </c>
      <c r="M232" s="61">
        <v>0</v>
      </c>
      <c r="N232" s="61">
        <v>1781</v>
      </c>
      <c r="O232" s="378">
        <v>410</v>
      </c>
      <c r="P232" s="378">
        <v>402</v>
      </c>
    </row>
    <row r="233" spans="2:16" ht="16" thickBot="1">
      <c r="B233" s="60" t="s">
        <v>44</v>
      </c>
      <c r="C233" s="61">
        <v>288769</v>
      </c>
      <c r="D233" s="61">
        <v>300348</v>
      </c>
      <c r="E233" s="61">
        <v>489773</v>
      </c>
      <c r="F233" s="61">
        <v>489773</v>
      </c>
      <c r="G233" s="61">
        <v>244886</v>
      </c>
      <c r="H233" s="61">
        <v>310677</v>
      </c>
      <c r="I233" s="61">
        <v>244886</v>
      </c>
      <c r="J233" s="61">
        <v>244886</v>
      </c>
      <c r="K233" s="61">
        <v>244886</v>
      </c>
      <c r="L233" s="61">
        <v>321301</v>
      </c>
      <c r="M233" s="61">
        <v>244886</v>
      </c>
      <c r="N233" s="61">
        <v>244886</v>
      </c>
      <c r="O233" s="378">
        <v>244886</v>
      </c>
      <c r="P233" s="378">
        <v>244886</v>
      </c>
    </row>
    <row r="234" spans="2:16" ht="15.5" thickBot="1">
      <c r="B234" s="58" t="s">
        <v>59</v>
      </c>
      <c r="C234" s="64">
        <f t="shared" ref="C234:N234" si="17">SUM(C220:C233)</f>
        <v>1317577</v>
      </c>
      <c r="D234" s="64">
        <f t="shared" si="17"/>
        <v>1312613</v>
      </c>
      <c r="E234" s="64">
        <f t="shared" si="17"/>
        <v>1504862</v>
      </c>
      <c r="F234" s="64">
        <f t="shared" si="17"/>
        <v>1532384</v>
      </c>
      <c r="G234" s="64">
        <f t="shared" si="17"/>
        <v>1304755</v>
      </c>
      <c r="H234" s="64">
        <f t="shared" si="17"/>
        <v>1349465</v>
      </c>
      <c r="I234" s="64">
        <f t="shared" si="17"/>
        <v>1283775</v>
      </c>
      <c r="J234" s="64">
        <f t="shared" si="17"/>
        <v>1308221</v>
      </c>
      <c r="K234" s="64">
        <f t="shared" si="17"/>
        <v>1354495</v>
      </c>
      <c r="L234" s="64">
        <f t="shared" si="17"/>
        <v>1342872</v>
      </c>
      <c r="M234" s="64">
        <f t="shared" si="17"/>
        <v>1425086</v>
      </c>
      <c r="N234" s="64">
        <f t="shared" si="17"/>
        <v>1319629</v>
      </c>
      <c r="O234" s="389">
        <v>1350473</v>
      </c>
      <c r="P234" s="389">
        <v>1336768</v>
      </c>
    </row>
    <row r="235" spans="2:16" ht="15.5" thickBot="1">
      <c r="B235" s="65" t="s">
        <v>60</v>
      </c>
      <c r="C235" s="66">
        <f t="shared" ref="C235:N235" si="18">+C218+C234</f>
        <v>1397250</v>
      </c>
      <c r="D235" s="66">
        <f t="shared" si="18"/>
        <v>1388889</v>
      </c>
      <c r="E235" s="66">
        <f t="shared" si="18"/>
        <v>1367395</v>
      </c>
      <c r="F235" s="66">
        <f t="shared" si="18"/>
        <v>1361686</v>
      </c>
      <c r="G235" s="66">
        <f t="shared" si="18"/>
        <v>1396890</v>
      </c>
      <c r="H235" s="66">
        <f t="shared" si="18"/>
        <v>1436935</v>
      </c>
      <c r="I235" s="66">
        <f t="shared" si="18"/>
        <v>1432526</v>
      </c>
      <c r="J235" s="66">
        <f t="shared" si="18"/>
        <v>1378188</v>
      </c>
      <c r="K235" s="66">
        <f t="shared" si="18"/>
        <v>1443655</v>
      </c>
      <c r="L235" s="66">
        <f t="shared" si="18"/>
        <v>1452298</v>
      </c>
      <c r="M235" s="66">
        <f t="shared" si="18"/>
        <v>1519466</v>
      </c>
      <c r="N235" s="66">
        <f t="shared" si="18"/>
        <v>1442945</v>
      </c>
      <c r="O235" s="390">
        <v>1480949</v>
      </c>
      <c r="P235" s="390">
        <v>1456659</v>
      </c>
    </row>
    <row r="236" spans="2:16" ht="15.5" thickBot="1">
      <c r="B236" s="67"/>
      <c r="C236" s="68"/>
      <c r="D236" s="68"/>
      <c r="E236" s="68"/>
      <c r="F236" s="68"/>
      <c r="G236" s="68"/>
      <c r="H236" s="68"/>
      <c r="I236" s="68"/>
      <c r="J236" s="68"/>
      <c r="K236" s="68"/>
      <c r="L236" s="68"/>
      <c r="M236" s="68"/>
      <c r="N236" s="68"/>
      <c r="O236" s="391"/>
      <c r="P236" s="391"/>
    </row>
    <row r="237" spans="2:16" ht="15.5" thickBot="1">
      <c r="B237" s="56" t="s">
        <v>61</v>
      </c>
      <c r="C237" s="69"/>
      <c r="D237" s="69"/>
      <c r="E237" s="69"/>
      <c r="F237" s="69"/>
      <c r="G237" s="69"/>
      <c r="H237" s="69"/>
      <c r="I237" s="69"/>
      <c r="J237" s="69"/>
      <c r="K237" s="69"/>
      <c r="L237" s="69"/>
      <c r="M237" s="69"/>
      <c r="N237" s="69"/>
      <c r="O237" s="392"/>
      <c r="P237" s="392"/>
    </row>
    <row r="238" spans="2:16" ht="15.5" thickBot="1">
      <c r="B238" s="58" t="s">
        <v>62</v>
      </c>
      <c r="C238" s="70"/>
      <c r="D238" s="70"/>
      <c r="E238" s="70"/>
      <c r="F238" s="70"/>
      <c r="G238" s="70"/>
      <c r="H238" s="70"/>
      <c r="I238" s="70"/>
      <c r="J238" s="70"/>
      <c r="K238" s="70"/>
      <c r="L238" s="70"/>
      <c r="M238" s="70"/>
      <c r="N238" s="70"/>
      <c r="O238" s="393"/>
      <c r="P238" s="393"/>
    </row>
    <row r="239" spans="2:16" ht="16" thickBot="1">
      <c r="B239" s="60" t="s">
        <v>63</v>
      </c>
      <c r="C239" s="61">
        <f>3192+32107+241</f>
        <v>35540</v>
      </c>
      <c r="D239" s="61">
        <f>3326+16174+247</f>
        <v>19747</v>
      </c>
      <c r="E239" s="61">
        <v>32331</v>
      </c>
      <c r="F239" s="61">
        <v>45412</v>
      </c>
      <c r="G239" s="61">
        <v>67809</v>
      </c>
      <c r="H239" s="61">
        <f>3124+68966+61</f>
        <v>72151</v>
      </c>
      <c r="I239" s="61">
        <v>4273</v>
      </c>
      <c r="J239" s="61">
        <v>4409</v>
      </c>
      <c r="K239" s="61">
        <v>10704</v>
      </c>
      <c r="L239" s="61">
        <f>3211+1500+607</f>
        <v>5318</v>
      </c>
      <c r="M239" s="61">
        <v>4502</v>
      </c>
      <c r="N239" s="61">
        <v>4095</v>
      </c>
      <c r="O239" s="378">
        <v>3568</v>
      </c>
      <c r="P239" s="378">
        <v>83349</v>
      </c>
    </row>
    <row r="240" spans="2:16" ht="16" thickBot="1">
      <c r="B240" s="60" t="s">
        <v>64</v>
      </c>
      <c r="C240" s="61">
        <v>21909</v>
      </c>
      <c r="D240" s="61">
        <v>13740</v>
      </c>
      <c r="E240" s="61">
        <v>76147</v>
      </c>
      <c r="F240" s="61">
        <v>35426</v>
      </c>
      <c r="G240" s="61">
        <v>19747</v>
      </c>
      <c r="H240" s="61">
        <v>29019</v>
      </c>
      <c r="I240" s="61">
        <v>123689</v>
      </c>
      <c r="J240" s="61">
        <v>34403</v>
      </c>
      <c r="K240" s="61">
        <v>20460</v>
      </c>
      <c r="L240" s="61">
        <v>17462</v>
      </c>
      <c r="M240" s="61">
        <v>136328</v>
      </c>
      <c r="N240" s="61">
        <v>46998</v>
      </c>
      <c r="O240" s="378">
        <v>21094</v>
      </c>
      <c r="P240" s="378">
        <v>18522</v>
      </c>
    </row>
    <row r="241" spans="2:16" ht="16" thickBot="1">
      <c r="B241" s="60" t="s">
        <v>108</v>
      </c>
      <c r="C241" s="61">
        <v>0</v>
      </c>
      <c r="D241" s="61">
        <v>915</v>
      </c>
      <c r="E241" s="61"/>
      <c r="F241" s="61"/>
      <c r="G241" s="61"/>
      <c r="H241" s="61">
        <v>1158</v>
      </c>
      <c r="I241" s="61"/>
      <c r="J241" s="61"/>
      <c r="K241" s="61"/>
      <c r="L241" s="61">
        <v>893</v>
      </c>
      <c r="M241" s="61"/>
      <c r="N241" s="61"/>
      <c r="O241" s="378"/>
      <c r="P241" s="378"/>
    </row>
    <row r="242" spans="2:16" ht="16" thickBot="1">
      <c r="B242" s="60" t="s">
        <v>66</v>
      </c>
      <c r="C242" s="61">
        <v>15675</v>
      </c>
      <c r="D242" s="61">
        <v>15904</v>
      </c>
      <c r="E242" s="61">
        <v>15554</v>
      </c>
      <c r="F242" s="61">
        <v>15575</v>
      </c>
      <c r="G242" s="61">
        <v>16199</v>
      </c>
      <c r="H242" s="61">
        <v>15646</v>
      </c>
      <c r="I242" s="61">
        <v>15518</v>
      </c>
      <c r="J242" s="61">
        <v>15388</v>
      </c>
      <c r="K242" s="61">
        <v>16122</v>
      </c>
      <c r="L242" s="61">
        <v>15932</v>
      </c>
      <c r="M242" s="61">
        <v>15810</v>
      </c>
      <c r="N242" s="61">
        <v>15713</v>
      </c>
      <c r="O242" s="378">
        <v>16774</v>
      </c>
      <c r="P242" s="378">
        <v>16244</v>
      </c>
    </row>
    <row r="243" spans="2:16" ht="16" thickBot="1">
      <c r="B243" s="60" t="s">
        <v>41</v>
      </c>
      <c r="C243" s="61">
        <v>16894</v>
      </c>
      <c r="D243" s="61">
        <v>21544</v>
      </c>
      <c r="E243" s="61">
        <v>29275</v>
      </c>
      <c r="F243" s="61">
        <v>24037</v>
      </c>
      <c r="G243" s="61">
        <v>34650</v>
      </c>
      <c r="H243" s="61">
        <v>22000</v>
      </c>
      <c r="I243" s="61">
        <v>28396</v>
      </c>
      <c r="J243" s="61">
        <v>23836</v>
      </c>
      <c r="K243" s="61">
        <v>34338</v>
      </c>
      <c r="L243" s="61">
        <v>18324</v>
      </c>
      <c r="M243" s="61">
        <v>26322</v>
      </c>
      <c r="N243" s="61">
        <v>24365</v>
      </c>
      <c r="O243" s="378">
        <v>35394</v>
      </c>
      <c r="P243" s="378">
        <v>17628</v>
      </c>
    </row>
    <row r="244" spans="2:16" ht="16" thickBot="1">
      <c r="B244" s="60" t="s">
        <v>67</v>
      </c>
      <c r="C244" s="61">
        <v>0</v>
      </c>
      <c r="D244" s="61">
        <v>0</v>
      </c>
      <c r="E244" s="61">
        <v>0</v>
      </c>
      <c r="F244" s="61">
        <v>0</v>
      </c>
      <c r="G244" s="61">
        <v>0</v>
      </c>
      <c r="H244" s="61">
        <v>0</v>
      </c>
      <c r="I244" s="61">
        <v>0</v>
      </c>
      <c r="J244" s="61">
        <v>0</v>
      </c>
      <c r="K244" s="61">
        <v>24</v>
      </c>
      <c r="L244" s="61">
        <v>0</v>
      </c>
      <c r="M244" s="61">
        <v>24</v>
      </c>
      <c r="N244" s="61">
        <v>24</v>
      </c>
      <c r="O244" s="378">
        <v>24</v>
      </c>
      <c r="P244" s="378">
        <v>8714</v>
      </c>
    </row>
    <row r="245" spans="2:16" ht="16" thickBot="1">
      <c r="B245" s="60" t="s">
        <v>68</v>
      </c>
      <c r="C245" s="61">
        <v>0</v>
      </c>
      <c r="D245" s="61">
        <v>0</v>
      </c>
      <c r="E245" s="61">
        <v>49</v>
      </c>
      <c r="F245" s="61">
        <v>49</v>
      </c>
      <c r="G245" s="61">
        <v>47</v>
      </c>
      <c r="H245" s="61">
        <v>0</v>
      </c>
      <c r="I245" s="61">
        <v>45</v>
      </c>
      <c r="J245" s="61">
        <v>45</v>
      </c>
      <c r="K245" s="61">
        <v>45</v>
      </c>
      <c r="L245" s="61">
        <v>0</v>
      </c>
      <c r="M245" s="61">
        <v>46</v>
      </c>
      <c r="N245" s="61">
        <v>2</v>
      </c>
      <c r="O245" s="378">
        <v>2</v>
      </c>
      <c r="P245" s="378">
        <v>2</v>
      </c>
    </row>
    <row r="246" spans="2:16" ht="16" thickBot="1">
      <c r="B246" s="60" t="s">
        <v>96</v>
      </c>
      <c r="C246" s="50">
        <v>0</v>
      </c>
      <c r="D246" s="50">
        <v>0</v>
      </c>
      <c r="E246" s="50">
        <v>0</v>
      </c>
      <c r="F246" s="50">
        <v>0</v>
      </c>
      <c r="G246" s="50">
        <v>0</v>
      </c>
      <c r="H246" s="50">
        <v>0</v>
      </c>
      <c r="I246" s="50">
        <v>0</v>
      </c>
      <c r="J246" s="50">
        <v>0</v>
      </c>
      <c r="K246" s="50">
        <v>0</v>
      </c>
      <c r="L246" s="50">
        <v>0</v>
      </c>
      <c r="M246" s="50">
        <v>0</v>
      </c>
      <c r="N246" s="50">
        <v>0</v>
      </c>
      <c r="O246" s="394">
        <v>0</v>
      </c>
      <c r="P246" s="394"/>
    </row>
    <row r="247" spans="2:16" ht="15.5" thickBot="1">
      <c r="B247" s="58" t="s">
        <v>70</v>
      </c>
      <c r="C247" s="64">
        <f t="shared" ref="C247:N247" si="19">SUM(C239:C246)</f>
        <v>90018</v>
      </c>
      <c r="D247" s="64">
        <f t="shared" si="19"/>
        <v>71850</v>
      </c>
      <c r="E247" s="64">
        <f t="shared" si="19"/>
        <v>153356</v>
      </c>
      <c r="F247" s="64">
        <f t="shared" si="19"/>
        <v>120499</v>
      </c>
      <c r="G247" s="64">
        <f t="shared" si="19"/>
        <v>138452</v>
      </c>
      <c r="H247" s="64">
        <f t="shared" si="19"/>
        <v>139974</v>
      </c>
      <c r="I247" s="64">
        <f t="shared" si="19"/>
        <v>171921</v>
      </c>
      <c r="J247" s="64">
        <f t="shared" si="19"/>
        <v>78081</v>
      </c>
      <c r="K247" s="64">
        <f t="shared" si="19"/>
        <v>81693</v>
      </c>
      <c r="L247" s="64">
        <f t="shared" si="19"/>
        <v>57929</v>
      </c>
      <c r="M247" s="64">
        <f t="shared" si="19"/>
        <v>183032</v>
      </c>
      <c r="N247" s="64">
        <f t="shared" si="19"/>
        <v>91197</v>
      </c>
      <c r="O247" s="389">
        <v>76856</v>
      </c>
      <c r="P247" s="389">
        <v>144459</v>
      </c>
    </row>
    <row r="248" spans="2:16" ht="15.5" thickBot="1">
      <c r="B248" s="71" t="s">
        <v>71</v>
      </c>
      <c r="C248" s="72"/>
      <c r="D248" s="72"/>
      <c r="E248" s="72"/>
      <c r="F248" s="72"/>
      <c r="G248" s="72"/>
      <c r="H248" s="72"/>
      <c r="I248" s="72"/>
      <c r="J248" s="72"/>
      <c r="K248" s="72"/>
      <c r="L248" s="72"/>
      <c r="M248" s="72"/>
      <c r="N248" s="72"/>
      <c r="O248" s="395"/>
      <c r="P248" s="395"/>
    </row>
    <row r="249" spans="2:16" ht="16" thickBot="1">
      <c r="B249" s="60" t="s">
        <v>63</v>
      </c>
      <c r="C249" s="61">
        <f>180000+174250+1</f>
        <v>354251</v>
      </c>
      <c r="D249" s="61">
        <f>180000+159250</f>
        <v>339250</v>
      </c>
      <c r="E249" s="61">
        <v>322250</v>
      </c>
      <c r="F249" s="61">
        <v>305250</v>
      </c>
      <c r="G249" s="61">
        <v>288250</v>
      </c>
      <c r="H249" s="61">
        <f>180000+91250</f>
        <v>271250</v>
      </c>
      <c r="I249" s="61">
        <v>338050</v>
      </c>
      <c r="J249" s="61">
        <v>338050</v>
      </c>
      <c r="K249" s="61">
        <v>338050</v>
      </c>
      <c r="L249" s="61">
        <f>180000+158050</f>
        <v>338050</v>
      </c>
      <c r="M249" s="61">
        <v>338050</v>
      </c>
      <c r="N249" s="61">
        <v>338050</v>
      </c>
      <c r="O249" s="378">
        <v>338050</v>
      </c>
      <c r="P249" s="378">
        <v>258050</v>
      </c>
    </row>
    <row r="250" spans="2:16" ht="16" thickBot="1">
      <c r="B250" s="60" t="s">
        <v>64</v>
      </c>
      <c r="C250" s="61">
        <v>12196</v>
      </c>
      <c r="D250" s="61">
        <v>12120</v>
      </c>
      <c r="E250" s="61">
        <v>12408</v>
      </c>
      <c r="F250" s="61">
        <v>12397</v>
      </c>
      <c r="G250" s="61">
        <v>12333</v>
      </c>
      <c r="H250" s="61">
        <v>12260</v>
      </c>
      <c r="I250" s="61">
        <v>14127</v>
      </c>
      <c r="J250" s="61">
        <v>14159</v>
      </c>
      <c r="K250" s="61">
        <v>14989</v>
      </c>
      <c r="L250" s="61">
        <v>14150</v>
      </c>
      <c r="M250" s="61">
        <v>13976</v>
      </c>
      <c r="N250" s="61">
        <v>14015</v>
      </c>
      <c r="O250" s="378">
        <v>14257</v>
      </c>
      <c r="P250" s="378">
        <v>14073</v>
      </c>
    </row>
    <row r="251" spans="2:16" ht="16" thickBot="1">
      <c r="B251" s="60" t="s">
        <v>72</v>
      </c>
      <c r="C251" s="61">
        <v>0</v>
      </c>
      <c r="D251" s="61">
        <v>0</v>
      </c>
      <c r="E251" s="61">
        <v>0</v>
      </c>
      <c r="F251" s="61">
        <v>0</v>
      </c>
      <c r="G251" s="61">
        <v>0</v>
      </c>
      <c r="H251" s="61">
        <v>0</v>
      </c>
      <c r="I251" s="61">
        <v>0</v>
      </c>
      <c r="J251" s="61">
        <v>0</v>
      </c>
      <c r="K251" s="61">
        <v>0</v>
      </c>
      <c r="L251" s="61">
        <v>0</v>
      </c>
      <c r="M251" s="61">
        <v>0</v>
      </c>
      <c r="N251" s="61">
        <v>0</v>
      </c>
      <c r="O251" s="378">
        <v>0</v>
      </c>
      <c r="P251" s="378"/>
    </row>
    <row r="252" spans="2:16" ht="16" thickBot="1">
      <c r="B252" s="60" t="s">
        <v>66</v>
      </c>
      <c r="C252" s="61">
        <v>147734</v>
      </c>
      <c r="D252" s="61">
        <v>158229</v>
      </c>
      <c r="E252" s="61">
        <v>160161</v>
      </c>
      <c r="F252" s="61">
        <v>161147</v>
      </c>
      <c r="G252" s="61">
        <v>162872</v>
      </c>
      <c r="H252" s="61">
        <v>157153</v>
      </c>
      <c r="I252" s="61">
        <v>158917</v>
      </c>
      <c r="J252" s="61">
        <v>160321</v>
      </c>
      <c r="K252" s="61">
        <v>162128</v>
      </c>
      <c r="L252" s="61">
        <v>162337</v>
      </c>
      <c r="M252" s="61">
        <v>164224</v>
      </c>
      <c r="N252" s="61">
        <v>165858</v>
      </c>
      <c r="O252" s="378">
        <v>168320</v>
      </c>
      <c r="P252" s="378">
        <v>168734</v>
      </c>
    </row>
    <row r="253" spans="2:16" ht="16" thickBot="1">
      <c r="B253" s="60" t="s">
        <v>67</v>
      </c>
      <c r="C253" s="61">
        <v>0</v>
      </c>
      <c r="D253" s="61">
        <v>0</v>
      </c>
      <c r="E253" s="61">
        <v>0</v>
      </c>
      <c r="F253" s="61">
        <v>0</v>
      </c>
      <c r="G253" s="61">
        <v>0</v>
      </c>
      <c r="H253" s="61">
        <v>0</v>
      </c>
      <c r="I253" s="61">
        <v>0</v>
      </c>
      <c r="J253" s="61">
        <v>0</v>
      </c>
      <c r="K253" s="61">
        <v>0</v>
      </c>
      <c r="L253" s="61">
        <v>0</v>
      </c>
      <c r="M253" s="61">
        <v>0</v>
      </c>
      <c r="N253" s="61">
        <v>0</v>
      </c>
      <c r="O253" s="378">
        <v>0</v>
      </c>
      <c r="P253" s="378"/>
    </row>
    <row r="254" spans="2:16" ht="16" thickBot="1">
      <c r="B254" s="60" t="s">
        <v>68</v>
      </c>
      <c r="C254" s="61">
        <v>5611</v>
      </c>
      <c r="D254" s="61">
        <v>5224</v>
      </c>
      <c r="E254" s="61">
        <v>5127</v>
      </c>
      <c r="F254" s="61">
        <v>5030</v>
      </c>
      <c r="G254" s="61">
        <f>4933-3</f>
        <v>4930</v>
      </c>
      <c r="H254" s="61">
        <v>4836</v>
      </c>
      <c r="I254" s="61">
        <v>4739</v>
      </c>
      <c r="J254" s="61">
        <f>4643-3</f>
        <v>4640</v>
      </c>
      <c r="K254" s="61">
        <f>4546-2</f>
        <v>4544</v>
      </c>
      <c r="L254" s="61">
        <f>4449-1</f>
        <v>4448</v>
      </c>
      <c r="M254" s="61">
        <v>4352</v>
      </c>
      <c r="N254" s="61">
        <v>4255</v>
      </c>
      <c r="O254" s="378">
        <v>6280</v>
      </c>
      <c r="P254" s="378">
        <v>6160</v>
      </c>
    </row>
    <row r="255" spans="2:16" ht="16" thickBot="1">
      <c r="B255" s="60" t="s">
        <v>97</v>
      </c>
      <c r="C255" s="61">
        <v>76835</v>
      </c>
      <c r="D255" s="61">
        <v>69535</v>
      </c>
      <c r="E255" s="61">
        <f>68306-2</f>
        <v>68304</v>
      </c>
      <c r="F255" s="61">
        <v>67062</v>
      </c>
      <c r="G255" s="61">
        <v>65392</v>
      </c>
      <c r="H255" s="61">
        <v>59169</v>
      </c>
      <c r="I255" s="61">
        <v>58152</v>
      </c>
      <c r="J255" s="61">
        <v>56908</v>
      </c>
      <c r="K255" s="61">
        <v>55380</v>
      </c>
      <c r="L255" s="61">
        <v>52257</v>
      </c>
      <c r="M255" s="61">
        <v>50120</v>
      </c>
      <c r="N255" s="61">
        <f>50116-2</f>
        <v>50114</v>
      </c>
      <c r="O255" s="378">
        <v>50310</v>
      </c>
      <c r="P255" s="378">
        <v>49074</v>
      </c>
    </row>
    <row r="256" spans="2:16" ht="15.5" thickBot="1">
      <c r="B256" s="58" t="s">
        <v>73</v>
      </c>
      <c r="C256" s="64">
        <f t="shared" ref="C256:N256" si="20">SUM(C249:C255)</f>
        <v>596627</v>
      </c>
      <c r="D256" s="64">
        <f t="shared" si="20"/>
        <v>584358</v>
      </c>
      <c r="E256" s="64">
        <f t="shared" si="20"/>
        <v>568250</v>
      </c>
      <c r="F256" s="64">
        <f t="shared" si="20"/>
        <v>550886</v>
      </c>
      <c r="G256" s="64">
        <f t="shared" si="20"/>
        <v>533777</v>
      </c>
      <c r="H256" s="64">
        <f t="shared" si="20"/>
        <v>504668</v>
      </c>
      <c r="I256" s="64">
        <f t="shared" si="20"/>
        <v>573985</v>
      </c>
      <c r="J256" s="64">
        <f t="shared" si="20"/>
        <v>574078</v>
      </c>
      <c r="K256" s="64">
        <f t="shared" si="20"/>
        <v>575091</v>
      </c>
      <c r="L256" s="64">
        <f t="shared" si="20"/>
        <v>571242</v>
      </c>
      <c r="M256" s="64">
        <f t="shared" si="20"/>
        <v>570722</v>
      </c>
      <c r="N256" s="64">
        <f t="shared" si="20"/>
        <v>572292</v>
      </c>
      <c r="O256" s="389">
        <v>577217</v>
      </c>
      <c r="P256" s="389">
        <v>496091</v>
      </c>
    </row>
    <row r="257" spans="1:16" ht="15.5" thickBot="1">
      <c r="B257" s="65" t="s">
        <v>74</v>
      </c>
      <c r="C257" s="66">
        <f t="shared" ref="C257:N257" si="21">+C247+C256</f>
        <v>686645</v>
      </c>
      <c r="D257" s="66">
        <f t="shared" si="21"/>
        <v>656208</v>
      </c>
      <c r="E257" s="66">
        <f t="shared" si="21"/>
        <v>721606</v>
      </c>
      <c r="F257" s="66">
        <f t="shared" si="21"/>
        <v>671385</v>
      </c>
      <c r="G257" s="66">
        <f t="shared" si="21"/>
        <v>672229</v>
      </c>
      <c r="H257" s="66">
        <f t="shared" si="21"/>
        <v>644642</v>
      </c>
      <c r="I257" s="66">
        <f t="shared" si="21"/>
        <v>745906</v>
      </c>
      <c r="J257" s="66">
        <f t="shared" si="21"/>
        <v>652159</v>
      </c>
      <c r="K257" s="66">
        <f t="shared" si="21"/>
        <v>656784</v>
      </c>
      <c r="L257" s="66">
        <f t="shared" si="21"/>
        <v>629171</v>
      </c>
      <c r="M257" s="66">
        <f t="shared" si="21"/>
        <v>753754</v>
      </c>
      <c r="N257" s="66">
        <f t="shared" si="21"/>
        <v>663489</v>
      </c>
      <c r="O257" s="390">
        <v>654073</v>
      </c>
      <c r="P257" s="390">
        <v>640550</v>
      </c>
    </row>
    <row r="258" spans="1:16" ht="15.5" thickBot="1">
      <c r="B258" s="67"/>
      <c r="C258" s="68"/>
      <c r="D258" s="68"/>
      <c r="E258" s="68"/>
      <c r="F258" s="68"/>
      <c r="G258" s="68"/>
      <c r="H258" s="68"/>
      <c r="I258" s="68"/>
      <c r="J258" s="68"/>
      <c r="K258" s="68"/>
      <c r="L258" s="68"/>
      <c r="M258" s="68"/>
      <c r="N258" s="68"/>
      <c r="O258" s="391"/>
      <c r="P258" s="391"/>
    </row>
    <row r="259" spans="1:16" ht="15.5" thickBot="1">
      <c r="B259" s="73" t="s">
        <v>75</v>
      </c>
      <c r="C259" s="72"/>
      <c r="D259" s="72"/>
      <c r="E259" s="72"/>
      <c r="F259" s="72"/>
      <c r="G259" s="72"/>
      <c r="H259" s="72"/>
      <c r="I259" s="72"/>
      <c r="J259" s="72"/>
      <c r="K259" s="72"/>
      <c r="L259" s="72"/>
      <c r="M259" s="72"/>
      <c r="N259" s="72"/>
      <c r="O259" s="395"/>
      <c r="P259" s="395"/>
    </row>
    <row r="260" spans="1:16" ht="16" thickBot="1">
      <c r="B260" s="60" t="s">
        <v>76</v>
      </c>
      <c r="C260" s="61">
        <v>180974</v>
      </c>
      <c r="D260" s="61">
        <v>180974</v>
      </c>
      <c r="E260" s="61">
        <v>180974</v>
      </c>
      <c r="F260" s="61">
        <v>180974</v>
      </c>
      <c r="G260" s="61">
        <v>180974</v>
      </c>
      <c r="H260" s="61">
        <v>180974</v>
      </c>
      <c r="I260" s="61">
        <v>180974</v>
      </c>
      <c r="J260" s="61">
        <v>180974</v>
      </c>
      <c r="K260" s="61">
        <v>180974</v>
      </c>
      <c r="L260" s="61">
        <v>180974</v>
      </c>
      <c r="M260" s="61">
        <v>180974</v>
      </c>
      <c r="N260" s="61">
        <v>180974</v>
      </c>
      <c r="O260" s="378">
        <v>180974</v>
      </c>
      <c r="P260" s="378">
        <v>180974</v>
      </c>
    </row>
    <row r="261" spans="1:16" ht="16" thickBot="1">
      <c r="B261" s="60" t="s">
        <v>77</v>
      </c>
      <c r="C261" s="61">
        <v>0</v>
      </c>
      <c r="D261" s="61">
        <v>0</v>
      </c>
      <c r="E261" s="61">
        <v>0</v>
      </c>
      <c r="F261" s="61">
        <v>0</v>
      </c>
      <c r="G261" s="61">
        <v>0</v>
      </c>
      <c r="H261" s="61">
        <v>0</v>
      </c>
      <c r="I261" s="61">
        <v>0</v>
      </c>
      <c r="J261" s="61">
        <v>0</v>
      </c>
      <c r="K261" s="61">
        <v>0</v>
      </c>
      <c r="L261" s="61">
        <v>0</v>
      </c>
      <c r="M261" s="61">
        <v>0</v>
      </c>
      <c r="N261" s="61">
        <v>0</v>
      </c>
      <c r="O261" s="378">
        <v>0</v>
      </c>
      <c r="P261" s="378"/>
    </row>
    <row r="262" spans="1:16" ht="16" thickBot="1">
      <c r="B262" s="60" t="s">
        <v>78</v>
      </c>
      <c r="C262" s="61">
        <v>77575</v>
      </c>
      <c r="D262" s="61">
        <v>87483</v>
      </c>
      <c r="E262" s="61">
        <v>96404</v>
      </c>
      <c r="F262" s="61">
        <v>96404</v>
      </c>
      <c r="G262" s="61">
        <v>96404</v>
      </c>
      <c r="H262" s="61">
        <v>96404</v>
      </c>
      <c r="I262" s="61">
        <v>96404</v>
      </c>
      <c r="J262" s="61">
        <v>96404</v>
      </c>
      <c r="K262" s="61">
        <v>96404</v>
      </c>
      <c r="L262" s="61">
        <v>96404</v>
      </c>
      <c r="M262" s="61">
        <v>96404</v>
      </c>
      <c r="N262" s="61">
        <v>96404</v>
      </c>
      <c r="O262" s="378">
        <v>96404</v>
      </c>
      <c r="P262" s="378">
        <v>96404</v>
      </c>
    </row>
    <row r="263" spans="1:16" ht="16" thickBot="1">
      <c r="B263" s="60" t="s">
        <v>79</v>
      </c>
      <c r="C263" s="61">
        <v>281371</v>
      </c>
      <c r="D263" s="61">
        <v>281371</v>
      </c>
      <c r="E263" s="61">
        <v>281371</v>
      </c>
      <c r="F263" s="61">
        <v>281371</v>
      </c>
      <c r="G263" s="61">
        <v>281371</v>
      </c>
      <c r="H263" s="61">
        <v>278777</v>
      </c>
      <c r="I263" s="61">
        <v>278777</v>
      </c>
      <c r="J263" s="61">
        <v>278777</v>
      </c>
      <c r="K263" s="61">
        <v>278777</v>
      </c>
      <c r="L263" s="61">
        <v>278777</v>
      </c>
      <c r="M263" s="61">
        <v>278777</v>
      </c>
      <c r="N263" s="61">
        <v>278777</v>
      </c>
      <c r="O263" s="378">
        <v>278777</v>
      </c>
      <c r="P263" s="378">
        <v>278777</v>
      </c>
    </row>
    <row r="264" spans="1:16" ht="16" thickBot="1">
      <c r="B264" s="60" t="s">
        <v>80</v>
      </c>
      <c r="C264" s="61">
        <v>88762</v>
      </c>
      <c r="D264" s="61">
        <v>107978</v>
      </c>
      <c r="E264" s="61">
        <v>31116</v>
      </c>
      <c r="F264" s="61">
        <v>64014</v>
      </c>
      <c r="G264" s="61">
        <v>95999</v>
      </c>
      <c r="H264" s="61">
        <v>135784</v>
      </c>
      <c r="I264" s="61">
        <v>39650</v>
      </c>
      <c r="J264" s="61">
        <v>78611</v>
      </c>
      <c r="K264" s="61">
        <v>118117</v>
      </c>
      <c r="L264" s="61">
        <v>170619</v>
      </c>
      <c r="M264" s="61">
        <v>40236</v>
      </c>
      <c r="N264" s="61">
        <v>80872</v>
      </c>
      <c r="O264" s="378">
        <v>119388</v>
      </c>
      <c r="P264" s="378">
        <v>146814</v>
      </c>
    </row>
    <row r="265" spans="1:16" ht="16" thickBot="1">
      <c r="B265" s="60" t="s">
        <v>81</v>
      </c>
      <c r="C265" s="61">
        <v>81923</v>
      </c>
      <c r="D265" s="61">
        <v>74875</v>
      </c>
      <c r="E265" s="61">
        <v>55924</v>
      </c>
      <c r="F265" s="61">
        <v>67538</v>
      </c>
      <c r="G265" s="61">
        <v>69913</v>
      </c>
      <c r="H265" s="61">
        <v>100354</v>
      </c>
      <c r="I265" s="61">
        <v>90815</v>
      </c>
      <c r="J265" s="61">
        <v>91263</v>
      </c>
      <c r="K265" s="61">
        <v>112599</v>
      </c>
      <c r="L265" s="61">
        <v>96353</v>
      </c>
      <c r="M265" s="61">
        <v>169321</v>
      </c>
      <c r="N265" s="61">
        <v>142429</v>
      </c>
      <c r="O265" s="378">
        <v>151333</v>
      </c>
      <c r="P265" s="378">
        <v>113140</v>
      </c>
    </row>
    <row r="266" spans="1:16" ht="15.5" thickBot="1">
      <c r="B266" s="58" t="s">
        <v>84</v>
      </c>
      <c r="C266" s="64">
        <f t="shared" ref="C266:N266" si="22">SUM(C260:C265)</f>
        <v>710605</v>
      </c>
      <c r="D266" s="64">
        <f t="shared" si="22"/>
        <v>732681</v>
      </c>
      <c r="E266" s="64">
        <f t="shared" si="22"/>
        <v>645789</v>
      </c>
      <c r="F266" s="64">
        <f t="shared" si="22"/>
        <v>690301</v>
      </c>
      <c r="G266" s="64">
        <f t="shared" si="22"/>
        <v>724661</v>
      </c>
      <c r="H266" s="64">
        <f t="shared" si="22"/>
        <v>792293</v>
      </c>
      <c r="I266" s="64">
        <f t="shared" si="22"/>
        <v>686620</v>
      </c>
      <c r="J266" s="64">
        <f t="shared" si="22"/>
        <v>726029</v>
      </c>
      <c r="K266" s="64">
        <f t="shared" si="22"/>
        <v>786871</v>
      </c>
      <c r="L266" s="64">
        <f t="shared" si="22"/>
        <v>823127</v>
      </c>
      <c r="M266" s="64">
        <f t="shared" si="22"/>
        <v>765712</v>
      </c>
      <c r="N266" s="64">
        <f t="shared" si="22"/>
        <v>779456</v>
      </c>
      <c r="O266" s="389">
        <v>826876</v>
      </c>
      <c r="P266" s="389">
        <v>816109</v>
      </c>
    </row>
    <row r="267" spans="1:16" ht="15.5" thickBot="1">
      <c r="A267" s="225" t="s">
        <v>492</v>
      </c>
      <c r="B267" s="74" t="s">
        <v>85</v>
      </c>
      <c r="C267" s="66">
        <f t="shared" ref="C267:N267" si="23">+C257+C266</f>
        <v>1397250</v>
      </c>
      <c r="D267" s="66">
        <f t="shared" si="23"/>
        <v>1388889</v>
      </c>
      <c r="E267" s="66">
        <f t="shared" si="23"/>
        <v>1367395</v>
      </c>
      <c r="F267" s="66">
        <f t="shared" si="23"/>
        <v>1361686</v>
      </c>
      <c r="G267" s="66">
        <f t="shared" si="23"/>
        <v>1396890</v>
      </c>
      <c r="H267" s="66">
        <f t="shared" si="23"/>
        <v>1436935</v>
      </c>
      <c r="I267" s="66">
        <f t="shared" si="23"/>
        <v>1432526</v>
      </c>
      <c r="J267" s="66">
        <f t="shared" si="23"/>
        <v>1378188</v>
      </c>
      <c r="K267" s="66">
        <f t="shared" si="23"/>
        <v>1443655</v>
      </c>
      <c r="L267" s="66">
        <f t="shared" si="23"/>
        <v>1452298</v>
      </c>
      <c r="M267" s="66">
        <f t="shared" si="23"/>
        <v>1519466</v>
      </c>
      <c r="N267" s="66">
        <f t="shared" si="23"/>
        <v>1442945</v>
      </c>
      <c r="O267" s="390">
        <v>1480949</v>
      </c>
      <c r="P267" s="390">
        <v>1456659</v>
      </c>
    </row>
    <row r="268" spans="1:16">
      <c r="C268" s="160">
        <f>+C235-C257-C266</f>
        <v>0</v>
      </c>
      <c r="D268" s="160">
        <f t="shared" ref="D268:N268" si="24">+D235-D257-D266</f>
        <v>0</v>
      </c>
      <c r="E268" s="160">
        <f t="shared" si="24"/>
        <v>0</v>
      </c>
      <c r="F268" s="160">
        <f t="shared" si="24"/>
        <v>0</v>
      </c>
      <c r="G268" s="160">
        <f t="shared" si="24"/>
        <v>0</v>
      </c>
      <c r="H268" s="160">
        <f t="shared" si="24"/>
        <v>0</v>
      </c>
      <c r="I268" s="160">
        <f t="shared" si="24"/>
        <v>0</v>
      </c>
      <c r="J268" s="160">
        <f t="shared" si="24"/>
        <v>0</v>
      </c>
      <c r="K268" s="160">
        <f t="shared" si="24"/>
        <v>0</v>
      </c>
      <c r="L268" s="160">
        <f t="shared" si="24"/>
        <v>0</v>
      </c>
      <c r="M268" s="160">
        <f t="shared" si="24"/>
        <v>0</v>
      </c>
      <c r="N268" s="160">
        <f t="shared" si="24"/>
        <v>0</v>
      </c>
    </row>
    <row r="269" spans="1:16">
      <c r="C269" s="144">
        <f>+C204-C264</f>
        <v>0</v>
      </c>
      <c r="D269" s="144">
        <f t="shared" ref="D269:E269" si="25">+D204-D264</f>
        <v>0</v>
      </c>
      <c r="E269" s="144">
        <f t="shared" si="25"/>
        <v>0</v>
      </c>
      <c r="F269" s="144">
        <f>+F204+E204-F264</f>
        <v>0</v>
      </c>
      <c r="G269" s="144">
        <f>+G204+F204+E204-G264</f>
        <v>0</v>
      </c>
      <c r="H269" s="144">
        <f>+H204+G204+F204+E204-H264</f>
        <v>0</v>
      </c>
      <c r="I269" s="144">
        <f t="shared" ref="I269" si="26">+I204-I264</f>
        <v>0</v>
      </c>
      <c r="J269" s="144">
        <f>+J204+I204-J264</f>
        <v>0</v>
      </c>
      <c r="K269" s="144">
        <f>+K204+J204+I204-K264</f>
        <v>0</v>
      </c>
      <c r="L269" s="144">
        <f>+L204+K204+J204+I204-L264</f>
        <v>0</v>
      </c>
      <c r="M269" s="144">
        <f t="shared" ref="M269" si="27">+M204-M264</f>
        <v>0</v>
      </c>
      <c r="N269" s="144">
        <f>+N204+M204-N264</f>
        <v>0</v>
      </c>
      <c r="O269" s="144"/>
      <c r="P269" s="144"/>
    </row>
  </sheetData>
  <hyperlinks>
    <hyperlink ref="A1" location="'Table of Contents'!A1" display="Return to Table of Contents" xr:uid="{00000000-0004-0000-0300-000000000000}"/>
  </hyperlinks>
  <pageMargins left="0.7" right="0.7" top="0.75" bottom="0.75" header="0.3" footer="0.3"/>
  <pageSetup orientation="portrait" r:id="rId1"/>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4D680-5CF6-46C5-8150-CB7523EA8C2D}">
  <dimension ref="A1:AA251"/>
  <sheetViews>
    <sheetView showGridLines="0" zoomScale="90" zoomScaleNormal="90" workbookViewId="0">
      <pane xSplit="2" ySplit="7" topLeftCell="K17" activePane="bottomRight" state="frozen"/>
      <selection pane="topRight" activeCell="C1" sqref="C1"/>
      <selection pane="bottomLeft" activeCell="A8" sqref="A8"/>
      <selection pane="bottomRight" activeCell="B253" sqref="B253"/>
    </sheetView>
  </sheetViews>
  <sheetFormatPr baseColWidth="10" defaultColWidth="11.453125" defaultRowHeight="14.5"/>
  <cols>
    <col min="1" max="1" width="5.453125" style="185" customWidth="1"/>
    <col min="2" max="2" width="90.1796875" style="185" customWidth="1"/>
    <col min="3" max="3" width="19" style="185" customWidth="1"/>
    <col min="4" max="4" width="17.54296875" style="185" bestFit="1" customWidth="1"/>
    <col min="5" max="6" width="15.1796875" style="185" customWidth="1"/>
    <col min="7" max="7" width="17.54296875" style="185" bestFit="1" customWidth="1"/>
    <col min="8" max="8" width="17.1796875" style="185" bestFit="1" customWidth="1"/>
    <col min="9" max="9" width="15.1796875" style="185" customWidth="1"/>
    <col min="10" max="10" width="17.1796875" style="185" bestFit="1" customWidth="1"/>
    <col min="11" max="11" width="16" style="185" customWidth="1"/>
    <col min="12" max="12" width="17.81640625" style="185" customWidth="1"/>
    <col min="13" max="13" width="16" style="185" customWidth="1"/>
    <col min="14" max="14" width="18.1796875" style="185" customWidth="1"/>
    <col min="15" max="15" width="18.81640625" style="185" customWidth="1"/>
    <col min="16" max="16" width="18.1796875" style="310" customWidth="1"/>
    <col min="17" max="27" width="11.453125" style="310"/>
    <col min="28" max="16384" width="11.453125" style="185"/>
  </cols>
  <sheetData>
    <row r="1" spans="1:26">
      <c r="A1" s="3" t="s">
        <v>686</v>
      </c>
    </row>
    <row r="3" spans="1:26" ht="15">
      <c r="B3" s="212" t="s">
        <v>1125</v>
      </c>
      <c r="P3" s="622"/>
      <c r="Q3" s="622"/>
      <c r="R3" s="622"/>
      <c r="S3" s="622"/>
      <c r="T3" s="622"/>
      <c r="U3" s="622"/>
      <c r="V3" s="622"/>
      <c r="W3" s="622"/>
      <c r="X3" s="622"/>
      <c r="Y3" s="622"/>
      <c r="Z3" s="622"/>
    </row>
    <row r="4" spans="1:26" ht="15">
      <c r="B4" s="21" t="s">
        <v>535</v>
      </c>
    </row>
    <row r="6" spans="1:26">
      <c r="B6" s="657"/>
      <c r="C6" s="623" t="s">
        <v>711</v>
      </c>
      <c r="D6" s="623"/>
      <c r="E6" s="623"/>
      <c r="F6" s="623"/>
      <c r="G6" s="623"/>
      <c r="H6" s="623"/>
      <c r="I6" s="623"/>
      <c r="J6" s="623"/>
      <c r="K6" s="623"/>
      <c r="L6" s="623"/>
      <c r="M6" s="623"/>
      <c r="N6" s="623"/>
      <c r="O6" s="623"/>
      <c r="P6" s="623"/>
    </row>
    <row r="7" spans="1:26">
      <c r="B7" s="657"/>
      <c r="C7" s="314">
        <v>2016</v>
      </c>
      <c r="D7" s="315">
        <v>2017</v>
      </c>
      <c r="E7" s="315" t="s">
        <v>712</v>
      </c>
      <c r="F7" s="315" t="s">
        <v>713</v>
      </c>
      <c r="G7" s="315" t="s">
        <v>714</v>
      </c>
      <c r="H7" s="315" t="s">
        <v>715</v>
      </c>
      <c r="I7" s="315" t="s">
        <v>716</v>
      </c>
      <c r="J7" s="315" t="s">
        <v>717</v>
      </c>
      <c r="K7" s="315" t="s">
        <v>718</v>
      </c>
      <c r="L7" s="315" t="s">
        <v>719</v>
      </c>
      <c r="M7" s="315" t="s">
        <v>720</v>
      </c>
      <c r="N7" s="315" t="s">
        <v>721</v>
      </c>
      <c r="O7" s="315" t="s">
        <v>685</v>
      </c>
      <c r="P7" s="315" t="s">
        <v>1111</v>
      </c>
    </row>
    <row r="8" spans="1:26">
      <c r="B8" s="179" t="s">
        <v>722</v>
      </c>
      <c r="C8" s="226">
        <v>8774335.9359499998</v>
      </c>
      <c r="D8" s="226">
        <v>3050501.9190743743</v>
      </c>
      <c r="E8" s="226">
        <v>627253</v>
      </c>
      <c r="F8" s="226">
        <v>665797</v>
      </c>
      <c r="G8" s="226">
        <v>1290219</v>
      </c>
      <c r="H8" s="226">
        <v>1108302</v>
      </c>
      <c r="I8" s="226">
        <v>846080</v>
      </c>
      <c r="J8" s="226">
        <v>1094524</v>
      </c>
      <c r="K8" s="226">
        <f>SUM(K9:K13)</f>
        <v>855963</v>
      </c>
      <c r="L8" s="624">
        <f>SUM(L9:L13)</f>
        <v>1018898</v>
      </c>
      <c r="M8" s="226">
        <v>917154</v>
      </c>
      <c r="N8" s="226">
        <v>1723910</v>
      </c>
      <c r="O8" s="226">
        <f>SUM(O9:O13)</f>
        <v>1204440</v>
      </c>
      <c r="P8" s="625">
        <f t="shared" ref="P8" si="0">SUM(P9:P13)</f>
        <v>382214</v>
      </c>
    </row>
    <row r="9" spans="1:26">
      <c r="B9" s="179" t="s">
        <v>723</v>
      </c>
      <c r="C9" s="226">
        <v>171901.93595000001</v>
      </c>
      <c r="D9" s="226">
        <v>247126</v>
      </c>
      <c r="E9" s="226">
        <v>80136</v>
      </c>
      <c r="F9" s="226">
        <v>113491</v>
      </c>
      <c r="G9" s="226">
        <v>80464</v>
      </c>
      <c r="H9" s="226">
        <v>113024</v>
      </c>
      <c r="I9" s="226">
        <v>72374</v>
      </c>
      <c r="J9" s="226">
        <v>145664</v>
      </c>
      <c r="K9" s="226">
        <v>178632</v>
      </c>
      <c r="L9" s="624">
        <v>411855</v>
      </c>
      <c r="M9" s="226">
        <v>146642</v>
      </c>
      <c r="N9" s="226">
        <v>198081</v>
      </c>
      <c r="O9" s="226">
        <v>207091</v>
      </c>
      <c r="P9" s="625">
        <v>583719</v>
      </c>
    </row>
    <row r="10" spans="1:26">
      <c r="B10" s="179" t="s">
        <v>724</v>
      </c>
      <c r="C10" s="226">
        <v>835786</v>
      </c>
      <c r="D10" s="226">
        <v>880901</v>
      </c>
      <c r="E10" s="226">
        <v>235019</v>
      </c>
      <c r="F10" s="226">
        <v>242854</v>
      </c>
      <c r="G10" s="226">
        <v>276953</v>
      </c>
      <c r="H10" s="226">
        <v>287708</v>
      </c>
      <c r="I10" s="226">
        <v>282515</v>
      </c>
      <c r="J10" s="226">
        <v>277434</v>
      </c>
      <c r="K10" s="226">
        <v>250903</v>
      </c>
      <c r="L10" s="624">
        <v>297668</v>
      </c>
      <c r="M10" s="226">
        <v>297169</v>
      </c>
      <c r="N10" s="226">
        <v>170126</v>
      </c>
      <c r="O10" s="226">
        <v>271689</v>
      </c>
      <c r="P10" s="625">
        <v>332142</v>
      </c>
    </row>
    <row r="11" spans="1:26">
      <c r="B11" s="179" t="s">
        <v>1117</v>
      </c>
      <c r="C11" s="226"/>
      <c r="D11" s="226"/>
      <c r="E11" s="226"/>
      <c r="F11" s="226"/>
      <c r="G11" s="226"/>
      <c r="H11" s="226"/>
      <c r="I11" s="226"/>
      <c r="J11" s="226"/>
      <c r="K11" s="226"/>
      <c r="L11" s="624">
        <v>464490</v>
      </c>
      <c r="M11" s="226"/>
      <c r="N11" s="226"/>
      <c r="O11" s="226"/>
      <c r="P11" s="625">
        <v>152998</v>
      </c>
    </row>
    <row r="12" spans="1:26">
      <c r="B12" s="179" t="s">
        <v>725</v>
      </c>
      <c r="C12" s="226">
        <v>7743248</v>
      </c>
      <c r="D12" s="226">
        <v>1896406</v>
      </c>
      <c r="E12" s="226">
        <v>305366</v>
      </c>
      <c r="F12" s="226">
        <v>302657</v>
      </c>
      <c r="G12" s="226">
        <v>926265</v>
      </c>
      <c r="H12" s="226">
        <v>700729</v>
      </c>
      <c r="I12" s="226">
        <v>484169</v>
      </c>
      <c r="J12" s="226">
        <v>664271</v>
      </c>
      <c r="K12" s="226">
        <v>416548</v>
      </c>
      <c r="L12" s="226">
        <v>-162906</v>
      </c>
      <c r="M12" s="226">
        <v>465643</v>
      </c>
      <c r="N12" s="226">
        <v>1348221</v>
      </c>
      <c r="O12" s="226">
        <v>713957</v>
      </c>
      <c r="P12" s="226">
        <v>-694981</v>
      </c>
    </row>
    <row r="13" spans="1:26">
      <c r="B13" s="179" t="s">
        <v>726</v>
      </c>
      <c r="C13" s="226">
        <v>23400</v>
      </c>
      <c r="D13" s="226">
        <v>26068</v>
      </c>
      <c r="E13" s="226">
        <v>6732</v>
      </c>
      <c r="F13" s="226">
        <v>6795</v>
      </c>
      <c r="G13" s="226">
        <v>6537</v>
      </c>
      <c r="H13" s="226">
        <v>6841</v>
      </c>
      <c r="I13" s="226">
        <v>7022</v>
      </c>
      <c r="J13" s="226">
        <v>7155</v>
      </c>
      <c r="K13" s="226">
        <v>9880</v>
      </c>
      <c r="L13" s="624">
        <v>7791</v>
      </c>
      <c r="M13" s="226">
        <v>7700</v>
      </c>
      <c r="N13" s="226">
        <v>7482</v>
      </c>
      <c r="O13" s="226">
        <v>11703</v>
      </c>
      <c r="P13" s="625">
        <v>8336</v>
      </c>
    </row>
    <row r="14" spans="1:26">
      <c r="B14" s="182" t="s">
        <v>727</v>
      </c>
      <c r="C14" s="226">
        <v>-988720</v>
      </c>
      <c r="D14" s="226">
        <v>-349308</v>
      </c>
      <c r="E14" s="226">
        <v>-80646</v>
      </c>
      <c r="F14" s="226">
        <v>-85196</v>
      </c>
      <c r="G14" s="226">
        <v>-154868</v>
      </c>
      <c r="H14" s="226">
        <v>-136874</v>
      </c>
      <c r="I14" s="226">
        <v>-113784</v>
      </c>
      <c r="J14" s="226">
        <v>-134732</v>
      </c>
      <c r="K14" s="226">
        <v>-119137</v>
      </c>
      <c r="L14" s="226">
        <v>-115950</v>
      </c>
      <c r="M14" s="226">
        <v>-111651</v>
      </c>
      <c r="N14" s="226">
        <v>-205839</v>
      </c>
      <c r="O14" s="226">
        <v>-132865</v>
      </c>
      <c r="P14" s="226">
        <v>-80936</v>
      </c>
    </row>
    <row r="15" spans="1:26">
      <c r="B15" s="316" t="s">
        <v>728</v>
      </c>
      <c r="C15" s="317">
        <f>SUM(C9:C14)</f>
        <v>7785615.9359499998</v>
      </c>
      <c r="D15" s="317">
        <f t="shared" ref="D15:P15" si="1">SUM(D9:D14)</f>
        <v>2701193</v>
      </c>
      <c r="E15" s="317">
        <f t="shared" si="1"/>
        <v>546607</v>
      </c>
      <c r="F15" s="317">
        <f t="shared" si="1"/>
        <v>580601</v>
      </c>
      <c r="G15" s="317">
        <f t="shared" si="1"/>
        <v>1135351</v>
      </c>
      <c r="H15" s="317">
        <f t="shared" si="1"/>
        <v>971428</v>
      </c>
      <c r="I15" s="317">
        <f t="shared" si="1"/>
        <v>732296</v>
      </c>
      <c r="J15" s="317">
        <f t="shared" si="1"/>
        <v>959792</v>
      </c>
      <c r="K15" s="317">
        <f t="shared" si="1"/>
        <v>736826</v>
      </c>
      <c r="L15" s="317">
        <f>SUM(L9:L14)</f>
        <v>902948</v>
      </c>
      <c r="M15" s="317">
        <f t="shared" si="1"/>
        <v>805503</v>
      </c>
      <c r="N15" s="317">
        <f t="shared" si="1"/>
        <v>1518071</v>
      </c>
      <c r="O15" s="317">
        <f t="shared" si="1"/>
        <v>1071575</v>
      </c>
      <c r="P15" s="626">
        <f t="shared" si="1"/>
        <v>301278</v>
      </c>
    </row>
    <row r="16" spans="1:26">
      <c r="B16" s="182" t="s">
        <v>729</v>
      </c>
      <c r="C16" s="226">
        <f>SUM(C17:C21)</f>
        <v>-448802</v>
      </c>
      <c r="D16" s="226">
        <f t="shared" ref="D16:O16" si="2">SUM(D17:D21)</f>
        <v>-723671.99031999998</v>
      </c>
      <c r="E16" s="226">
        <f t="shared" si="2"/>
        <v>-190804</v>
      </c>
      <c r="F16" s="226">
        <f t="shared" si="2"/>
        <v>-229809</v>
      </c>
      <c r="G16" s="226">
        <f t="shared" si="2"/>
        <v>-196145</v>
      </c>
      <c r="H16" s="226">
        <f t="shared" si="2"/>
        <v>-275125</v>
      </c>
      <c r="I16" s="226">
        <f t="shared" si="2"/>
        <v>-202375</v>
      </c>
      <c r="J16" s="226">
        <f t="shared" si="2"/>
        <v>-309539</v>
      </c>
      <c r="K16" s="226">
        <f t="shared" si="2"/>
        <v>-325485</v>
      </c>
      <c r="L16" s="226">
        <f>SUM(L17:L22)</f>
        <v>-336604</v>
      </c>
      <c r="M16" s="226">
        <f t="shared" si="2"/>
        <v>-268335</v>
      </c>
      <c r="N16" s="226">
        <f t="shared" si="2"/>
        <v>-321436</v>
      </c>
      <c r="O16" s="226">
        <f t="shared" si="2"/>
        <v>-375755</v>
      </c>
      <c r="P16" s="625">
        <f>SUM(P17:P22)</f>
        <v>1053645</v>
      </c>
    </row>
    <row r="17" spans="2:16">
      <c r="B17" s="179" t="s">
        <v>730</v>
      </c>
      <c r="C17" s="226">
        <v>-295948</v>
      </c>
      <c r="D17" s="226">
        <v>-315320</v>
      </c>
      <c r="E17" s="226">
        <v>-81033</v>
      </c>
      <c r="F17" s="226">
        <v>-84181</v>
      </c>
      <c r="G17" s="226">
        <v>-82624</v>
      </c>
      <c r="H17" s="226">
        <v>-87689</v>
      </c>
      <c r="I17" s="226">
        <v>-86137</v>
      </c>
      <c r="J17" s="226">
        <v>-89075</v>
      </c>
      <c r="K17" s="226">
        <v>-90124</v>
      </c>
      <c r="L17" s="226">
        <v>-82017</v>
      </c>
      <c r="M17" s="226">
        <v>-77351</v>
      </c>
      <c r="N17" s="226">
        <v>-80005</v>
      </c>
      <c r="O17" s="226">
        <v>-82944</v>
      </c>
      <c r="P17" s="226">
        <v>-100926</v>
      </c>
    </row>
    <row r="18" spans="2:16">
      <c r="B18" s="179" t="s">
        <v>731</v>
      </c>
      <c r="C18" s="226">
        <v>-86643</v>
      </c>
      <c r="D18" s="226">
        <v>-186476</v>
      </c>
      <c r="E18" s="226">
        <v>-60873</v>
      </c>
      <c r="F18" s="226">
        <v>-79603</v>
      </c>
      <c r="G18" s="226">
        <v>-40385</v>
      </c>
      <c r="H18" s="226">
        <v>-69667</v>
      </c>
      <c r="I18" s="226">
        <v>-47151</v>
      </c>
      <c r="J18" s="226">
        <v>-94527</v>
      </c>
      <c r="K18" s="226">
        <v>-119044</v>
      </c>
      <c r="L18" s="226">
        <v>-127574</v>
      </c>
      <c r="M18" s="226">
        <v>-103860</v>
      </c>
      <c r="N18" s="226">
        <v>-146909</v>
      </c>
      <c r="O18" s="226">
        <v>-100144</v>
      </c>
      <c r="P18" s="226">
        <v>-104994</v>
      </c>
    </row>
    <row r="19" spans="2:16">
      <c r="B19" s="179" t="s">
        <v>732</v>
      </c>
      <c r="C19" s="226"/>
      <c r="D19" s="226">
        <v>-173818.99032000001</v>
      </c>
      <c r="E19" s="226">
        <v>-37990</v>
      </c>
      <c r="F19" s="226">
        <v>-53464</v>
      </c>
      <c r="G19" s="226">
        <v>-59688</v>
      </c>
      <c r="H19" s="226">
        <v>-90811</v>
      </c>
      <c r="I19" s="226">
        <v>-48025</v>
      </c>
      <c r="J19" s="226">
        <v>-93523</v>
      </c>
      <c r="K19" s="226">
        <v>-92669</v>
      </c>
      <c r="L19" s="226">
        <v>-82129</v>
      </c>
      <c r="M19" s="226">
        <v>-63413</v>
      </c>
      <c r="N19" s="226">
        <v>-71989</v>
      </c>
      <c r="O19" s="226">
        <v>-121380</v>
      </c>
      <c r="P19" s="226">
        <v>-155094</v>
      </c>
    </row>
    <row r="20" spans="2:16">
      <c r="B20" s="179" t="s">
        <v>733</v>
      </c>
      <c r="C20" s="226" t="s">
        <v>493</v>
      </c>
      <c r="D20" s="226">
        <v>-9626</v>
      </c>
      <c r="E20" s="226"/>
      <c r="F20" s="226">
        <v>-2232</v>
      </c>
      <c r="G20" s="226">
        <v>-2261</v>
      </c>
      <c r="H20" s="226">
        <v>-2486</v>
      </c>
      <c r="I20" s="226">
        <v>-5242</v>
      </c>
      <c r="J20" s="226">
        <v>-5160</v>
      </c>
      <c r="K20" s="226">
        <v>-5014</v>
      </c>
      <c r="L20" s="226">
        <v>-4547</v>
      </c>
      <c r="M20" s="226">
        <v>-4468</v>
      </c>
      <c r="N20" s="226">
        <v>-4697</v>
      </c>
      <c r="O20" s="226">
        <v>-5121</v>
      </c>
      <c r="P20" s="226">
        <v>-5505</v>
      </c>
    </row>
    <row r="21" spans="2:16">
      <c r="B21" s="179" t="s">
        <v>726</v>
      </c>
      <c r="C21" s="226">
        <v>-66211</v>
      </c>
      <c r="D21" s="226">
        <v>-38431</v>
      </c>
      <c r="E21" s="226">
        <v>-10908</v>
      </c>
      <c r="F21" s="226">
        <v>-10329</v>
      </c>
      <c r="G21" s="226">
        <v>-11187</v>
      </c>
      <c r="H21" s="226">
        <v>-24472</v>
      </c>
      <c r="I21" s="226">
        <v>-15820</v>
      </c>
      <c r="J21" s="226">
        <v>-27254</v>
      </c>
      <c r="K21" s="226">
        <v>-18634</v>
      </c>
      <c r="L21" s="226">
        <v>-13630</v>
      </c>
      <c r="M21" s="226">
        <v>-19243</v>
      </c>
      <c r="N21" s="226">
        <v>-17836</v>
      </c>
      <c r="O21" s="226">
        <v>-66166</v>
      </c>
      <c r="P21" s="226">
        <v>-57458</v>
      </c>
    </row>
    <row r="22" spans="2:16">
      <c r="B22" s="179" t="s">
        <v>1118</v>
      </c>
      <c r="C22" s="226"/>
      <c r="D22" s="226"/>
      <c r="E22" s="226"/>
      <c r="F22" s="226"/>
      <c r="G22" s="226"/>
      <c r="H22" s="226"/>
      <c r="I22" s="226"/>
      <c r="J22" s="226"/>
      <c r="K22" s="226"/>
      <c r="L22" s="226">
        <v>-26707</v>
      </c>
      <c r="M22" s="226"/>
      <c r="N22" s="226"/>
      <c r="O22" s="226"/>
      <c r="P22" s="625">
        <v>1477622</v>
      </c>
    </row>
    <row r="23" spans="2:16">
      <c r="B23" s="316" t="s">
        <v>734</v>
      </c>
      <c r="C23" s="317">
        <f>SUM(C15:C16)</f>
        <v>7336813.9359499998</v>
      </c>
      <c r="D23" s="317">
        <f>SUM(D15:D16)</f>
        <v>1977521.0096800001</v>
      </c>
      <c r="E23" s="317">
        <f t="shared" ref="E23:O23" si="3">SUM(E15:E16)</f>
        <v>355803</v>
      </c>
      <c r="F23" s="317">
        <f t="shared" si="3"/>
        <v>350792</v>
      </c>
      <c r="G23" s="317">
        <f t="shared" si="3"/>
        <v>939206</v>
      </c>
      <c r="H23" s="317">
        <f t="shared" si="3"/>
        <v>696303</v>
      </c>
      <c r="I23" s="317">
        <f t="shared" si="3"/>
        <v>529921</v>
      </c>
      <c r="J23" s="317">
        <f t="shared" si="3"/>
        <v>650253</v>
      </c>
      <c r="K23" s="317">
        <f t="shared" si="3"/>
        <v>411341</v>
      </c>
      <c r="L23" s="317">
        <f>SUM(L15:L16)</f>
        <v>566344</v>
      </c>
      <c r="M23" s="317">
        <f t="shared" si="3"/>
        <v>537168</v>
      </c>
      <c r="N23" s="317">
        <f t="shared" si="3"/>
        <v>1196635</v>
      </c>
      <c r="O23" s="317">
        <f t="shared" si="3"/>
        <v>695820</v>
      </c>
      <c r="P23" s="626">
        <f>SUM(P15:P16)</f>
        <v>1354923</v>
      </c>
    </row>
    <row r="24" spans="2:16">
      <c r="B24" s="182" t="s">
        <v>735</v>
      </c>
      <c r="C24" s="226">
        <f>SUM(C25:C29)</f>
        <v>-109929</v>
      </c>
      <c r="D24" s="226">
        <f t="shared" ref="D24:P24" si="4">SUM(D25:D29)</f>
        <v>-66216</v>
      </c>
      <c r="E24" s="226">
        <f t="shared" si="4"/>
        <v>-35293</v>
      </c>
      <c r="F24" s="226">
        <f t="shared" si="4"/>
        <v>-25692</v>
      </c>
      <c r="G24" s="226">
        <f t="shared" si="4"/>
        <v>-49331</v>
      </c>
      <c r="H24" s="226">
        <f t="shared" si="4"/>
        <v>-31898</v>
      </c>
      <c r="I24" s="226">
        <f t="shared" si="4"/>
        <v>-54876</v>
      </c>
      <c r="J24" s="226">
        <f t="shared" si="4"/>
        <v>-49160</v>
      </c>
      <c r="K24" s="226">
        <f t="shared" si="4"/>
        <v>-34802</v>
      </c>
      <c r="L24" s="226">
        <f t="shared" si="4"/>
        <v>-46421</v>
      </c>
      <c r="M24" s="226">
        <f t="shared" si="4"/>
        <v>-49311</v>
      </c>
      <c r="N24" s="226">
        <f t="shared" si="4"/>
        <v>-27825</v>
      </c>
      <c r="O24" s="226">
        <f t="shared" si="4"/>
        <v>-54557</v>
      </c>
      <c r="P24" s="226">
        <f t="shared" si="4"/>
        <v>-77482</v>
      </c>
    </row>
    <row r="25" spans="2:16">
      <c r="B25" s="179" t="s">
        <v>736</v>
      </c>
      <c r="C25" s="226">
        <v>68032</v>
      </c>
      <c r="D25" s="226">
        <v>43907</v>
      </c>
      <c r="E25" s="226">
        <v>10929</v>
      </c>
      <c r="F25" s="226">
        <v>18347</v>
      </c>
      <c r="G25" s="226">
        <v>19329</v>
      </c>
      <c r="H25" s="226">
        <v>25950</v>
      </c>
      <c r="I25" s="226">
        <v>14183</v>
      </c>
      <c r="J25" s="226">
        <v>18601</v>
      </c>
      <c r="K25" s="226">
        <v>19911</v>
      </c>
      <c r="L25" s="226">
        <v>13050</v>
      </c>
      <c r="M25" s="226">
        <v>21983</v>
      </c>
      <c r="N25" s="226">
        <v>10446</v>
      </c>
      <c r="O25" s="226">
        <v>8539</v>
      </c>
      <c r="P25" s="625">
        <v>8279</v>
      </c>
    </row>
    <row r="26" spans="2:16">
      <c r="B26" s="179" t="s">
        <v>737</v>
      </c>
      <c r="C26" s="226">
        <v>-33902</v>
      </c>
      <c r="D26" s="226">
        <v>-31989</v>
      </c>
      <c r="E26" s="226">
        <v>-11252</v>
      </c>
      <c r="F26" s="226">
        <v>-6447</v>
      </c>
      <c r="G26" s="226">
        <v>-17390</v>
      </c>
      <c r="H26" s="226">
        <v>-10500</v>
      </c>
      <c r="I26" s="226">
        <v>-15154</v>
      </c>
      <c r="J26" s="226">
        <v>-17631</v>
      </c>
      <c r="K26" s="226">
        <v>-6225</v>
      </c>
      <c r="L26" s="226">
        <v>-7350</v>
      </c>
      <c r="M26" s="226">
        <v>-26159</v>
      </c>
      <c r="N26" s="226">
        <v>9032</v>
      </c>
      <c r="O26" s="226">
        <v>-15182</v>
      </c>
      <c r="P26" s="226">
        <v>-42922</v>
      </c>
    </row>
    <row r="27" spans="2:16">
      <c r="B27" s="179" t="s">
        <v>738</v>
      </c>
      <c r="C27" s="226" t="s">
        <v>493</v>
      </c>
      <c r="D27" s="226">
        <v>-10483</v>
      </c>
      <c r="E27" s="226"/>
      <c r="F27" s="226">
        <v>-580</v>
      </c>
      <c r="G27" s="226">
        <v>-599</v>
      </c>
      <c r="H27" s="226">
        <v>-554</v>
      </c>
      <c r="I27" s="226">
        <v>-205</v>
      </c>
      <c r="J27" s="226">
        <v>-622</v>
      </c>
      <c r="K27" s="226">
        <v>-626</v>
      </c>
      <c r="L27" s="226">
        <v>-667</v>
      </c>
      <c r="M27" s="226">
        <v>-418</v>
      </c>
      <c r="N27" s="226">
        <v>-656</v>
      </c>
      <c r="O27" s="226">
        <v>-613</v>
      </c>
      <c r="P27" s="226">
        <v>-622</v>
      </c>
    </row>
    <row r="28" spans="2:16">
      <c r="B28" s="179" t="s">
        <v>739</v>
      </c>
      <c r="C28" s="226">
        <v>-143799</v>
      </c>
      <c r="D28" s="226">
        <v>-111504</v>
      </c>
      <c r="E28" s="226">
        <v>-32327</v>
      </c>
      <c r="F28" s="226">
        <v>-35052</v>
      </c>
      <c r="G28" s="226">
        <v>-40182</v>
      </c>
      <c r="H28" s="226">
        <v>-39491</v>
      </c>
      <c r="I28" s="226">
        <v>-36827</v>
      </c>
      <c r="J28" s="226">
        <v>-36411</v>
      </c>
      <c r="K28" s="226">
        <v>-37561</v>
      </c>
      <c r="L28" s="226">
        <v>-36423</v>
      </c>
      <c r="M28" s="226">
        <v>-37261</v>
      </c>
      <c r="N28" s="226">
        <v>-41114</v>
      </c>
      <c r="O28" s="226">
        <v>-46828</v>
      </c>
      <c r="P28" s="226">
        <v>-43062</v>
      </c>
    </row>
    <row r="29" spans="2:16">
      <c r="B29" s="182" t="s">
        <v>726</v>
      </c>
      <c r="C29" s="226">
        <v>-260</v>
      </c>
      <c r="D29" s="226">
        <v>43853</v>
      </c>
      <c r="E29" s="226">
        <v>-2643</v>
      </c>
      <c r="F29" s="226">
        <v>-1960</v>
      </c>
      <c r="G29" s="226">
        <v>-10489</v>
      </c>
      <c r="H29" s="226">
        <v>-7303</v>
      </c>
      <c r="I29" s="226">
        <v>-16873</v>
      </c>
      <c r="J29" s="226">
        <v>-13097</v>
      </c>
      <c r="K29" s="226">
        <v>-10301</v>
      </c>
      <c r="L29" s="226">
        <v>-15031</v>
      </c>
      <c r="M29" s="226">
        <v>-7456</v>
      </c>
      <c r="N29" s="226">
        <v>-5533</v>
      </c>
      <c r="O29" s="226">
        <v>-473</v>
      </c>
      <c r="P29" s="625">
        <v>845</v>
      </c>
    </row>
    <row r="30" spans="2:16">
      <c r="B30" s="316" t="s">
        <v>740</v>
      </c>
      <c r="C30" s="317">
        <f>SUM(C23:C24)</f>
        <v>7226884.9359499998</v>
      </c>
      <c r="D30" s="317">
        <f>SUM(D23:D24)</f>
        <v>1911305.0096800001</v>
      </c>
      <c r="E30" s="317">
        <f t="shared" ref="E30:P30" si="5">SUM(E23:E24)</f>
        <v>320510</v>
      </c>
      <c r="F30" s="317">
        <f t="shared" si="5"/>
        <v>325100</v>
      </c>
      <c r="G30" s="317">
        <f t="shared" si="5"/>
        <v>889875</v>
      </c>
      <c r="H30" s="317">
        <f t="shared" si="5"/>
        <v>664405</v>
      </c>
      <c r="I30" s="317">
        <f t="shared" si="5"/>
        <v>475045</v>
      </c>
      <c r="J30" s="317">
        <f t="shared" si="5"/>
        <v>601093</v>
      </c>
      <c r="K30" s="317">
        <f t="shared" si="5"/>
        <v>376539</v>
      </c>
      <c r="L30" s="317">
        <f t="shared" si="5"/>
        <v>519923</v>
      </c>
      <c r="M30" s="317">
        <f t="shared" si="5"/>
        <v>487857</v>
      </c>
      <c r="N30" s="317">
        <f t="shared" si="5"/>
        <v>1168810</v>
      </c>
      <c r="O30" s="317">
        <f t="shared" si="5"/>
        <v>641263</v>
      </c>
      <c r="P30" s="626">
        <f t="shared" si="5"/>
        <v>1277441</v>
      </c>
    </row>
    <row r="31" spans="2:16">
      <c r="B31" s="179" t="s">
        <v>741</v>
      </c>
      <c r="C31" s="226">
        <v>267706.06404999999</v>
      </c>
      <c r="D31" s="226">
        <v>124806.38085220339</v>
      </c>
      <c r="E31" s="226">
        <v>20872</v>
      </c>
      <c r="F31" s="226">
        <v>26757</v>
      </c>
      <c r="G31" s="226">
        <v>95427</v>
      </c>
      <c r="H31" s="226">
        <v>63830</v>
      </c>
      <c r="I31" s="226">
        <v>34028</v>
      </c>
      <c r="J31" s="226">
        <v>47699</v>
      </c>
      <c r="K31" s="226">
        <v>47941</v>
      </c>
      <c r="L31" s="226">
        <v>50120</v>
      </c>
      <c r="M31" s="226">
        <v>62516</v>
      </c>
      <c r="N31" s="226">
        <v>-95475</v>
      </c>
      <c r="O31" s="226">
        <v>32657</v>
      </c>
      <c r="P31" s="625">
        <v>472827</v>
      </c>
    </row>
    <row r="32" spans="2:16">
      <c r="B32" s="179" t="s">
        <v>742</v>
      </c>
      <c r="C32" s="226">
        <v>-27939</v>
      </c>
      <c r="D32" s="226">
        <v>-55006</v>
      </c>
      <c r="E32" s="226">
        <v>4722</v>
      </c>
      <c r="F32" s="226">
        <v>-32</v>
      </c>
      <c r="G32" s="226">
        <v>-24446</v>
      </c>
      <c r="H32" s="226">
        <v>-14980</v>
      </c>
      <c r="I32" s="226">
        <v>191</v>
      </c>
      <c r="J32" s="226">
        <v>2569</v>
      </c>
      <c r="K32" s="226">
        <v>872</v>
      </c>
      <c r="L32" s="226">
        <v>-107</v>
      </c>
      <c r="M32" s="226">
        <v>4662</v>
      </c>
      <c r="N32" s="226">
        <v>146652</v>
      </c>
      <c r="O32" s="226">
        <v>-4511</v>
      </c>
      <c r="P32" s="625">
        <v>23368</v>
      </c>
    </row>
    <row r="33" spans="2:16">
      <c r="B33" s="316" t="s">
        <v>743</v>
      </c>
      <c r="C33" s="317">
        <f t="shared" ref="C33:P33" si="6">SUM(C30:C32)</f>
        <v>7466652</v>
      </c>
      <c r="D33" s="317">
        <f t="shared" si="6"/>
        <v>1981105.3905322035</v>
      </c>
      <c r="E33" s="317">
        <f t="shared" si="6"/>
        <v>346104</v>
      </c>
      <c r="F33" s="317">
        <f t="shared" si="6"/>
        <v>351825</v>
      </c>
      <c r="G33" s="317">
        <f t="shared" si="6"/>
        <v>960856</v>
      </c>
      <c r="H33" s="317">
        <f t="shared" si="6"/>
        <v>713255</v>
      </c>
      <c r="I33" s="317">
        <f t="shared" si="6"/>
        <v>509264</v>
      </c>
      <c r="J33" s="317">
        <f t="shared" si="6"/>
        <v>651361</v>
      </c>
      <c r="K33" s="317">
        <f t="shared" si="6"/>
        <v>425352</v>
      </c>
      <c r="L33" s="317">
        <f>SUM(L30:L32)</f>
        <v>569936</v>
      </c>
      <c r="M33" s="317">
        <f t="shared" si="6"/>
        <v>555035</v>
      </c>
      <c r="N33" s="317">
        <f t="shared" si="6"/>
        <v>1219987</v>
      </c>
      <c r="O33" s="317">
        <f t="shared" si="6"/>
        <v>669409</v>
      </c>
      <c r="P33" s="626">
        <f t="shared" si="6"/>
        <v>1773636</v>
      </c>
    </row>
    <row r="34" spans="2:16">
      <c r="B34" s="182" t="s">
        <v>744</v>
      </c>
      <c r="C34" s="226">
        <f>SUM(C35:C36)</f>
        <v>-2333912</v>
      </c>
      <c r="D34" s="226">
        <f t="shared" ref="D34:P34" si="7">SUM(D35:D36)</f>
        <v>-595645</v>
      </c>
      <c r="E34" s="226">
        <f t="shared" si="7"/>
        <v>-105696</v>
      </c>
      <c r="F34" s="226">
        <f t="shared" si="7"/>
        <v>-103759</v>
      </c>
      <c r="G34" s="226">
        <f t="shared" si="7"/>
        <v>-234270</v>
      </c>
      <c r="H34" s="226">
        <f t="shared" si="7"/>
        <v>3714</v>
      </c>
      <c r="I34" s="226">
        <f t="shared" si="7"/>
        <v>-151873</v>
      </c>
      <c r="J34" s="226">
        <f t="shared" si="7"/>
        <v>-188680</v>
      </c>
      <c r="K34" s="226">
        <f t="shared" si="7"/>
        <v>14067</v>
      </c>
      <c r="L34" s="226">
        <f t="shared" si="7"/>
        <v>-49976</v>
      </c>
      <c r="M34" s="226">
        <f t="shared" si="7"/>
        <v>-147084</v>
      </c>
      <c r="N34" s="226">
        <f t="shared" si="7"/>
        <v>-339481</v>
      </c>
      <c r="O34" s="226">
        <f t="shared" si="7"/>
        <v>-173636</v>
      </c>
      <c r="P34" s="226">
        <f t="shared" si="7"/>
        <v>-175216</v>
      </c>
    </row>
    <row r="35" spans="2:16">
      <c r="B35" s="179" t="s">
        <v>745</v>
      </c>
      <c r="C35" s="226">
        <v>-79301</v>
      </c>
      <c r="D35" s="226">
        <v>-354491</v>
      </c>
      <c r="E35" s="226">
        <v>-176614</v>
      </c>
      <c r="F35" s="226">
        <v>-167890</v>
      </c>
      <c r="G35" s="226">
        <v>-152616</v>
      </c>
      <c r="H35" s="226">
        <v>89697</v>
      </c>
      <c r="I35" s="226">
        <v>-114844</v>
      </c>
      <c r="J35" s="226">
        <v>-132273</v>
      </c>
      <c r="K35" s="226">
        <v>4830</v>
      </c>
      <c r="L35" s="226">
        <v>-34509</v>
      </c>
      <c r="M35" s="226">
        <v>-77594</v>
      </c>
      <c r="N35" s="226">
        <v>-69687</v>
      </c>
      <c r="O35" s="226">
        <v>-234607</v>
      </c>
      <c r="P35" s="226">
        <v>-34067</v>
      </c>
    </row>
    <row r="36" spans="2:16">
      <c r="B36" s="179" t="s">
        <v>746</v>
      </c>
      <c r="C36" s="226">
        <v>-2254611</v>
      </c>
      <c r="D36" s="226">
        <v>-241154</v>
      </c>
      <c r="E36" s="226">
        <v>70918</v>
      </c>
      <c r="F36" s="226">
        <v>64131</v>
      </c>
      <c r="G36" s="226">
        <v>-81654</v>
      </c>
      <c r="H36" s="226">
        <v>-85983</v>
      </c>
      <c r="I36" s="226">
        <v>-37029</v>
      </c>
      <c r="J36" s="226">
        <v>-56407</v>
      </c>
      <c r="K36" s="226">
        <v>9237</v>
      </c>
      <c r="L36" s="226">
        <v>-15467</v>
      </c>
      <c r="M36" s="226">
        <v>-69490</v>
      </c>
      <c r="N36" s="226">
        <v>-269794</v>
      </c>
      <c r="O36" s="226">
        <v>60971</v>
      </c>
      <c r="P36" s="226">
        <v>-141149</v>
      </c>
    </row>
    <row r="37" spans="2:16">
      <c r="B37" s="316" t="s">
        <v>747</v>
      </c>
      <c r="C37" s="317">
        <v>7404.8</v>
      </c>
      <c r="D37" s="317">
        <v>2059.5</v>
      </c>
      <c r="E37" s="317" t="s">
        <v>748</v>
      </c>
      <c r="F37" s="317" t="s">
        <v>749</v>
      </c>
      <c r="G37" s="317">
        <v>1013079</v>
      </c>
      <c r="H37" s="317">
        <v>748271</v>
      </c>
      <c r="I37" s="317">
        <v>570014</v>
      </c>
      <c r="J37" s="317">
        <v>706313</v>
      </c>
      <c r="K37" s="317">
        <v>465799</v>
      </c>
      <c r="L37" s="317">
        <v>621536</v>
      </c>
      <c r="M37" s="317">
        <v>609446</v>
      </c>
      <c r="N37" s="317">
        <v>1253141</v>
      </c>
      <c r="O37" s="627" t="s">
        <v>1119</v>
      </c>
      <c r="P37" s="628" t="s">
        <v>1120</v>
      </c>
    </row>
    <row r="38" spans="2:16">
      <c r="B38" s="316" t="s">
        <v>750</v>
      </c>
      <c r="C38" s="317">
        <f t="shared" ref="C38:O38" si="8">SUM(C33:C34)</f>
        <v>5132740</v>
      </c>
      <c r="D38" s="317">
        <f t="shared" si="8"/>
        <v>1385460.3905322035</v>
      </c>
      <c r="E38" s="317">
        <f t="shared" si="8"/>
        <v>240408</v>
      </c>
      <c r="F38" s="317">
        <f t="shared" si="8"/>
        <v>248066</v>
      </c>
      <c r="G38" s="317">
        <f t="shared" si="8"/>
        <v>726586</v>
      </c>
      <c r="H38" s="317">
        <f t="shared" si="8"/>
        <v>716969</v>
      </c>
      <c r="I38" s="317">
        <f t="shared" si="8"/>
        <v>357391</v>
      </c>
      <c r="J38" s="317">
        <f t="shared" si="8"/>
        <v>462681</v>
      </c>
      <c r="K38" s="317">
        <f t="shared" si="8"/>
        <v>439419</v>
      </c>
      <c r="L38" s="317">
        <f t="shared" si="8"/>
        <v>519960</v>
      </c>
      <c r="M38" s="317">
        <f t="shared" si="8"/>
        <v>407951</v>
      </c>
      <c r="N38" s="317">
        <f t="shared" si="8"/>
        <v>880506</v>
      </c>
      <c r="O38" s="317">
        <f t="shared" si="8"/>
        <v>495773</v>
      </c>
      <c r="P38" s="626">
        <f>SUM(P33:P34)</f>
        <v>1598420</v>
      </c>
    </row>
    <row r="39" spans="2:16">
      <c r="B39" s="179" t="s">
        <v>751</v>
      </c>
      <c r="C39" s="226">
        <v>-17022</v>
      </c>
      <c r="D39" s="226">
        <v>-19947.994313528317</v>
      </c>
      <c r="E39" s="226">
        <v>-3460</v>
      </c>
      <c r="F39" s="226">
        <v>-3285</v>
      </c>
      <c r="G39" s="226">
        <v>-3419</v>
      </c>
      <c r="H39" s="226">
        <v>-3413</v>
      </c>
      <c r="I39" s="226">
        <v>-3879</v>
      </c>
      <c r="J39" s="226">
        <v>-4367</v>
      </c>
      <c r="K39" s="226">
        <v>-4342</v>
      </c>
      <c r="L39" s="226">
        <v>-4232</v>
      </c>
      <c r="M39" s="226">
        <v>-15497</v>
      </c>
      <c r="N39" s="226">
        <v>-1667</v>
      </c>
      <c r="O39" s="226">
        <v>-2143</v>
      </c>
      <c r="P39" s="226">
        <v>-1840</v>
      </c>
    </row>
    <row r="40" spans="2:16">
      <c r="B40" s="316" t="s">
        <v>752</v>
      </c>
      <c r="C40" s="317">
        <f>SUM(C38:C39)</f>
        <v>5115718</v>
      </c>
      <c r="D40" s="317">
        <f t="shared" ref="D40:O40" si="9">SUM(D38:D39)</f>
        <v>1365512.3962186752</v>
      </c>
      <c r="E40" s="317">
        <f t="shared" si="9"/>
        <v>236948</v>
      </c>
      <c r="F40" s="317">
        <f t="shared" si="9"/>
        <v>244781</v>
      </c>
      <c r="G40" s="317">
        <f t="shared" si="9"/>
        <v>723167</v>
      </c>
      <c r="H40" s="317">
        <f t="shared" si="9"/>
        <v>713556</v>
      </c>
      <c r="I40" s="317">
        <f t="shared" si="9"/>
        <v>353512</v>
      </c>
      <c r="J40" s="317">
        <f t="shared" si="9"/>
        <v>458314</v>
      </c>
      <c r="K40" s="317">
        <f t="shared" si="9"/>
        <v>435077</v>
      </c>
      <c r="L40" s="317">
        <f t="shared" si="9"/>
        <v>515728</v>
      </c>
      <c r="M40" s="317">
        <f t="shared" si="9"/>
        <v>392454</v>
      </c>
      <c r="N40" s="317">
        <f t="shared" si="9"/>
        <v>878839</v>
      </c>
      <c r="O40" s="317">
        <f t="shared" si="9"/>
        <v>493630</v>
      </c>
      <c r="P40" s="626">
        <f>SUM(P38:P39)</f>
        <v>1596580</v>
      </c>
    </row>
    <row r="41" spans="2:16">
      <c r="B41" s="182"/>
      <c r="C41" s="227"/>
      <c r="D41" s="227"/>
      <c r="E41" s="227"/>
      <c r="F41" s="227"/>
      <c r="G41" s="227"/>
      <c r="H41" s="227"/>
      <c r="I41" s="227"/>
      <c r="J41" s="227"/>
      <c r="K41" s="227"/>
      <c r="L41" s="227"/>
      <c r="M41" s="227"/>
      <c r="N41" s="227"/>
      <c r="O41" s="227"/>
      <c r="P41" s="629"/>
    </row>
    <row r="42" spans="2:16">
      <c r="B42" s="182"/>
      <c r="C42" s="227"/>
      <c r="D42" s="227"/>
      <c r="E42" s="227"/>
      <c r="F42" s="227"/>
      <c r="G42" s="227"/>
      <c r="H42" s="227"/>
      <c r="I42" s="227"/>
      <c r="J42" s="227"/>
      <c r="K42" s="227"/>
      <c r="L42" s="227"/>
      <c r="M42" s="227"/>
      <c r="N42" s="227"/>
      <c r="O42" s="227"/>
    </row>
    <row r="44" spans="2:16" ht="15">
      <c r="B44" s="212" t="s">
        <v>1127</v>
      </c>
    </row>
    <row r="45" spans="2:16" ht="15">
      <c r="B45" s="21" t="s">
        <v>535</v>
      </c>
    </row>
    <row r="46" spans="2:16" s="310" customFormat="1">
      <c r="B46" s="185"/>
      <c r="C46" s="185"/>
      <c r="D46" s="185"/>
      <c r="E46" s="185"/>
      <c r="F46" s="185"/>
      <c r="G46" s="185"/>
      <c r="H46" s="185"/>
      <c r="I46" s="185"/>
      <c r="J46" s="185"/>
      <c r="K46" s="185"/>
      <c r="L46" s="185"/>
      <c r="M46" s="185"/>
      <c r="N46" s="185"/>
      <c r="O46" s="185"/>
    </row>
    <row r="47" spans="2:16">
      <c r="B47" s="658" t="s">
        <v>753</v>
      </c>
      <c r="C47" s="623" t="s">
        <v>711</v>
      </c>
      <c r="D47" s="623"/>
      <c r="E47" s="623"/>
      <c r="F47" s="623"/>
      <c r="G47" s="623"/>
      <c r="H47" s="623"/>
      <c r="I47" s="623"/>
      <c r="J47" s="623"/>
      <c r="K47" s="623"/>
      <c r="L47" s="623"/>
      <c r="M47" s="623"/>
      <c r="N47" s="623"/>
      <c r="O47" s="623"/>
      <c r="P47" s="623"/>
    </row>
    <row r="48" spans="2:16">
      <c r="B48" s="658"/>
      <c r="C48" s="315">
        <v>2016</v>
      </c>
      <c r="D48" s="315">
        <v>2017</v>
      </c>
      <c r="E48" s="315" t="s">
        <v>712</v>
      </c>
      <c r="F48" s="315" t="s">
        <v>713</v>
      </c>
      <c r="G48" s="315" t="s">
        <v>714</v>
      </c>
      <c r="H48" s="315" t="s">
        <v>715</v>
      </c>
      <c r="I48" s="315" t="s">
        <v>716</v>
      </c>
      <c r="J48" s="315" t="s">
        <v>717</v>
      </c>
      <c r="K48" s="315" t="s">
        <v>718</v>
      </c>
      <c r="L48" s="315" t="s">
        <v>719</v>
      </c>
      <c r="M48" s="315" t="s">
        <v>720</v>
      </c>
      <c r="N48" s="315" t="s">
        <v>721</v>
      </c>
      <c r="O48" s="315" t="s">
        <v>685</v>
      </c>
      <c r="P48" s="315" t="s">
        <v>1111</v>
      </c>
    </row>
    <row r="49" spans="2:16">
      <c r="B49" s="318" t="s">
        <v>754</v>
      </c>
      <c r="C49" s="319"/>
      <c r="D49" s="319"/>
      <c r="E49" s="319"/>
      <c r="F49" s="318"/>
      <c r="G49" s="319"/>
      <c r="H49" s="319"/>
      <c r="I49" s="319"/>
      <c r="J49" s="319"/>
      <c r="K49" s="319"/>
      <c r="L49" s="319"/>
      <c r="M49" s="319"/>
      <c r="N49" s="319"/>
      <c r="O49" s="319"/>
    </row>
    <row r="50" spans="2:16">
      <c r="B50" s="179" t="s">
        <v>755</v>
      </c>
      <c r="C50" s="226">
        <v>4524</v>
      </c>
      <c r="D50" s="226">
        <v>6585</v>
      </c>
      <c r="E50" s="226">
        <v>11749</v>
      </c>
      <c r="F50" s="226">
        <v>7059</v>
      </c>
      <c r="G50" s="226">
        <v>12736</v>
      </c>
      <c r="H50" s="226">
        <v>16740</v>
      </c>
      <c r="I50" s="226">
        <v>17968</v>
      </c>
      <c r="J50" s="226">
        <v>14039</v>
      </c>
      <c r="K50" s="226">
        <v>7110</v>
      </c>
      <c r="L50" s="226">
        <v>595971</v>
      </c>
      <c r="M50" s="226">
        <v>757278</v>
      </c>
      <c r="N50" s="226">
        <v>1320153</v>
      </c>
      <c r="O50" s="226">
        <v>799542</v>
      </c>
      <c r="P50" s="625">
        <v>2067337</v>
      </c>
    </row>
    <row r="51" spans="2:16">
      <c r="B51" s="179" t="s">
        <v>756</v>
      </c>
      <c r="C51" s="226">
        <v>336138</v>
      </c>
      <c r="D51" s="226">
        <v>610066</v>
      </c>
      <c r="E51" s="226">
        <v>716226</v>
      </c>
      <c r="F51" s="226">
        <v>843828</v>
      </c>
      <c r="G51" s="226">
        <v>1591227</v>
      </c>
      <c r="H51" s="226">
        <v>680909</v>
      </c>
      <c r="I51" s="226">
        <v>1087284</v>
      </c>
      <c r="J51" s="226">
        <v>1330308</v>
      </c>
      <c r="K51" s="226">
        <v>1197427</v>
      </c>
      <c r="L51" s="226">
        <v>2068611</v>
      </c>
      <c r="M51" s="226">
        <v>511984</v>
      </c>
      <c r="N51" s="226">
        <v>565480</v>
      </c>
      <c r="O51" s="226">
        <v>541218</v>
      </c>
      <c r="P51" s="625">
        <v>453557</v>
      </c>
    </row>
    <row r="52" spans="2:16">
      <c r="B52" s="179" t="s">
        <v>757</v>
      </c>
      <c r="C52" s="226">
        <v>1221016</v>
      </c>
      <c r="D52" s="226">
        <v>1924928</v>
      </c>
      <c r="E52" s="226">
        <v>1913172.7178499999</v>
      </c>
      <c r="F52" s="226">
        <v>1916407</v>
      </c>
      <c r="G52" s="226">
        <v>2041938</v>
      </c>
      <c r="H52" s="226">
        <v>2086298</v>
      </c>
      <c r="I52" s="226">
        <v>1956862</v>
      </c>
      <c r="J52" s="226">
        <v>1983261</v>
      </c>
      <c r="K52" s="226">
        <v>2038412</v>
      </c>
      <c r="L52" s="226">
        <v>2061882</v>
      </c>
      <c r="M52" s="226">
        <v>2082903</v>
      </c>
      <c r="N52" s="226">
        <v>2598707</v>
      </c>
      <c r="O52" s="226">
        <v>2728926</v>
      </c>
      <c r="P52" s="625">
        <v>2804373</v>
      </c>
    </row>
    <row r="53" spans="2:16">
      <c r="B53" s="179" t="s">
        <v>758</v>
      </c>
      <c r="C53" s="226">
        <v>37723</v>
      </c>
      <c r="D53" s="226">
        <v>37639</v>
      </c>
      <c r="E53" s="226">
        <v>38357</v>
      </c>
      <c r="F53" s="226">
        <v>35204</v>
      </c>
      <c r="G53" s="226">
        <v>34907</v>
      </c>
      <c r="H53" s="226">
        <v>39173</v>
      </c>
      <c r="I53" s="226">
        <v>37516</v>
      </c>
      <c r="J53" s="226">
        <v>34742</v>
      </c>
      <c r="K53" s="226">
        <v>34550</v>
      </c>
      <c r="L53" s="226">
        <v>103818</v>
      </c>
      <c r="M53" s="226">
        <v>63747</v>
      </c>
      <c r="N53" s="226">
        <v>34337</v>
      </c>
      <c r="O53" s="226">
        <v>41637</v>
      </c>
      <c r="P53" s="625">
        <v>45297</v>
      </c>
    </row>
    <row r="54" spans="2:16">
      <c r="B54" s="179" t="s">
        <v>759</v>
      </c>
      <c r="C54" s="226">
        <v>8563</v>
      </c>
      <c r="D54" s="226">
        <v>14162</v>
      </c>
      <c r="E54" s="226">
        <v>132735</v>
      </c>
      <c r="F54" s="226">
        <v>216638</v>
      </c>
      <c r="G54" s="226">
        <v>315452</v>
      </c>
      <c r="H54" s="226">
        <v>29521</v>
      </c>
      <c r="I54" s="226">
        <v>84201</v>
      </c>
      <c r="J54" s="226">
        <v>169403</v>
      </c>
      <c r="K54" s="226">
        <v>215694</v>
      </c>
      <c r="L54" s="226">
        <v>32335</v>
      </c>
      <c r="M54" s="226">
        <v>43483</v>
      </c>
      <c r="N54" s="226">
        <v>84600</v>
      </c>
      <c r="O54" s="226">
        <v>210886</v>
      </c>
      <c r="P54" s="625">
        <v>28807</v>
      </c>
    </row>
    <row r="55" spans="2:16">
      <c r="B55" s="179" t="s">
        <v>760</v>
      </c>
      <c r="C55" s="226">
        <v>0</v>
      </c>
      <c r="D55" s="226">
        <v>2611</v>
      </c>
      <c r="E55" s="226">
        <v>0</v>
      </c>
      <c r="F55" s="226">
        <v>0</v>
      </c>
      <c r="G55" s="226">
        <v>0</v>
      </c>
      <c r="H55" s="226">
        <v>0</v>
      </c>
      <c r="I55" s="226">
        <v>0</v>
      </c>
      <c r="J55" s="226">
        <v>0</v>
      </c>
      <c r="K55" s="226">
        <v>67372</v>
      </c>
      <c r="L55" s="226">
        <v>19202</v>
      </c>
      <c r="M55" s="226">
        <v>228664</v>
      </c>
      <c r="N55" s="226">
        <v>255557</v>
      </c>
      <c r="O55" s="226">
        <v>14138</v>
      </c>
      <c r="P55" s="625">
        <v>9790</v>
      </c>
    </row>
    <row r="56" spans="2:16">
      <c r="B56" s="179" t="s">
        <v>761</v>
      </c>
      <c r="C56" s="226" t="s">
        <v>493</v>
      </c>
      <c r="D56" s="226">
        <v>902.90506000000005</v>
      </c>
      <c r="E56" s="226">
        <v>490.49568999999974</v>
      </c>
      <c r="F56" s="226">
        <v>825</v>
      </c>
      <c r="G56" s="226">
        <v>423</v>
      </c>
      <c r="H56" s="226">
        <v>323</v>
      </c>
      <c r="I56" s="226">
        <v>4276</v>
      </c>
      <c r="J56" s="226">
        <v>9056</v>
      </c>
      <c r="K56" s="226">
        <v>9265</v>
      </c>
      <c r="L56" s="226">
        <v>703</v>
      </c>
      <c r="M56" s="226">
        <v>917</v>
      </c>
      <c r="N56" s="226">
        <v>1013</v>
      </c>
      <c r="O56" s="226">
        <v>580</v>
      </c>
      <c r="P56" s="625">
        <v>14994</v>
      </c>
    </row>
    <row r="57" spans="2:16">
      <c r="B57" s="179" t="s">
        <v>762</v>
      </c>
      <c r="C57" s="226">
        <v>10303</v>
      </c>
      <c r="D57" s="226">
        <v>4607</v>
      </c>
      <c r="E57" s="226">
        <v>40927</v>
      </c>
      <c r="F57" s="226">
        <v>22245</v>
      </c>
      <c r="G57" s="226">
        <v>13145</v>
      </c>
      <c r="H57" s="226">
        <v>8384</v>
      </c>
      <c r="I57" s="226">
        <v>34841</v>
      </c>
      <c r="J57" s="226">
        <v>24862</v>
      </c>
      <c r="K57" s="226">
        <v>14657</v>
      </c>
      <c r="L57" s="226">
        <v>4677</v>
      </c>
      <c r="M57" s="226">
        <v>33212</v>
      </c>
      <c r="N57" s="226">
        <v>24292</v>
      </c>
      <c r="O57" s="226">
        <v>15324</v>
      </c>
      <c r="P57" s="625">
        <v>6400</v>
      </c>
    </row>
    <row r="58" spans="2:16">
      <c r="B58" s="179" t="s">
        <v>763</v>
      </c>
      <c r="C58" s="226" t="s">
        <v>493</v>
      </c>
      <c r="D58" s="226">
        <v>1141</v>
      </c>
      <c r="E58" s="226">
        <v>0</v>
      </c>
      <c r="F58" s="226">
        <v>0</v>
      </c>
      <c r="G58" s="226">
        <v>1211</v>
      </c>
      <c r="H58" s="226">
        <v>1787</v>
      </c>
      <c r="I58" s="226">
        <v>1814</v>
      </c>
      <c r="J58" s="226">
        <v>1833</v>
      </c>
      <c r="K58" s="226">
        <v>1862</v>
      </c>
      <c r="L58" s="226">
        <v>1876</v>
      </c>
      <c r="M58" s="226">
        <v>1887</v>
      </c>
      <c r="N58" s="226">
        <v>1894</v>
      </c>
      <c r="O58" s="226">
        <v>1892</v>
      </c>
      <c r="P58" s="625">
        <v>1808</v>
      </c>
    </row>
    <row r="59" spans="2:16" ht="14.15" customHeight="1">
      <c r="B59" s="179" t="s">
        <v>764</v>
      </c>
      <c r="C59" s="226">
        <v>62077</v>
      </c>
      <c r="D59" s="226">
        <v>41067</v>
      </c>
      <c r="E59" s="226">
        <v>59156</v>
      </c>
      <c r="F59" s="226">
        <v>78695</v>
      </c>
      <c r="G59" s="226">
        <v>46824</v>
      </c>
      <c r="H59" s="226">
        <v>36509</v>
      </c>
      <c r="I59" s="226">
        <v>31529</v>
      </c>
      <c r="J59" s="226">
        <v>30564</v>
      </c>
      <c r="K59" s="226">
        <v>28009</v>
      </c>
      <c r="L59" s="226">
        <v>44373</v>
      </c>
      <c r="M59" s="226">
        <v>46416</v>
      </c>
      <c r="N59" s="226">
        <v>80603</v>
      </c>
      <c r="O59" s="226">
        <v>79333</v>
      </c>
      <c r="P59" s="625">
        <v>75495</v>
      </c>
    </row>
    <row r="60" spans="2:16" ht="14.15" customHeight="1">
      <c r="B60" s="320" t="s">
        <v>765</v>
      </c>
      <c r="C60" s="321">
        <f t="shared" ref="C60:P60" si="10">SUM(C50:C59)</f>
        <v>1680344</v>
      </c>
      <c r="D60" s="321">
        <f t="shared" si="10"/>
        <v>2643708.9050599998</v>
      </c>
      <c r="E60" s="321">
        <f t="shared" si="10"/>
        <v>2912813.2135399994</v>
      </c>
      <c r="F60" s="321">
        <f t="shared" si="10"/>
        <v>3120901</v>
      </c>
      <c r="G60" s="321">
        <f t="shared" si="10"/>
        <v>4057863</v>
      </c>
      <c r="H60" s="321">
        <f t="shared" si="10"/>
        <v>2899644</v>
      </c>
      <c r="I60" s="321">
        <f t="shared" si="10"/>
        <v>3256291</v>
      </c>
      <c r="J60" s="321">
        <f t="shared" si="10"/>
        <v>3598068</v>
      </c>
      <c r="K60" s="321">
        <f t="shared" si="10"/>
        <v>3614358</v>
      </c>
      <c r="L60" s="321">
        <f t="shared" si="10"/>
        <v>4933448</v>
      </c>
      <c r="M60" s="321">
        <f t="shared" si="10"/>
        <v>3770491</v>
      </c>
      <c r="N60" s="321">
        <f t="shared" si="10"/>
        <v>4966636</v>
      </c>
      <c r="O60" s="321">
        <f t="shared" si="10"/>
        <v>4433476</v>
      </c>
      <c r="P60" s="630">
        <f t="shared" si="10"/>
        <v>5507858</v>
      </c>
    </row>
    <row r="61" spans="2:16">
      <c r="B61" s="322" t="s">
        <v>766</v>
      </c>
      <c r="C61" s="323"/>
      <c r="D61" s="323"/>
      <c r="E61" s="323"/>
      <c r="F61" s="323"/>
      <c r="G61" s="323"/>
      <c r="H61" s="323"/>
      <c r="I61" s="323"/>
      <c r="J61" s="323"/>
      <c r="K61" s="323"/>
      <c r="L61" s="323"/>
      <c r="M61" s="323"/>
      <c r="N61" s="323"/>
      <c r="O61" s="323"/>
      <c r="P61" s="631"/>
    </row>
    <row r="62" spans="2:16">
      <c r="B62" s="179" t="s">
        <v>767</v>
      </c>
      <c r="C62" s="226"/>
      <c r="D62" s="226"/>
      <c r="E62" s="226"/>
      <c r="F62" s="226"/>
      <c r="G62" s="226"/>
      <c r="H62" s="226"/>
      <c r="I62" s="226"/>
      <c r="J62" s="226"/>
      <c r="K62" s="226"/>
      <c r="L62" s="226"/>
      <c r="M62" s="226"/>
      <c r="N62" s="226"/>
      <c r="O62" s="226"/>
      <c r="P62" s="625"/>
    </row>
    <row r="63" spans="2:16">
      <c r="B63" s="179" t="s">
        <v>763</v>
      </c>
      <c r="C63" s="226" t="s">
        <v>493</v>
      </c>
      <c r="D63" s="226">
        <v>35674.210180000002</v>
      </c>
      <c r="E63" s="226">
        <v>41726</v>
      </c>
      <c r="F63" s="226">
        <v>42460</v>
      </c>
      <c r="G63" s="226">
        <v>43818</v>
      </c>
      <c r="H63" s="226">
        <v>42268</v>
      </c>
      <c r="I63" s="226">
        <v>44888</v>
      </c>
      <c r="J63" s="226">
        <v>47771</v>
      </c>
      <c r="K63" s="226">
        <v>47245</v>
      </c>
      <c r="L63" s="226">
        <v>46515</v>
      </c>
      <c r="M63" s="226">
        <v>46649</v>
      </c>
      <c r="N63" s="226">
        <v>46926</v>
      </c>
      <c r="O63" s="226">
        <v>46981</v>
      </c>
      <c r="P63" s="625">
        <v>46903</v>
      </c>
    </row>
    <row r="64" spans="2:16">
      <c r="B64" s="179" t="s">
        <v>768</v>
      </c>
      <c r="C64" s="226">
        <v>10225808</v>
      </c>
      <c r="D64" s="226">
        <v>11213952</v>
      </c>
      <c r="E64" s="226">
        <v>11033751.786459999</v>
      </c>
      <c r="F64" s="226">
        <v>10865644</v>
      </c>
      <c r="G64" s="226">
        <v>11270412</v>
      </c>
      <c r="H64" s="226">
        <v>12047558</v>
      </c>
      <c r="I64" s="226">
        <v>12222686</v>
      </c>
      <c r="J64" s="226">
        <v>12500583</v>
      </c>
      <c r="K64" s="226">
        <v>12474048</v>
      </c>
      <c r="L64" s="226">
        <v>12599152</v>
      </c>
      <c r="M64" s="226">
        <v>12668940</v>
      </c>
      <c r="N64" s="226">
        <v>13075952</v>
      </c>
      <c r="O64" s="226">
        <v>13254427</v>
      </c>
      <c r="P64" s="625">
        <v>14118454</v>
      </c>
    </row>
    <row r="65" spans="2:16">
      <c r="B65" s="179" t="s">
        <v>769</v>
      </c>
      <c r="C65" s="226">
        <v>1150358</v>
      </c>
      <c r="D65" s="226">
        <v>1312791</v>
      </c>
      <c r="E65" s="226">
        <v>1363119</v>
      </c>
      <c r="F65" s="226">
        <v>1409142</v>
      </c>
      <c r="G65" s="226">
        <v>1425474</v>
      </c>
      <c r="H65" s="226">
        <v>1426083</v>
      </c>
      <c r="I65" s="226">
        <v>1426613</v>
      </c>
      <c r="J65" s="226">
        <v>1473391</v>
      </c>
      <c r="K65" s="226">
        <v>1518151</v>
      </c>
      <c r="L65" s="226">
        <v>1576332</v>
      </c>
      <c r="M65" s="226">
        <v>1620971</v>
      </c>
      <c r="N65" s="226">
        <v>1668555</v>
      </c>
      <c r="O65" s="226">
        <v>1724394</v>
      </c>
      <c r="P65" s="625">
        <v>1778999</v>
      </c>
    </row>
    <row r="66" spans="2:16">
      <c r="B66" s="179" t="s">
        <v>770</v>
      </c>
      <c r="C66" s="226">
        <v>0</v>
      </c>
      <c r="D66" s="226">
        <v>0</v>
      </c>
      <c r="E66" s="226">
        <v>0</v>
      </c>
      <c r="F66" s="226">
        <v>0</v>
      </c>
      <c r="G66" s="226">
        <v>0</v>
      </c>
      <c r="H66" s="226">
        <v>0</v>
      </c>
      <c r="I66" s="226">
        <v>0</v>
      </c>
      <c r="J66" s="226">
        <v>0</v>
      </c>
      <c r="K66" s="226">
        <v>0</v>
      </c>
      <c r="L66" s="226">
        <v>0</v>
      </c>
      <c r="M66" s="226">
        <v>0</v>
      </c>
      <c r="N66" s="226">
        <v>0</v>
      </c>
      <c r="O66" s="226">
        <v>0</v>
      </c>
      <c r="P66" s="625" t="s">
        <v>493</v>
      </c>
    </row>
    <row r="67" spans="2:16">
      <c r="B67" s="179" t="s">
        <v>771</v>
      </c>
      <c r="C67" s="226">
        <v>0</v>
      </c>
      <c r="D67" s="226">
        <v>0</v>
      </c>
      <c r="E67" s="226">
        <v>0</v>
      </c>
      <c r="F67" s="226">
        <v>0</v>
      </c>
      <c r="G67" s="226">
        <v>0</v>
      </c>
      <c r="H67" s="226">
        <v>9037</v>
      </c>
      <c r="I67" s="226">
        <v>7665</v>
      </c>
      <c r="J67" s="226">
        <v>11872</v>
      </c>
      <c r="K67" s="226">
        <v>7861</v>
      </c>
      <c r="L67" s="226">
        <v>1144</v>
      </c>
      <c r="M67" s="226">
        <v>0</v>
      </c>
      <c r="N67" s="226">
        <v>0</v>
      </c>
      <c r="O67" s="226">
        <v>0</v>
      </c>
      <c r="P67" s="625">
        <v>0</v>
      </c>
    </row>
    <row r="68" spans="2:16">
      <c r="B68" s="179" t="s">
        <v>772</v>
      </c>
      <c r="C68" s="226">
        <v>70175</v>
      </c>
      <c r="D68" s="226">
        <v>66414</v>
      </c>
      <c r="E68" s="226">
        <v>66571</v>
      </c>
      <c r="F68" s="226">
        <v>65070</v>
      </c>
      <c r="G68" s="226">
        <v>66816</v>
      </c>
      <c r="H68" s="226">
        <v>66987</v>
      </c>
      <c r="I68" s="226">
        <v>64874</v>
      </c>
      <c r="J68" s="226">
        <v>64007</v>
      </c>
      <c r="K68" s="226">
        <v>58867</v>
      </c>
      <c r="L68" s="226">
        <v>52886</v>
      </c>
      <c r="M68" s="226">
        <v>51597</v>
      </c>
      <c r="N68" s="226">
        <v>49133</v>
      </c>
      <c r="O68" s="226">
        <v>41575</v>
      </c>
      <c r="P68" s="625">
        <v>44119</v>
      </c>
    </row>
    <row r="69" spans="2:16">
      <c r="B69" s="179" t="s">
        <v>758</v>
      </c>
      <c r="C69" s="226">
        <v>32512</v>
      </c>
      <c r="D69" s="226">
        <v>37034</v>
      </c>
      <c r="E69" s="226">
        <v>22968</v>
      </c>
      <c r="F69" s="226">
        <v>18250</v>
      </c>
      <c r="G69" s="226">
        <v>18055</v>
      </c>
      <c r="H69" s="226">
        <v>13551</v>
      </c>
      <c r="I69" s="226">
        <v>11798</v>
      </c>
      <c r="J69" s="226">
        <v>11909</v>
      </c>
      <c r="K69" s="226">
        <v>14771</v>
      </c>
      <c r="L69" s="226">
        <v>13005</v>
      </c>
      <c r="M69" s="226">
        <v>23089</v>
      </c>
      <c r="N69" s="226">
        <v>16835</v>
      </c>
      <c r="O69" s="226">
        <v>11210</v>
      </c>
      <c r="P69" s="625">
        <v>9997</v>
      </c>
    </row>
    <row r="70" spans="2:16">
      <c r="B70" s="179" t="s">
        <v>773</v>
      </c>
      <c r="C70" s="226">
        <v>0</v>
      </c>
      <c r="D70" s="226">
        <v>0</v>
      </c>
      <c r="E70" s="226">
        <v>0</v>
      </c>
      <c r="F70" s="226">
        <v>0</v>
      </c>
      <c r="G70" s="226">
        <v>0</v>
      </c>
      <c r="H70" s="226">
        <v>105444</v>
      </c>
      <c r="I70" s="226">
        <v>105444</v>
      </c>
      <c r="J70" s="226">
        <v>105444</v>
      </c>
      <c r="K70" s="226">
        <v>105444</v>
      </c>
      <c r="L70" s="226">
        <v>43024</v>
      </c>
      <c r="M70" s="226">
        <v>43024</v>
      </c>
      <c r="N70" s="226">
        <v>43024</v>
      </c>
      <c r="O70" s="226">
        <v>43024</v>
      </c>
      <c r="P70" s="625">
        <v>0</v>
      </c>
    </row>
    <row r="71" spans="2:16">
      <c r="B71" s="179" t="s">
        <v>760</v>
      </c>
      <c r="C71" s="226">
        <v>0</v>
      </c>
      <c r="D71" s="226">
        <v>0</v>
      </c>
      <c r="E71" s="226">
        <v>0</v>
      </c>
      <c r="F71" s="226">
        <v>0</v>
      </c>
      <c r="G71" s="226">
        <v>11861</v>
      </c>
      <c r="H71" s="226">
        <v>2643</v>
      </c>
      <c r="I71" s="226">
        <v>10771</v>
      </c>
      <c r="J71" s="226">
        <v>0</v>
      </c>
      <c r="K71" s="226">
        <v>1962</v>
      </c>
      <c r="L71" s="226">
        <v>0</v>
      </c>
      <c r="M71" s="226">
        <v>3068</v>
      </c>
      <c r="N71" s="226">
        <v>3546</v>
      </c>
      <c r="O71" s="226">
        <v>4056</v>
      </c>
      <c r="P71" s="625">
        <v>226</v>
      </c>
    </row>
    <row r="72" spans="2:16">
      <c r="B72" s="179" t="s">
        <v>726</v>
      </c>
      <c r="C72" s="226">
        <v>13572</v>
      </c>
      <c r="D72" s="226">
        <v>1513</v>
      </c>
      <c r="E72" s="226">
        <v>1502</v>
      </c>
      <c r="F72" s="226">
        <v>12493</v>
      </c>
      <c r="G72" s="226">
        <v>12490</v>
      </c>
      <c r="H72" s="226">
        <v>25236</v>
      </c>
      <c r="I72" s="226">
        <v>26954</v>
      </c>
      <c r="J72" s="226">
        <v>28724</v>
      </c>
      <c r="K72" s="226">
        <v>32895</v>
      </c>
      <c r="L72" s="226">
        <v>24011</v>
      </c>
      <c r="M72" s="226">
        <v>25926</v>
      </c>
      <c r="N72" s="226">
        <v>108900</v>
      </c>
      <c r="O72" s="226">
        <v>108905</v>
      </c>
      <c r="P72" s="625">
        <v>110310</v>
      </c>
    </row>
    <row r="73" spans="2:16">
      <c r="B73" s="179" t="s">
        <v>774</v>
      </c>
      <c r="C73" s="226">
        <v>1826930</v>
      </c>
      <c r="D73" s="226">
        <v>1880845</v>
      </c>
      <c r="E73" s="226">
        <v>1915916</v>
      </c>
      <c r="F73" s="226">
        <v>1943473</v>
      </c>
      <c r="G73" s="226">
        <v>1944839</v>
      </c>
      <c r="H73" s="226">
        <v>1848092</v>
      </c>
      <c r="I73" s="226">
        <v>1917881</v>
      </c>
      <c r="J73" s="226">
        <v>1966285</v>
      </c>
      <c r="K73" s="226">
        <v>2037978</v>
      </c>
      <c r="L73" s="226">
        <v>2198004</v>
      </c>
      <c r="M73" s="226">
        <v>2360020</v>
      </c>
      <c r="N73" s="226">
        <v>2334045</v>
      </c>
      <c r="O73" s="226">
        <v>2384120</v>
      </c>
      <c r="P73" s="625">
        <v>2858002</v>
      </c>
    </row>
    <row r="74" spans="2:16">
      <c r="B74" s="179" t="s">
        <v>775</v>
      </c>
      <c r="C74" s="226">
        <v>25457.256999999987</v>
      </c>
      <c r="D74" s="226">
        <v>22879.430109999994</v>
      </c>
      <c r="E74" s="226">
        <v>23656</v>
      </c>
      <c r="F74" s="226">
        <v>22868</v>
      </c>
      <c r="G74" s="226">
        <v>23870</v>
      </c>
      <c r="H74" s="226">
        <v>25539</v>
      </c>
      <c r="I74" s="226">
        <v>45400</v>
      </c>
      <c r="J74" s="226">
        <v>73791</v>
      </c>
      <c r="K74" s="226">
        <v>75697</v>
      </c>
      <c r="L74" s="226">
        <v>86377</v>
      </c>
      <c r="M74" s="226">
        <v>93465</v>
      </c>
      <c r="N74" s="226">
        <v>92414</v>
      </c>
      <c r="O74" s="226">
        <v>91002</v>
      </c>
      <c r="P74" s="625">
        <v>92991</v>
      </c>
    </row>
    <row r="75" spans="2:16">
      <c r="B75" s="179" t="s">
        <v>776</v>
      </c>
      <c r="C75" s="226">
        <v>41843.266820000004</v>
      </c>
      <c r="D75" s="226">
        <v>37361.569890000006</v>
      </c>
      <c r="E75" s="226">
        <v>35535</v>
      </c>
      <c r="F75" s="226">
        <v>34404</v>
      </c>
      <c r="G75" s="226">
        <v>31630</v>
      </c>
      <c r="H75" s="226">
        <v>30142</v>
      </c>
      <c r="I75" s="226">
        <v>28136</v>
      </c>
      <c r="J75" s="226">
        <v>26692</v>
      </c>
      <c r="K75" s="226">
        <v>25069</v>
      </c>
      <c r="L75" s="226">
        <v>25196</v>
      </c>
      <c r="M75" s="226">
        <v>24227</v>
      </c>
      <c r="N75" s="226">
        <v>25603</v>
      </c>
      <c r="O75" s="226">
        <v>25377</v>
      </c>
      <c r="P75" s="625">
        <v>24499</v>
      </c>
    </row>
    <row r="76" spans="2:16">
      <c r="B76" s="320" t="s">
        <v>777</v>
      </c>
      <c r="C76" s="321">
        <f>SUM(C73:C75,C63:C72)</f>
        <v>13386655.52382</v>
      </c>
      <c r="D76" s="321">
        <f>SUM(D73:D75,D63:D72)</f>
        <v>14608464.210179999</v>
      </c>
      <c r="E76" s="321">
        <f t="shared" ref="E76:P76" si="11">SUM(E73:E75,E63:E72)</f>
        <v>14504744.786459999</v>
      </c>
      <c r="F76" s="321">
        <f t="shared" si="11"/>
        <v>14413804</v>
      </c>
      <c r="G76" s="321">
        <f t="shared" si="11"/>
        <v>14849265</v>
      </c>
      <c r="H76" s="321">
        <f t="shared" si="11"/>
        <v>15642580</v>
      </c>
      <c r="I76" s="321">
        <f t="shared" si="11"/>
        <v>15913110</v>
      </c>
      <c r="J76" s="321">
        <f t="shared" si="11"/>
        <v>16310469</v>
      </c>
      <c r="K76" s="321">
        <f t="shared" si="11"/>
        <v>16399988</v>
      </c>
      <c r="L76" s="321">
        <f t="shared" si="11"/>
        <v>16665646</v>
      </c>
      <c r="M76" s="321">
        <f t="shared" si="11"/>
        <v>16960976</v>
      </c>
      <c r="N76" s="321">
        <f t="shared" si="11"/>
        <v>17464933</v>
      </c>
      <c r="O76" s="321">
        <f t="shared" si="11"/>
        <v>17735071</v>
      </c>
      <c r="P76" s="630">
        <f t="shared" si="11"/>
        <v>19084500</v>
      </c>
    </row>
    <row r="77" spans="2:16">
      <c r="B77" s="320" t="s">
        <v>778</v>
      </c>
      <c r="C77" s="321">
        <f>SUM(C76+C60)</f>
        <v>15066999.52382</v>
      </c>
      <c r="D77" s="321">
        <f>SUM(D76+D60)</f>
        <v>17252173.11524</v>
      </c>
      <c r="E77" s="321">
        <f t="shared" ref="E77:P77" si="12">SUM(E76+E60)</f>
        <v>17417558</v>
      </c>
      <c r="F77" s="321">
        <f t="shared" si="12"/>
        <v>17534705</v>
      </c>
      <c r="G77" s="321">
        <f t="shared" si="12"/>
        <v>18907128</v>
      </c>
      <c r="H77" s="321">
        <f t="shared" si="12"/>
        <v>18542224</v>
      </c>
      <c r="I77" s="321">
        <f t="shared" si="12"/>
        <v>19169401</v>
      </c>
      <c r="J77" s="321">
        <f t="shared" si="12"/>
        <v>19908537</v>
      </c>
      <c r="K77" s="321">
        <f t="shared" si="12"/>
        <v>20014346</v>
      </c>
      <c r="L77" s="321">
        <f t="shared" si="12"/>
        <v>21599094</v>
      </c>
      <c r="M77" s="321">
        <f t="shared" si="12"/>
        <v>20731467</v>
      </c>
      <c r="N77" s="321">
        <f t="shared" si="12"/>
        <v>22431569</v>
      </c>
      <c r="O77" s="321">
        <f t="shared" si="12"/>
        <v>22168547</v>
      </c>
      <c r="P77" s="630">
        <f t="shared" si="12"/>
        <v>24592358</v>
      </c>
    </row>
    <row r="78" spans="2:16" s="310" customFormat="1">
      <c r="B78" s="185"/>
      <c r="C78" s="228"/>
      <c r="D78" s="228"/>
      <c r="E78" s="228"/>
      <c r="F78" s="225"/>
      <c r="G78" s="225"/>
      <c r="H78" s="225"/>
      <c r="I78" s="225"/>
      <c r="J78" s="225"/>
      <c r="K78" s="225"/>
      <c r="L78" s="225"/>
      <c r="M78" s="225"/>
      <c r="N78" s="225"/>
      <c r="O78" s="225"/>
    </row>
    <row r="79" spans="2:16">
      <c r="B79" s="229" t="s">
        <v>779</v>
      </c>
      <c r="C79" s="324"/>
      <c r="D79" s="325"/>
      <c r="E79" s="325"/>
      <c r="F79" s="325"/>
      <c r="G79" s="325"/>
      <c r="H79" s="325"/>
      <c r="I79" s="325"/>
      <c r="J79" s="325"/>
      <c r="K79" s="325"/>
      <c r="L79" s="325"/>
      <c r="M79" s="325"/>
      <c r="N79" s="325"/>
      <c r="O79" s="325"/>
      <c r="P79" s="632"/>
    </row>
    <row r="80" spans="2:16">
      <c r="B80" s="229" t="s">
        <v>780</v>
      </c>
      <c r="C80" s="324"/>
      <c r="D80" s="325"/>
      <c r="E80" s="325"/>
      <c r="F80" s="325"/>
      <c r="G80" s="325"/>
      <c r="H80" s="325"/>
      <c r="I80" s="325"/>
      <c r="J80" s="325"/>
      <c r="K80" s="325"/>
      <c r="L80" s="325"/>
      <c r="M80" s="325"/>
      <c r="N80" s="325"/>
      <c r="O80" s="325"/>
      <c r="P80" s="632"/>
    </row>
    <row r="81" spans="2:16">
      <c r="B81" s="318" t="s">
        <v>754</v>
      </c>
      <c r="C81" s="319"/>
      <c r="D81" s="319"/>
      <c r="E81" s="319"/>
      <c r="F81" s="318"/>
      <c r="G81" s="318"/>
      <c r="H81" s="318"/>
      <c r="I81" s="318"/>
      <c r="J81" s="318"/>
      <c r="K81" s="318"/>
      <c r="L81" s="318"/>
      <c r="M81" s="318"/>
      <c r="N81" s="318"/>
      <c r="O81" s="318"/>
      <c r="P81" s="633"/>
    </row>
    <row r="82" spans="2:16">
      <c r="B82" s="179" t="s">
        <v>781</v>
      </c>
      <c r="C82" s="226">
        <v>71679</v>
      </c>
      <c r="D82" s="226">
        <v>268588</v>
      </c>
      <c r="E82" s="226">
        <v>261786</v>
      </c>
      <c r="F82" s="226">
        <v>287106</v>
      </c>
      <c r="G82" s="226">
        <v>98254</v>
      </c>
      <c r="H82" s="226">
        <v>334067</v>
      </c>
      <c r="I82" s="226">
        <v>344159</v>
      </c>
      <c r="J82" s="226">
        <v>337582</v>
      </c>
      <c r="K82" s="226">
        <v>981588</v>
      </c>
      <c r="L82" s="226">
        <v>709928</v>
      </c>
      <c r="M82" s="226">
        <v>886355</v>
      </c>
      <c r="N82" s="226">
        <v>919444</v>
      </c>
      <c r="O82" s="226">
        <v>96334</v>
      </c>
      <c r="P82" s="625">
        <v>94628</v>
      </c>
    </row>
    <row r="83" spans="2:16">
      <c r="B83" s="179" t="s">
        <v>782</v>
      </c>
      <c r="C83" s="226">
        <v>192368</v>
      </c>
      <c r="D83" s="226">
        <v>182852</v>
      </c>
      <c r="E83" s="226">
        <v>183773</v>
      </c>
      <c r="F83" s="226">
        <v>183474</v>
      </c>
      <c r="G83" s="226">
        <v>197107</v>
      </c>
      <c r="H83" s="226">
        <v>23707</v>
      </c>
      <c r="I83" s="226">
        <v>22436</v>
      </c>
      <c r="J83" s="226">
        <v>15931</v>
      </c>
      <c r="K83" s="226">
        <v>26097</v>
      </c>
      <c r="L83" s="226">
        <v>367508</v>
      </c>
      <c r="M83" s="226">
        <v>371913</v>
      </c>
      <c r="N83" s="226">
        <v>363141</v>
      </c>
      <c r="O83" s="226">
        <v>542316</v>
      </c>
      <c r="P83" s="625">
        <v>217948</v>
      </c>
    </row>
    <row r="84" spans="2:16">
      <c r="B84" s="179" t="s">
        <v>783</v>
      </c>
      <c r="C84" s="226">
        <v>0</v>
      </c>
      <c r="D84" s="226">
        <v>0</v>
      </c>
      <c r="E84" s="226">
        <v>0</v>
      </c>
      <c r="F84" s="226">
        <v>0</v>
      </c>
      <c r="G84" s="226">
        <v>0</v>
      </c>
      <c r="H84" s="226">
        <v>0</v>
      </c>
      <c r="I84" s="226">
        <v>0</v>
      </c>
      <c r="J84" s="226">
        <v>7693</v>
      </c>
      <c r="K84" s="226">
        <v>0</v>
      </c>
      <c r="L84" s="226">
        <v>0</v>
      </c>
      <c r="M84" s="226">
        <v>0</v>
      </c>
      <c r="N84" s="226">
        <v>0</v>
      </c>
      <c r="O84" s="226">
        <v>10601</v>
      </c>
      <c r="P84" s="625">
        <v>8795</v>
      </c>
    </row>
    <row r="85" spans="2:16">
      <c r="B85" s="179" t="s">
        <v>760</v>
      </c>
      <c r="C85" s="226">
        <v>0</v>
      </c>
      <c r="D85" s="226">
        <v>0</v>
      </c>
      <c r="E85" s="226">
        <v>0</v>
      </c>
      <c r="F85" s="226">
        <v>0</v>
      </c>
      <c r="G85" s="226">
        <v>0</v>
      </c>
      <c r="H85" s="226">
        <v>0</v>
      </c>
      <c r="I85" s="226">
        <v>10565</v>
      </c>
      <c r="J85" s="226">
        <v>0</v>
      </c>
      <c r="K85" s="226">
        <v>9772</v>
      </c>
      <c r="L85" s="226">
        <v>9948</v>
      </c>
      <c r="M85" s="226">
        <v>9456</v>
      </c>
      <c r="N85" s="226">
        <v>11179</v>
      </c>
      <c r="O85" s="226">
        <v>0</v>
      </c>
      <c r="P85" s="634" t="s">
        <v>493</v>
      </c>
    </row>
    <row r="86" spans="2:16">
      <c r="B86" s="179" t="s">
        <v>784</v>
      </c>
      <c r="C86" s="226">
        <v>41482</v>
      </c>
      <c r="D86" s="226">
        <v>69923</v>
      </c>
      <c r="E86" s="226">
        <v>49255</v>
      </c>
      <c r="F86" s="226">
        <v>58806</v>
      </c>
      <c r="G86" s="226">
        <v>68022</v>
      </c>
      <c r="H86" s="226">
        <v>88358</v>
      </c>
      <c r="I86" s="226">
        <v>72276</v>
      </c>
      <c r="J86" s="226">
        <v>70721</v>
      </c>
      <c r="K86" s="226">
        <v>72057</v>
      </c>
      <c r="L86" s="226">
        <v>167774</v>
      </c>
      <c r="M86" s="226">
        <v>167858</v>
      </c>
      <c r="N86" s="226">
        <v>139217</v>
      </c>
      <c r="O86" s="226">
        <v>112304</v>
      </c>
      <c r="P86" s="625">
        <v>153346</v>
      </c>
    </row>
    <row r="87" spans="2:16">
      <c r="B87" s="179" t="s">
        <v>785</v>
      </c>
      <c r="C87" s="226">
        <v>30053</v>
      </c>
      <c r="D87" s="226">
        <v>90502</v>
      </c>
      <c r="E87" s="226">
        <v>224543</v>
      </c>
      <c r="F87" s="226">
        <v>389278</v>
      </c>
      <c r="G87" s="226">
        <v>540175</v>
      </c>
      <c r="H87" s="226">
        <v>54382</v>
      </c>
      <c r="I87" s="226">
        <v>163259</v>
      </c>
      <c r="J87" s="226">
        <v>293111</v>
      </c>
      <c r="K87" s="226">
        <v>287386</v>
      </c>
      <c r="L87" s="226">
        <v>92106</v>
      </c>
      <c r="M87" s="226">
        <v>127657</v>
      </c>
      <c r="N87" s="226">
        <v>262320</v>
      </c>
      <c r="O87" s="226">
        <v>478040</v>
      </c>
      <c r="P87" s="625">
        <v>255614</v>
      </c>
    </row>
    <row r="88" spans="2:16">
      <c r="B88" s="179" t="s">
        <v>786</v>
      </c>
      <c r="C88" s="226">
        <v>17540</v>
      </c>
      <c r="D88" s="226">
        <v>57997</v>
      </c>
      <c r="E88" s="226">
        <v>0</v>
      </c>
      <c r="F88" s="226">
        <v>0</v>
      </c>
      <c r="G88" s="226">
        <v>0</v>
      </c>
      <c r="H88" s="226">
        <v>0</v>
      </c>
      <c r="I88" s="226">
        <v>0</v>
      </c>
      <c r="J88" s="226">
        <v>0</v>
      </c>
      <c r="K88" s="226">
        <v>0</v>
      </c>
      <c r="L88" s="226">
        <v>0</v>
      </c>
      <c r="M88" s="226">
        <v>0</v>
      </c>
      <c r="N88" s="226">
        <v>0</v>
      </c>
      <c r="O88" s="226">
        <v>0</v>
      </c>
      <c r="P88" s="625"/>
    </row>
    <row r="89" spans="2:16">
      <c r="B89" s="179" t="s">
        <v>787</v>
      </c>
      <c r="C89" s="226">
        <v>12751</v>
      </c>
      <c r="D89" s="226">
        <v>16550</v>
      </c>
      <c r="E89" s="226">
        <v>32399</v>
      </c>
      <c r="F89" s="226">
        <v>39059</v>
      </c>
      <c r="G89" s="226">
        <v>39260</v>
      </c>
      <c r="H89" s="226">
        <v>40262</v>
      </c>
      <c r="I89" s="226">
        <v>39302</v>
      </c>
      <c r="J89" s="226">
        <v>44878</v>
      </c>
      <c r="K89" s="226">
        <v>45687</v>
      </c>
      <c r="L89" s="226">
        <v>48336</v>
      </c>
      <c r="M89" s="226">
        <v>48970</v>
      </c>
      <c r="N89" s="226">
        <v>52653</v>
      </c>
      <c r="O89" s="226">
        <v>52518</v>
      </c>
      <c r="P89" s="625">
        <v>49457</v>
      </c>
    </row>
    <row r="90" spans="2:16">
      <c r="B90" s="179" t="s">
        <v>788</v>
      </c>
      <c r="C90" s="226">
        <v>139946</v>
      </c>
      <c r="D90" s="226">
        <v>3112</v>
      </c>
      <c r="E90" s="226">
        <v>3111</v>
      </c>
      <c r="F90" s="226">
        <v>5159</v>
      </c>
      <c r="G90" s="226">
        <v>5137</v>
      </c>
      <c r="H90" s="226">
        <v>7835</v>
      </c>
      <c r="I90" s="226">
        <v>7831</v>
      </c>
      <c r="J90" s="226">
        <v>7798</v>
      </c>
      <c r="K90" s="226">
        <v>8411</v>
      </c>
      <c r="L90" s="226">
        <v>102079</v>
      </c>
      <c r="M90" s="226">
        <v>9731</v>
      </c>
      <c r="N90" s="226">
        <v>10102</v>
      </c>
      <c r="O90" s="226">
        <v>10406</v>
      </c>
      <c r="P90" s="625">
        <v>500513</v>
      </c>
    </row>
    <row r="91" spans="2:16">
      <c r="B91" s="179" t="s">
        <v>789</v>
      </c>
      <c r="C91" s="226">
        <v>33610</v>
      </c>
      <c r="D91" s="226">
        <v>36344</v>
      </c>
      <c r="E91" s="226">
        <v>29714</v>
      </c>
      <c r="F91" s="226">
        <v>40457</v>
      </c>
      <c r="G91" s="226">
        <v>42515</v>
      </c>
      <c r="H91" s="226">
        <v>37047</v>
      </c>
      <c r="I91" s="226">
        <v>29156</v>
      </c>
      <c r="J91" s="226">
        <v>38239</v>
      </c>
      <c r="K91" s="226">
        <v>41182</v>
      </c>
      <c r="L91" s="226">
        <v>33341</v>
      </c>
      <c r="M91" s="226">
        <v>26512</v>
      </c>
      <c r="N91" s="226">
        <v>37797</v>
      </c>
      <c r="O91" s="226">
        <v>48833</v>
      </c>
      <c r="P91" s="625">
        <v>45094</v>
      </c>
    </row>
    <row r="92" spans="2:16">
      <c r="B92" s="179" t="s">
        <v>790</v>
      </c>
      <c r="C92" s="226">
        <v>5495</v>
      </c>
      <c r="D92" s="226">
        <v>2056</v>
      </c>
      <c r="E92" s="226">
        <v>3309</v>
      </c>
      <c r="F92" s="226">
        <v>4655</v>
      </c>
      <c r="G92" s="226">
        <v>3579</v>
      </c>
      <c r="H92" s="226">
        <v>4250</v>
      </c>
      <c r="I92" s="226">
        <v>5103</v>
      </c>
      <c r="J92" s="226">
        <v>4157</v>
      </c>
      <c r="K92" s="226">
        <v>3782</v>
      </c>
      <c r="L92" s="226">
        <v>2173</v>
      </c>
      <c r="M92" s="226">
        <v>2176</v>
      </c>
      <c r="N92" s="226">
        <v>2730</v>
      </c>
      <c r="O92" s="226">
        <v>868</v>
      </c>
      <c r="P92" s="625">
        <v>871</v>
      </c>
    </row>
    <row r="93" spans="2:16" ht="14.15" customHeight="1">
      <c r="B93" s="179" t="s">
        <v>791</v>
      </c>
      <c r="C93" s="226">
        <v>0</v>
      </c>
      <c r="D93" s="226">
        <v>0</v>
      </c>
      <c r="E93" s="226">
        <v>0</v>
      </c>
      <c r="F93" s="226">
        <v>0</v>
      </c>
      <c r="G93" s="226">
        <v>1860</v>
      </c>
      <c r="H93" s="226">
        <v>2480</v>
      </c>
      <c r="I93" s="226">
        <v>2480</v>
      </c>
      <c r="J93" s="226">
        <v>2480</v>
      </c>
      <c r="K93" s="226">
        <v>2480</v>
      </c>
      <c r="L93" s="226">
        <v>2480</v>
      </c>
      <c r="M93" s="226">
        <v>2480</v>
      </c>
      <c r="N93" s="226">
        <v>2480</v>
      </c>
      <c r="O93" s="226">
        <v>2480</v>
      </c>
      <c r="P93" s="625">
        <v>2480</v>
      </c>
    </row>
    <row r="94" spans="2:16">
      <c r="B94" s="179" t="s">
        <v>726</v>
      </c>
      <c r="C94" s="226">
        <v>53047</v>
      </c>
      <c r="D94" s="226">
        <v>61180</v>
      </c>
      <c r="E94" s="226">
        <v>57876.328179999997</v>
      </c>
      <c r="F94" s="226">
        <v>16385</v>
      </c>
      <c r="G94" s="226">
        <v>13852</v>
      </c>
      <c r="H94" s="226">
        <v>34310</v>
      </c>
      <c r="I94" s="226">
        <v>27472</v>
      </c>
      <c r="J94" s="226">
        <v>56345</v>
      </c>
      <c r="K94" s="226">
        <v>70150</v>
      </c>
      <c r="L94" s="226">
        <v>80152</v>
      </c>
      <c r="M94" s="226">
        <v>55374</v>
      </c>
      <c r="N94" s="226">
        <v>34641</v>
      </c>
      <c r="O94" s="226">
        <v>45567</v>
      </c>
      <c r="P94" s="625">
        <v>43751</v>
      </c>
    </row>
    <row r="95" spans="2:16">
      <c r="B95" s="320"/>
      <c r="C95" s="321">
        <f>SUM(C82:C94)</f>
        <v>597971</v>
      </c>
      <c r="D95" s="321">
        <f>SUM(D82:D94)</f>
        <v>789104</v>
      </c>
      <c r="E95" s="321">
        <f t="shared" ref="E95:M95" si="13">SUM(E82:E94)</f>
        <v>845766.32817999995</v>
      </c>
      <c r="F95" s="321">
        <f t="shared" si="13"/>
        <v>1024379</v>
      </c>
      <c r="G95" s="321">
        <f t="shared" si="13"/>
        <v>1009761</v>
      </c>
      <c r="H95" s="321">
        <f t="shared" si="13"/>
        <v>626698</v>
      </c>
      <c r="I95" s="321">
        <f t="shared" si="13"/>
        <v>724039</v>
      </c>
      <c r="J95" s="321">
        <f t="shared" si="13"/>
        <v>878935</v>
      </c>
      <c r="K95" s="321">
        <f>SUM(K82:K94)</f>
        <v>1548592</v>
      </c>
      <c r="L95" s="321">
        <f t="shared" si="13"/>
        <v>1615825</v>
      </c>
      <c r="M95" s="321">
        <f t="shared" si="13"/>
        <v>1708482</v>
      </c>
      <c r="N95" s="321">
        <f>SUM(N82:N94)</f>
        <v>1835704</v>
      </c>
      <c r="O95" s="321">
        <f>SUM(O82:O94)</f>
        <v>1400267</v>
      </c>
      <c r="P95" s="630">
        <f>SUM(P82:P94)</f>
        <v>1372497</v>
      </c>
    </row>
    <row r="96" spans="2:16">
      <c r="B96" s="322" t="s">
        <v>766</v>
      </c>
      <c r="C96" s="323"/>
      <c r="D96" s="323"/>
      <c r="E96" s="323"/>
      <c r="F96" s="322"/>
      <c r="G96" s="322"/>
      <c r="H96" s="322"/>
      <c r="I96" s="322"/>
      <c r="J96" s="322"/>
      <c r="K96" s="322"/>
      <c r="L96" s="322"/>
      <c r="M96" s="322"/>
      <c r="N96" s="322"/>
      <c r="O96" s="322"/>
      <c r="P96" s="631"/>
    </row>
    <row r="97" spans="2:16">
      <c r="B97" s="179" t="s">
        <v>781</v>
      </c>
      <c r="C97" s="226">
        <v>432472</v>
      </c>
      <c r="D97" s="226">
        <v>690541</v>
      </c>
      <c r="E97" s="226">
        <v>677182</v>
      </c>
      <c r="F97" s="226">
        <v>657248</v>
      </c>
      <c r="G97" s="226">
        <v>1258364</v>
      </c>
      <c r="H97" s="226">
        <v>1215689</v>
      </c>
      <c r="I97" s="226">
        <v>1273554</v>
      </c>
      <c r="J97" s="226">
        <v>1264267</v>
      </c>
      <c r="K97" s="226">
        <v>660197</v>
      </c>
      <c r="L97" s="226">
        <v>637448</v>
      </c>
      <c r="M97" s="226">
        <v>620011</v>
      </c>
      <c r="N97" s="226">
        <v>1248161</v>
      </c>
      <c r="O97" s="226">
        <v>1228231</v>
      </c>
      <c r="P97" s="625">
        <v>1208301</v>
      </c>
    </row>
    <row r="98" spans="2:16">
      <c r="B98" s="179" t="s">
        <v>782</v>
      </c>
      <c r="C98" s="226">
        <v>313931</v>
      </c>
      <c r="D98" s="226">
        <v>801007</v>
      </c>
      <c r="E98" s="226">
        <v>806204</v>
      </c>
      <c r="F98" s="226">
        <v>1420052</v>
      </c>
      <c r="G98" s="226">
        <v>1437775</v>
      </c>
      <c r="H98" s="226">
        <v>1441504</v>
      </c>
      <c r="I98" s="226">
        <v>1457692</v>
      </c>
      <c r="J98" s="226">
        <v>1475140</v>
      </c>
      <c r="K98" s="226">
        <v>1480445</v>
      </c>
      <c r="L98" s="226">
        <v>1528971</v>
      </c>
      <c r="M98" s="226">
        <v>1554166</v>
      </c>
      <c r="N98" s="226">
        <v>1545549</v>
      </c>
      <c r="O98" s="226">
        <v>1392099</v>
      </c>
      <c r="P98" s="625">
        <v>2961318</v>
      </c>
    </row>
    <row r="99" spans="2:16">
      <c r="B99" s="179" t="s">
        <v>783</v>
      </c>
      <c r="C99" s="226">
        <v>0</v>
      </c>
      <c r="D99" s="226">
        <v>0</v>
      </c>
      <c r="E99" s="226">
        <v>0</v>
      </c>
      <c r="F99" s="226">
        <v>0</v>
      </c>
      <c r="G99" s="226">
        <v>0</v>
      </c>
      <c r="H99" s="226">
        <v>0</v>
      </c>
      <c r="I99" s="226">
        <v>0</v>
      </c>
      <c r="J99" s="226">
        <v>42872</v>
      </c>
      <c r="K99" s="226">
        <v>42449</v>
      </c>
      <c r="L99" s="226">
        <v>39948</v>
      </c>
      <c r="M99" s="226">
        <v>47616</v>
      </c>
      <c r="N99" s="226">
        <v>45547</v>
      </c>
      <c r="O99" s="226">
        <v>46627</v>
      </c>
      <c r="P99" s="625">
        <v>44742</v>
      </c>
    </row>
    <row r="100" spans="2:16">
      <c r="B100" s="179" t="s">
        <v>760</v>
      </c>
      <c r="C100" s="226">
        <v>0</v>
      </c>
      <c r="D100" s="226">
        <v>0</v>
      </c>
      <c r="E100" s="226">
        <v>0</v>
      </c>
      <c r="F100" s="226">
        <v>0</v>
      </c>
      <c r="G100" s="226">
        <v>0</v>
      </c>
      <c r="H100" s="226">
        <v>0</v>
      </c>
      <c r="I100" s="226">
        <v>9984</v>
      </c>
      <c r="J100" s="226">
        <v>2760</v>
      </c>
      <c r="K100" s="226">
        <v>0</v>
      </c>
      <c r="L100" s="226">
        <v>135</v>
      </c>
      <c r="M100" s="226">
        <v>0</v>
      </c>
      <c r="N100" s="226">
        <v>0</v>
      </c>
      <c r="O100" s="226">
        <v>0</v>
      </c>
      <c r="P100" s="625" t="s">
        <v>493</v>
      </c>
    </row>
    <row r="101" spans="2:16">
      <c r="B101" s="179" t="s">
        <v>1121</v>
      </c>
      <c r="C101" s="226"/>
      <c r="D101" s="226"/>
      <c r="E101" s="226"/>
      <c r="F101" s="226"/>
      <c r="G101" s="226"/>
      <c r="H101" s="226"/>
      <c r="I101" s="226"/>
      <c r="J101" s="226"/>
      <c r="K101" s="226"/>
      <c r="L101" s="226"/>
      <c r="M101" s="226"/>
      <c r="N101" s="226"/>
      <c r="O101" s="226"/>
      <c r="P101" s="625">
        <v>381977</v>
      </c>
    </row>
    <row r="102" spans="2:16">
      <c r="B102" s="179" t="s">
        <v>786</v>
      </c>
      <c r="C102" s="226">
        <v>119857</v>
      </c>
      <c r="D102" s="226">
        <v>0</v>
      </c>
      <c r="E102" s="226">
        <v>0</v>
      </c>
      <c r="F102" s="226">
        <v>0</v>
      </c>
      <c r="G102" s="226">
        <v>102672</v>
      </c>
      <c r="H102" s="226">
        <v>0</v>
      </c>
      <c r="I102" s="226">
        <v>0</v>
      </c>
      <c r="J102" s="226">
        <v>0</v>
      </c>
      <c r="K102" s="226">
        <v>0</v>
      </c>
      <c r="L102" s="226">
        <v>0</v>
      </c>
      <c r="M102" s="226">
        <v>0</v>
      </c>
      <c r="N102" s="226">
        <v>0</v>
      </c>
      <c r="O102" s="226">
        <v>0</v>
      </c>
      <c r="P102" s="625">
        <v>0</v>
      </c>
    </row>
    <row r="103" spans="2:16">
      <c r="B103" s="179" t="s">
        <v>792</v>
      </c>
      <c r="C103" s="226">
        <v>989445</v>
      </c>
      <c r="D103" s="226">
        <v>1147381</v>
      </c>
      <c r="E103" s="226">
        <v>1124479</v>
      </c>
      <c r="F103" s="226">
        <v>1104911</v>
      </c>
      <c r="G103" s="226">
        <v>2343209</v>
      </c>
      <c r="H103" s="226">
        <v>1176566</v>
      </c>
      <c r="I103" s="226">
        <v>1177627</v>
      </c>
      <c r="J103" s="226">
        <v>1197183</v>
      </c>
      <c r="K103" s="226">
        <v>1192371</v>
      </c>
      <c r="L103" s="226">
        <v>1185323</v>
      </c>
      <c r="M103" s="226">
        <v>1179839</v>
      </c>
      <c r="N103" s="226">
        <v>1264433</v>
      </c>
      <c r="O103" s="226">
        <v>1256820</v>
      </c>
      <c r="P103" s="625">
        <v>1316722</v>
      </c>
    </row>
    <row r="104" spans="2:16">
      <c r="B104" s="179" t="s">
        <v>771</v>
      </c>
      <c r="C104" s="226">
        <v>2106603</v>
      </c>
      <c r="D104" s="226">
        <v>2418125</v>
      </c>
      <c r="E104" s="226">
        <v>2347207</v>
      </c>
      <c r="F104" s="226">
        <v>2283080</v>
      </c>
      <c r="G104" s="226">
        <v>1125728</v>
      </c>
      <c r="H104" s="226">
        <v>2603438</v>
      </c>
      <c r="I104" s="226">
        <v>2638945</v>
      </c>
      <c r="J104" s="226">
        <v>2699617</v>
      </c>
      <c r="K104" s="226">
        <v>2686190</v>
      </c>
      <c r="L104" s="226">
        <v>2673970</v>
      </c>
      <c r="M104" s="226">
        <v>2742928</v>
      </c>
      <c r="N104" s="226">
        <v>3012528</v>
      </c>
      <c r="O104" s="226">
        <v>2951233</v>
      </c>
      <c r="P104" s="625">
        <v>2952855</v>
      </c>
    </row>
    <row r="105" spans="2:16">
      <c r="B105" s="179" t="s">
        <v>787</v>
      </c>
      <c r="C105" s="226">
        <v>32509</v>
      </c>
      <c r="D105" s="226">
        <v>54250</v>
      </c>
      <c r="E105" s="226">
        <v>40848</v>
      </c>
      <c r="F105" s="226">
        <v>42962</v>
      </c>
      <c r="G105" s="226">
        <v>20333</v>
      </c>
      <c r="H105" s="226">
        <v>35925</v>
      </c>
      <c r="I105" s="226">
        <v>39380</v>
      </c>
      <c r="J105" s="226">
        <v>37756</v>
      </c>
      <c r="K105" s="226">
        <v>41836</v>
      </c>
      <c r="L105" s="226">
        <v>41236</v>
      </c>
      <c r="M105" s="226">
        <v>34179</v>
      </c>
      <c r="N105" s="226">
        <v>40742</v>
      </c>
      <c r="O105" s="226">
        <v>42419</v>
      </c>
      <c r="P105" s="625">
        <v>48065</v>
      </c>
    </row>
    <row r="106" spans="2:16">
      <c r="B106" s="179" t="s">
        <v>789</v>
      </c>
      <c r="C106" s="226">
        <v>153035</v>
      </c>
      <c r="D106" s="226">
        <v>121553</v>
      </c>
      <c r="E106" s="226">
        <v>125321</v>
      </c>
      <c r="F106" s="226">
        <v>113686</v>
      </c>
      <c r="G106" s="226">
        <v>34827</v>
      </c>
      <c r="H106" s="226">
        <v>90708</v>
      </c>
      <c r="I106" s="226">
        <v>91036</v>
      </c>
      <c r="J106" s="226">
        <v>92755</v>
      </c>
      <c r="K106" s="226">
        <v>86780</v>
      </c>
      <c r="L106" s="226">
        <v>62367</v>
      </c>
      <c r="M106" s="226">
        <v>59509</v>
      </c>
      <c r="N106" s="226">
        <v>58816</v>
      </c>
      <c r="O106" s="226">
        <v>83168</v>
      </c>
      <c r="P106" s="625">
        <v>88682</v>
      </c>
    </row>
    <row r="107" spans="2:16" ht="18" customHeight="1">
      <c r="B107" s="179" t="s">
        <v>793</v>
      </c>
      <c r="C107" s="226">
        <v>0</v>
      </c>
      <c r="D107" s="226">
        <v>24053</v>
      </c>
      <c r="E107" s="226">
        <v>0</v>
      </c>
      <c r="F107" s="226">
        <v>0</v>
      </c>
      <c r="G107" s="226">
        <v>0</v>
      </c>
      <c r="H107" s="226">
        <v>19093</v>
      </c>
      <c r="I107" s="226">
        <v>18473</v>
      </c>
      <c r="J107" s="226">
        <v>17853</v>
      </c>
      <c r="K107" s="226">
        <v>17232</v>
      </c>
      <c r="L107" s="226">
        <v>16612</v>
      </c>
      <c r="M107" s="226">
        <v>15992</v>
      </c>
      <c r="N107" s="226">
        <v>15372</v>
      </c>
      <c r="O107" s="226">
        <v>14752</v>
      </c>
      <c r="P107" s="625">
        <v>14132</v>
      </c>
    </row>
    <row r="108" spans="2:16">
      <c r="B108" s="179" t="s">
        <v>726</v>
      </c>
      <c r="C108" s="226">
        <v>24053</v>
      </c>
      <c r="D108" s="226">
        <v>6503</v>
      </c>
      <c r="E108" s="226">
        <v>27454.67182</v>
      </c>
      <c r="F108" s="226">
        <v>53841</v>
      </c>
      <c r="G108" s="226">
        <v>34532</v>
      </c>
      <c r="H108" s="226">
        <v>33078</v>
      </c>
      <c r="I108" s="226">
        <v>33602</v>
      </c>
      <c r="J108" s="226">
        <v>34572</v>
      </c>
      <c r="K108" s="226">
        <v>35152</v>
      </c>
      <c r="L108" s="226">
        <v>35652</v>
      </c>
      <c r="M108" s="226">
        <v>46714</v>
      </c>
      <c r="N108" s="226">
        <v>48201</v>
      </c>
      <c r="O108" s="226">
        <v>93739</v>
      </c>
      <c r="P108" s="625">
        <v>77625</v>
      </c>
    </row>
    <row r="109" spans="2:16" ht="22" customHeight="1">
      <c r="B109" s="320" t="s">
        <v>794</v>
      </c>
      <c r="C109" s="321">
        <f>SUM(C97:C108)</f>
        <v>4171905</v>
      </c>
      <c r="D109" s="321">
        <f>SUM(D97:D108)</f>
        <v>5263413</v>
      </c>
      <c r="E109" s="321">
        <f t="shared" ref="E109:M109" si="14">SUM(E97:E108)</f>
        <v>5148695.6718199998</v>
      </c>
      <c r="F109" s="326">
        <f t="shared" si="14"/>
        <v>5675780</v>
      </c>
      <c r="G109" s="326">
        <f t="shared" si="14"/>
        <v>6357440</v>
      </c>
      <c r="H109" s="326">
        <f t="shared" si="14"/>
        <v>6616001</v>
      </c>
      <c r="I109" s="326">
        <f t="shared" si="14"/>
        <v>6740293</v>
      </c>
      <c r="J109" s="326">
        <f t="shared" si="14"/>
        <v>6864775</v>
      </c>
      <c r="K109" s="326">
        <f>SUM(K97:K108)</f>
        <v>6242652</v>
      </c>
      <c r="L109" s="326">
        <f t="shared" si="14"/>
        <v>6221662</v>
      </c>
      <c r="M109" s="326">
        <f t="shared" si="14"/>
        <v>6300954</v>
      </c>
      <c r="N109" s="326">
        <f>SUM(N97:N108)</f>
        <v>7279349</v>
      </c>
      <c r="O109" s="326">
        <f>SUM(O97:O108)</f>
        <v>7109088</v>
      </c>
      <c r="P109" s="630">
        <f>SUM(P97:P108)</f>
        <v>9094419</v>
      </c>
    </row>
    <row r="110" spans="2:16">
      <c r="C110" s="225"/>
      <c r="D110" s="225"/>
      <c r="E110" s="228"/>
    </row>
    <row r="111" spans="2:16">
      <c r="B111" s="179" t="s">
        <v>751</v>
      </c>
      <c r="C111" s="226">
        <v>178733</v>
      </c>
      <c r="D111" s="226">
        <v>214939</v>
      </c>
      <c r="E111" s="226">
        <v>201431</v>
      </c>
      <c r="F111" s="226">
        <v>212706</v>
      </c>
      <c r="G111" s="226">
        <v>226286</v>
      </c>
      <c r="H111" s="226">
        <v>230878</v>
      </c>
      <c r="I111" s="226">
        <v>282713</v>
      </c>
      <c r="J111" s="226">
        <v>287177</v>
      </c>
      <c r="K111" s="226">
        <v>273453</v>
      </c>
      <c r="L111" s="226">
        <v>1967288</v>
      </c>
      <c r="M111" s="226">
        <v>502442</v>
      </c>
      <c r="N111" s="226">
        <v>369210</v>
      </c>
      <c r="O111" s="226">
        <v>327872</v>
      </c>
      <c r="P111" s="625" t="s">
        <v>493</v>
      </c>
    </row>
    <row r="112" spans="2:16">
      <c r="B112" s="230"/>
      <c r="C112" s="231"/>
      <c r="D112" s="231"/>
      <c r="E112" s="232"/>
      <c r="F112" s="231"/>
      <c r="G112" s="231"/>
      <c r="H112" s="231"/>
      <c r="I112" s="230"/>
      <c r="J112" s="231"/>
      <c r="K112" s="231"/>
      <c r="L112" s="231"/>
      <c r="M112" s="231"/>
      <c r="N112" s="231"/>
      <c r="O112" s="231"/>
      <c r="P112" s="635"/>
    </row>
    <row r="113" spans="1:18">
      <c r="B113" s="322" t="s">
        <v>795</v>
      </c>
      <c r="C113" s="323"/>
      <c r="D113" s="323"/>
      <c r="E113" s="323"/>
      <c r="F113" s="323"/>
      <c r="G113" s="323"/>
      <c r="H113" s="323"/>
      <c r="I113" s="322"/>
      <c r="J113" s="323"/>
      <c r="K113" s="323"/>
      <c r="L113" s="323"/>
      <c r="M113" s="323"/>
      <c r="N113" s="323"/>
      <c r="O113" s="323"/>
      <c r="P113" s="631"/>
    </row>
    <row r="114" spans="1:18">
      <c r="B114" s="179" t="s">
        <v>796</v>
      </c>
      <c r="C114" s="226">
        <v>2372437</v>
      </c>
      <c r="D114" s="226">
        <v>3590020</v>
      </c>
      <c r="E114" s="226">
        <v>3590020</v>
      </c>
      <c r="F114" s="226">
        <v>3590020</v>
      </c>
      <c r="G114" s="226">
        <v>3590020</v>
      </c>
      <c r="H114" s="226">
        <v>3590020</v>
      </c>
      <c r="I114" s="226">
        <v>3590020</v>
      </c>
      <c r="J114" s="226">
        <v>3590020</v>
      </c>
      <c r="K114" s="226">
        <v>3590020</v>
      </c>
      <c r="L114" s="226">
        <v>3590020</v>
      </c>
      <c r="M114" s="226">
        <v>3590020</v>
      </c>
      <c r="N114" s="226">
        <v>3590020</v>
      </c>
      <c r="O114" s="226">
        <v>3590020</v>
      </c>
      <c r="P114" s="625">
        <v>3590020</v>
      </c>
    </row>
    <row r="115" spans="1:18">
      <c r="B115" s="179" t="s">
        <v>797</v>
      </c>
      <c r="C115" s="226">
        <v>1217583</v>
      </c>
      <c r="D115" s="226">
        <v>666</v>
      </c>
      <c r="E115" s="226">
        <v>666</v>
      </c>
      <c r="F115" s="226">
        <v>666</v>
      </c>
      <c r="G115" s="226">
        <v>666</v>
      </c>
      <c r="H115" s="226">
        <v>666</v>
      </c>
      <c r="I115" s="226">
        <v>666</v>
      </c>
      <c r="J115" s="226">
        <v>666</v>
      </c>
      <c r="K115" s="226">
        <v>666</v>
      </c>
      <c r="L115" s="226">
        <v>666</v>
      </c>
      <c r="M115" s="226">
        <v>666</v>
      </c>
      <c r="N115" s="226">
        <v>666</v>
      </c>
      <c r="O115" s="226">
        <v>666</v>
      </c>
      <c r="P115" s="625">
        <v>666</v>
      </c>
    </row>
    <row r="116" spans="1:18">
      <c r="B116" s="179" t="s">
        <v>798</v>
      </c>
      <c r="C116" s="226">
        <v>6527704</v>
      </c>
      <c r="D116" s="226">
        <v>7394031</v>
      </c>
      <c r="E116" s="226">
        <v>7394031</v>
      </c>
      <c r="F116" s="226">
        <v>6549032</v>
      </c>
      <c r="G116" s="226">
        <v>6549032</v>
      </c>
      <c r="H116" s="226">
        <v>7404769</v>
      </c>
      <c r="I116" s="226">
        <v>7404769</v>
      </c>
      <c r="J116" s="226">
        <v>7404769</v>
      </c>
      <c r="K116" s="226">
        <v>7404769</v>
      </c>
      <c r="L116" s="226">
        <v>8172442</v>
      </c>
      <c r="M116" s="226">
        <v>8172442</v>
      </c>
      <c r="N116" s="226">
        <v>8172442</v>
      </c>
      <c r="O116" s="226">
        <v>8172442</v>
      </c>
      <c r="P116" s="625">
        <v>9863692</v>
      </c>
    </row>
    <row r="117" spans="1:18">
      <c r="B117" s="179" t="s">
        <v>1122</v>
      </c>
      <c r="C117" s="226"/>
      <c r="D117" s="226"/>
      <c r="E117" s="226"/>
      <c r="F117" s="226"/>
      <c r="G117" s="226"/>
      <c r="H117" s="226"/>
      <c r="I117" s="226"/>
      <c r="J117" s="226"/>
      <c r="K117" s="226"/>
      <c r="L117" s="226"/>
      <c r="M117" s="226"/>
      <c r="N117" s="226"/>
      <c r="O117" s="226"/>
      <c r="P117" s="226">
        <v>-364659</v>
      </c>
    </row>
    <row r="118" spans="1:18">
      <c r="B118" s="179" t="s">
        <v>799</v>
      </c>
      <c r="C118" s="226">
        <v>0</v>
      </c>
      <c r="D118" s="226">
        <v>0</v>
      </c>
      <c r="E118" s="226">
        <v>236948</v>
      </c>
      <c r="F118" s="226">
        <v>482122</v>
      </c>
      <c r="G118" s="226">
        <v>1173923</v>
      </c>
      <c r="H118" s="226">
        <v>73192</v>
      </c>
      <c r="I118" s="226">
        <v>73389</v>
      </c>
      <c r="J118" s="226">
        <v>70369</v>
      </c>
      <c r="K118" s="226">
        <v>77405</v>
      </c>
      <c r="L118" s="226">
        <v>31191</v>
      </c>
      <c r="M118" s="226">
        <v>63630</v>
      </c>
      <c r="N118" s="226">
        <v>62841</v>
      </c>
      <c r="O118" s="226">
        <v>53225</v>
      </c>
      <c r="P118" s="625">
        <v>140114</v>
      </c>
    </row>
    <row r="119" spans="1:18">
      <c r="B119" s="179" t="s">
        <v>800</v>
      </c>
      <c r="C119" s="226">
        <v>0</v>
      </c>
      <c r="D119" s="226">
        <v>0</v>
      </c>
      <c r="E119" s="226">
        <v>0</v>
      </c>
      <c r="F119" s="226">
        <v>0</v>
      </c>
      <c r="G119" s="226">
        <v>0</v>
      </c>
      <c r="H119" s="226">
        <v>0</v>
      </c>
      <c r="I119" s="226">
        <v>353512</v>
      </c>
      <c r="J119" s="226">
        <v>811826</v>
      </c>
      <c r="K119" s="226">
        <v>876789</v>
      </c>
      <c r="L119" s="226">
        <v>0</v>
      </c>
      <c r="M119" s="226">
        <v>392831</v>
      </c>
      <c r="N119" s="226">
        <v>1121337</v>
      </c>
      <c r="O119" s="226">
        <v>1514967</v>
      </c>
      <c r="P119" s="625">
        <v>524450</v>
      </c>
    </row>
    <row r="120" spans="1:18">
      <c r="B120" s="179" t="s">
        <v>801</v>
      </c>
      <c r="C120" s="226">
        <v>666</v>
      </c>
      <c r="D120" s="226">
        <v>0</v>
      </c>
      <c r="E120" s="226">
        <v>0</v>
      </c>
      <c r="F120" s="226">
        <v>0</v>
      </c>
      <c r="G120" s="226">
        <v>0</v>
      </c>
      <c r="H120" s="226">
        <v>0</v>
      </c>
      <c r="I120" s="226">
        <v>0</v>
      </c>
      <c r="J120" s="226">
        <v>0</v>
      </c>
      <c r="K120" s="226">
        <v>0</v>
      </c>
      <c r="L120" s="226">
        <v>0</v>
      </c>
      <c r="M120" s="226">
        <v>0</v>
      </c>
      <c r="N120" s="226">
        <v>0</v>
      </c>
      <c r="O120" s="226">
        <v>0</v>
      </c>
      <c r="P120" s="625" t="s">
        <v>493</v>
      </c>
    </row>
    <row r="121" spans="1:18">
      <c r="B121" s="320" t="s">
        <v>802</v>
      </c>
      <c r="C121" s="327">
        <f t="shared" ref="C121:O121" si="15">SUM(C111:C120)</f>
        <v>10297123</v>
      </c>
      <c r="D121" s="327">
        <f t="shared" si="15"/>
        <v>11199656</v>
      </c>
      <c r="E121" s="327">
        <f t="shared" si="15"/>
        <v>11423096</v>
      </c>
      <c r="F121" s="327">
        <f t="shared" si="15"/>
        <v>10834546</v>
      </c>
      <c r="G121" s="327">
        <f t="shared" si="15"/>
        <v>11539927</v>
      </c>
      <c r="H121" s="327">
        <f t="shared" si="15"/>
        <v>11299525</v>
      </c>
      <c r="I121" s="327">
        <f t="shared" si="15"/>
        <v>11705069</v>
      </c>
      <c r="J121" s="327">
        <f t="shared" si="15"/>
        <v>12164827</v>
      </c>
      <c r="K121" s="327">
        <f t="shared" si="15"/>
        <v>12223102</v>
      </c>
      <c r="L121" s="327">
        <f>SUM(L114:L120)</f>
        <v>11794319</v>
      </c>
      <c r="M121" s="327">
        <f t="shared" si="15"/>
        <v>12722031</v>
      </c>
      <c r="N121" s="327">
        <f t="shared" si="15"/>
        <v>13316516</v>
      </c>
      <c r="O121" s="327">
        <f t="shared" si="15"/>
        <v>13659192</v>
      </c>
      <c r="P121" s="630">
        <f>SUM(P114:P120)</f>
        <v>13754283</v>
      </c>
    </row>
    <row r="122" spans="1:18">
      <c r="A122" s="339"/>
      <c r="B122" s="636" t="s">
        <v>1123</v>
      </c>
      <c r="C122" s="637"/>
      <c r="D122" s="637"/>
      <c r="E122" s="637"/>
      <c r="F122" s="637"/>
      <c r="G122" s="637"/>
      <c r="H122" s="637"/>
      <c r="I122" s="637"/>
      <c r="J122" s="637"/>
      <c r="K122" s="637"/>
      <c r="L122" s="226">
        <v>1967288</v>
      </c>
      <c r="M122" s="637"/>
      <c r="N122" s="637"/>
      <c r="O122" s="638"/>
      <c r="P122" s="332">
        <v>371159</v>
      </c>
      <c r="R122" s="185"/>
    </row>
    <row r="123" spans="1:18">
      <c r="B123" s="320" t="s">
        <v>803</v>
      </c>
      <c r="C123" s="327">
        <f>SUM(C121+C109+C95)</f>
        <v>15066999</v>
      </c>
      <c r="D123" s="327">
        <f>SUM(D121+D109+D95)</f>
        <v>17252173</v>
      </c>
      <c r="E123" s="327">
        <f t="shared" ref="E123:O123" si="16">SUM(E121+E109+E95)</f>
        <v>17417558</v>
      </c>
      <c r="F123" s="327">
        <f t="shared" si="16"/>
        <v>17534705</v>
      </c>
      <c r="G123" s="327">
        <f t="shared" si="16"/>
        <v>18907128</v>
      </c>
      <c r="H123" s="327">
        <f t="shared" si="16"/>
        <v>18542224</v>
      </c>
      <c r="I123" s="327">
        <f t="shared" si="16"/>
        <v>19169401</v>
      </c>
      <c r="J123" s="327">
        <f t="shared" si="16"/>
        <v>19908537</v>
      </c>
      <c r="K123" s="327">
        <f>SUM(K121+K109+K95)</f>
        <v>20014346</v>
      </c>
      <c r="L123" s="327">
        <f>SUM(L121+L122+L109+L95)</f>
        <v>21599094</v>
      </c>
      <c r="M123" s="327">
        <f t="shared" si="16"/>
        <v>20731467</v>
      </c>
      <c r="N123" s="327">
        <f t="shared" si="16"/>
        <v>22431569</v>
      </c>
      <c r="O123" s="327">
        <f t="shared" si="16"/>
        <v>22168547</v>
      </c>
      <c r="P123" s="630">
        <f>SUM(P121+P109+P95+P122)</f>
        <v>24592358</v>
      </c>
    </row>
    <row r="126" spans="1:18" ht="15" customHeight="1">
      <c r="B126" s="212" t="s">
        <v>1126</v>
      </c>
    </row>
    <row r="127" spans="1:18" ht="15">
      <c r="B127" s="21" t="s">
        <v>535</v>
      </c>
    </row>
    <row r="129" spans="2:16">
      <c r="B129" s="657" t="s">
        <v>804</v>
      </c>
      <c r="C129" s="623" t="s">
        <v>711</v>
      </c>
      <c r="D129" s="623"/>
      <c r="E129" s="623"/>
      <c r="F129" s="623"/>
      <c r="G129" s="623"/>
      <c r="H129" s="623"/>
      <c r="I129" s="623"/>
      <c r="J129" s="623"/>
      <c r="K129" s="623"/>
      <c r="L129" s="623"/>
      <c r="M129" s="623"/>
      <c r="N129" s="623"/>
      <c r="O129" s="623"/>
      <c r="P129" s="623"/>
    </row>
    <row r="130" spans="2:16">
      <c r="B130" s="657"/>
      <c r="C130" s="314">
        <v>2016</v>
      </c>
      <c r="D130" s="315">
        <v>2017</v>
      </c>
      <c r="E130" s="315" t="s">
        <v>712</v>
      </c>
      <c r="F130" s="315" t="s">
        <v>713</v>
      </c>
      <c r="G130" s="315" t="s">
        <v>714</v>
      </c>
      <c r="H130" s="315" t="s">
        <v>715</v>
      </c>
      <c r="I130" s="315" t="s">
        <v>716</v>
      </c>
      <c r="J130" s="315" t="s">
        <v>717</v>
      </c>
      <c r="K130" s="315" t="s">
        <v>718</v>
      </c>
      <c r="L130" s="315" t="s">
        <v>719</v>
      </c>
      <c r="M130" s="315" t="s">
        <v>720</v>
      </c>
      <c r="N130" s="315" t="s">
        <v>721</v>
      </c>
      <c r="O130" s="315" t="s">
        <v>685</v>
      </c>
      <c r="P130" s="315" t="s">
        <v>1111</v>
      </c>
    </row>
    <row r="131" spans="2:16">
      <c r="B131" s="179" t="s">
        <v>805</v>
      </c>
      <c r="C131" s="226">
        <v>1099482.87901</v>
      </c>
      <c r="D131" s="226">
        <v>2039364</v>
      </c>
      <c r="E131" s="226">
        <f t="shared" ref="E131:N131" si="17">SUM(E132:E133)</f>
        <v>834640</v>
      </c>
      <c r="F131" s="226">
        <f t="shared" si="17"/>
        <v>844171</v>
      </c>
      <c r="G131" s="226">
        <f t="shared" si="17"/>
        <v>716485</v>
      </c>
      <c r="H131" s="226">
        <f t="shared" si="17"/>
        <v>808236</v>
      </c>
      <c r="I131" s="226">
        <f t="shared" si="17"/>
        <v>806853</v>
      </c>
      <c r="J131" s="226">
        <f t="shared" si="17"/>
        <v>807586</v>
      </c>
      <c r="K131" s="226">
        <f t="shared" si="17"/>
        <v>782483</v>
      </c>
      <c r="L131" s="226">
        <f t="shared" si="17"/>
        <v>852480</v>
      </c>
      <c r="M131" s="226">
        <f t="shared" si="17"/>
        <v>851478</v>
      </c>
      <c r="N131" s="226">
        <f t="shared" si="17"/>
        <v>1700533</v>
      </c>
      <c r="O131" s="226">
        <f>SUM(O132:O133)</f>
        <v>956151</v>
      </c>
      <c r="P131" s="625">
        <f>SUM(P132:P133)</f>
        <v>989357</v>
      </c>
    </row>
    <row r="132" spans="2:16">
      <c r="B132" s="179" t="s">
        <v>806</v>
      </c>
      <c r="C132" s="226">
        <v>1076083</v>
      </c>
      <c r="D132" s="226">
        <v>2013296</v>
      </c>
      <c r="E132" s="226">
        <v>827908</v>
      </c>
      <c r="F132" s="226">
        <v>837376</v>
      </c>
      <c r="G132" s="226">
        <v>709948</v>
      </c>
      <c r="H132" s="226">
        <v>801395</v>
      </c>
      <c r="I132" s="226">
        <v>799831</v>
      </c>
      <c r="J132" s="226">
        <v>800431</v>
      </c>
      <c r="K132" s="226">
        <v>772603</v>
      </c>
      <c r="L132" s="624">
        <v>844689</v>
      </c>
      <c r="M132" s="226">
        <v>843778</v>
      </c>
      <c r="N132" s="226">
        <v>1693051</v>
      </c>
      <c r="O132" s="226">
        <v>944448</v>
      </c>
      <c r="P132" s="625">
        <v>970710</v>
      </c>
    </row>
    <row r="133" spans="2:16">
      <c r="B133" s="179" t="s">
        <v>764</v>
      </c>
      <c r="C133" s="226">
        <v>23399.879010000001</v>
      </c>
      <c r="D133" s="226">
        <v>26068</v>
      </c>
      <c r="E133" s="226">
        <v>6732</v>
      </c>
      <c r="F133" s="226">
        <v>6795</v>
      </c>
      <c r="G133" s="226">
        <v>6537</v>
      </c>
      <c r="H133" s="226">
        <v>6841</v>
      </c>
      <c r="I133" s="226">
        <v>7022</v>
      </c>
      <c r="J133" s="226">
        <v>7155</v>
      </c>
      <c r="K133" s="226">
        <v>9880</v>
      </c>
      <c r="L133" s="624">
        <v>7791</v>
      </c>
      <c r="M133" s="226">
        <v>7700</v>
      </c>
      <c r="N133" s="226">
        <v>7482</v>
      </c>
      <c r="O133" s="226">
        <v>11703</v>
      </c>
      <c r="P133" s="625">
        <v>18647</v>
      </c>
    </row>
    <row r="134" spans="2:16">
      <c r="B134" s="179" t="s">
        <v>807</v>
      </c>
      <c r="C134" s="226">
        <v>-148298</v>
      </c>
      <c r="D134" s="226">
        <v>-261532</v>
      </c>
      <c r="E134" s="226">
        <v>-102316</v>
      </c>
      <c r="F134" s="226">
        <v>-104763</v>
      </c>
      <c r="G134" s="226">
        <v>-110622</v>
      </c>
      <c r="H134" s="226">
        <v>-118540</v>
      </c>
      <c r="I134" s="226">
        <v>-112689</v>
      </c>
      <c r="J134" s="226">
        <v>-115180</v>
      </c>
      <c r="K134" s="226">
        <v>-123950</v>
      </c>
      <c r="L134" s="226">
        <v>-123020</v>
      </c>
      <c r="M134" s="226">
        <v>-117137</v>
      </c>
      <c r="N134" s="226">
        <v>-203946</v>
      </c>
      <c r="O134" s="226">
        <v>-134892</v>
      </c>
      <c r="P134" s="226">
        <v>-150363</v>
      </c>
    </row>
    <row r="135" spans="2:16">
      <c r="B135" s="316" t="s">
        <v>808</v>
      </c>
      <c r="C135" s="317">
        <f>SUM(C132:C134)</f>
        <v>951184.87901000003</v>
      </c>
      <c r="D135" s="317">
        <f>SUM(D132:D134)</f>
        <v>1777832</v>
      </c>
      <c r="E135" s="317">
        <f t="shared" ref="E135:P135" si="18">SUM(E132:E134)</f>
        <v>732324</v>
      </c>
      <c r="F135" s="317">
        <f t="shared" si="18"/>
        <v>739408</v>
      </c>
      <c r="G135" s="317">
        <f t="shared" si="18"/>
        <v>605863</v>
      </c>
      <c r="H135" s="317">
        <f t="shared" si="18"/>
        <v>689696</v>
      </c>
      <c r="I135" s="317">
        <f t="shared" si="18"/>
        <v>694164</v>
      </c>
      <c r="J135" s="317">
        <f t="shared" si="18"/>
        <v>692406</v>
      </c>
      <c r="K135" s="317">
        <f t="shared" si="18"/>
        <v>658533</v>
      </c>
      <c r="L135" s="317">
        <f>SUM(L132:L134)</f>
        <v>729460</v>
      </c>
      <c r="M135" s="317">
        <f t="shared" si="18"/>
        <v>734341</v>
      </c>
      <c r="N135" s="317">
        <f t="shared" si="18"/>
        <v>1496587</v>
      </c>
      <c r="O135" s="317">
        <f t="shared" si="18"/>
        <v>821259</v>
      </c>
      <c r="P135" s="626">
        <f t="shared" si="18"/>
        <v>838994</v>
      </c>
    </row>
    <row r="136" spans="2:16">
      <c r="B136" s="182" t="s">
        <v>809</v>
      </c>
      <c r="C136" s="226">
        <f>SUM(C137:C141)</f>
        <v>-528915.87901000003</v>
      </c>
      <c r="D136" s="226">
        <f t="shared" ref="D136:P136" si="19">SUM(D137:D141)</f>
        <v>-811211</v>
      </c>
      <c r="E136" s="226">
        <f>SUM(E137:E141)</f>
        <v>-259669</v>
      </c>
      <c r="F136" s="226">
        <f t="shared" si="19"/>
        <v>-266599.70914000017</v>
      </c>
      <c r="G136" s="226">
        <f t="shared" si="19"/>
        <v>-265301.68775999983</v>
      </c>
      <c r="H136" s="226">
        <f>SUM(H137:H141)</f>
        <v>-310723</v>
      </c>
      <c r="I136" s="226">
        <f t="shared" si="19"/>
        <v>-275211</v>
      </c>
      <c r="J136" s="226">
        <f t="shared" si="19"/>
        <v>-315199</v>
      </c>
      <c r="K136" s="226">
        <f t="shared" si="19"/>
        <v>-293376</v>
      </c>
      <c r="L136" s="226">
        <f t="shared" si="19"/>
        <v>-274963</v>
      </c>
      <c r="M136" s="226">
        <f t="shared" si="19"/>
        <v>-268212</v>
      </c>
      <c r="N136" s="226">
        <f t="shared" si="19"/>
        <v>-266759</v>
      </c>
      <c r="O136" s="226">
        <f t="shared" si="19"/>
        <v>-279007</v>
      </c>
      <c r="P136" s="226">
        <f t="shared" si="19"/>
        <v>-335923</v>
      </c>
    </row>
    <row r="137" spans="2:16">
      <c r="B137" s="179" t="s">
        <v>730</v>
      </c>
      <c r="C137" s="226">
        <v>-275181</v>
      </c>
      <c r="D137" s="226">
        <v>-302269</v>
      </c>
      <c r="E137" s="226">
        <v>-77724</v>
      </c>
      <c r="F137" s="226">
        <v>-79437.08490999999</v>
      </c>
      <c r="G137" s="226">
        <v>-79695.635910000012</v>
      </c>
      <c r="H137" s="226">
        <v>-84104</v>
      </c>
      <c r="I137" s="226">
        <v>-83116</v>
      </c>
      <c r="J137" s="226">
        <v>-86108</v>
      </c>
      <c r="K137" s="226">
        <v>-87512</v>
      </c>
      <c r="L137" s="226">
        <v>-79759</v>
      </c>
      <c r="M137" s="226">
        <v>-74866</v>
      </c>
      <c r="N137" s="226">
        <v>-75789</v>
      </c>
      <c r="O137" s="226">
        <v>-79077</v>
      </c>
      <c r="P137" s="226">
        <v>-96909</v>
      </c>
    </row>
    <row r="138" spans="2:16">
      <c r="B138" s="179" t="s">
        <v>810</v>
      </c>
      <c r="C138" s="226">
        <v>-13746</v>
      </c>
      <c r="D138" s="226">
        <v>-13602</v>
      </c>
      <c r="E138" s="226">
        <v>-3016</v>
      </c>
      <c r="F138" s="226">
        <v>-3361.6449299999986</v>
      </c>
      <c r="G138" s="226">
        <v>-3472.1449000000016</v>
      </c>
      <c r="H138" s="226">
        <v>-5460</v>
      </c>
      <c r="I138" s="226">
        <v>-3151</v>
      </c>
      <c r="J138" s="226">
        <v>-3661</v>
      </c>
      <c r="K138" s="226">
        <v>-3935</v>
      </c>
      <c r="L138" s="226">
        <v>-3392</v>
      </c>
      <c r="M138" s="226">
        <v>-3005</v>
      </c>
      <c r="N138" s="226">
        <v>-3973</v>
      </c>
      <c r="O138" s="226">
        <v>-4052</v>
      </c>
      <c r="P138" s="226">
        <v>-7293</v>
      </c>
    </row>
    <row r="139" spans="2:16">
      <c r="B139" s="179" t="s">
        <v>732</v>
      </c>
      <c r="C139" s="226">
        <v>-124276.87901</v>
      </c>
      <c r="D139" s="226">
        <v>-129992</v>
      </c>
      <c r="E139" s="226">
        <v>-27374</v>
      </c>
      <c r="F139" s="226">
        <v>-28499.908660000005</v>
      </c>
      <c r="G139" s="226">
        <v>-30424.873219999998</v>
      </c>
      <c r="H139" s="226">
        <v>-50225</v>
      </c>
      <c r="I139" s="226">
        <v>-26995</v>
      </c>
      <c r="J139" s="226">
        <v>-60163</v>
      </c>
      <c r="K139" s="226">
        <v>-38649</v>
      </c>
      <c r="L139" s="226">
        <v>-36223</v>
      </c>
      <c r="M139" s="226">
        <v>-30082</v>
      </c>
      <c r="N139" s="226">
        <v>-26967</v>
      </c>
      <c r="O139" s="226">
        <v>-31328</v>
      </c>
      <c r="P139" s="226">
        <v>-52321</v>
      </c>
    </row>
    <row r="140" spans="2:16">
      <c r="B140" s="179" t="s">
        <v>733</v>
      </c>
      <c r="C140" s="226" t="s">
        <v>493</v>
      </c>
      <c r="D140" s="226">
        <v>-328174</v>
      </c>
      <c r="E140" s="226">
        <v>-145819</v>
      </c>
      <c r="F140" s="226">
        <v>-144676.13161000016</v>
      </c>
      <c r="G140" s="226">
        <v>-143519.27898999985</v>
      </c>
      <c r="H140" s="226">
        <v>-144958</v>
      </c>
      <c r="I140" s="226">
        <v>-144967</v>
      </c>
      <c r="J140" s="226">
        <v>-144568</v>
      </c>
      <c r="K140" s="226">
        <v>-143908</v>
      </c>
      <c r="L140" s="226">
        <v>-142114</v>
      </c>
      <c r="M140" s="226">
        <v>-140551</v>
      </c>
      <c r="N140" s="226">
        <v>-140231</v>
      </c>
      <c r="O140" s="226">
        <v>-139803</v>
      </c>
      <c r="P140" s="226">
        <v>-141730</v>
      </c>
    </row>
    <row r="141" spans="2:16">
      <c r="B141" s="179" t="s">
        <v>764</v>
      </c>
      <c r="C141" s="226">
        <v>-115712</v>
      </c>
      <c r="D141" s="226">
        <v>-37174</v>
      </c>
      <c r="E141" s="226">
        <v>-5736</v>
      </c>
      <c r="F141" s="226">
        <v>-10624.939030000001</v>
      </c>
      <c r="G141" s="226">
        <v>-8189.7547399999985</v>
      </c>
      <c r="H141" s="226">
        <v>-25976</v>
      </c>
      <c r="I141" s="226">
        <v>-16982</v>
      </c>
      <c r="J141" s="226">
        <v>-20699</v>
      </c>
      <c r="K141" s="226">
        <v>-19372</v>
      </c>
      <c r="L141" s="226">
        <v>-13475</v>
      </c>
      <c r="M141" s="226">
        <v>-19708</v>
      </c>
      <c r="N141" s="226">
        <v>-19799</v>
      </c>
      <c r="O141" s="226">
        <v>-24747</v>
      </c>
      <c r="P141" s="226">
        <v>-37670</v>
      </c>
    </row>
    <row r="142" spans="2:16">
      <c r="B142" s="316" t="s">
        <v>734</v>
      </c>
      <c r="C142" s="317">
        <f t="shared" ref="C142:P142" si="20">SUM(C135:C136)</f>
        <v>422269</v>
      </c>
      <c r="D142" s="317">
        <f t="shared" si="20"/>
        <v>966621</v>
      </c>
      <c r="E142" s="317">
        <f t="shared" si="20"/>
        <v>472655</v>
      </c>
      <c r="F142" s="317">
        <f t="shared" si="20"/>
        <v>472808.29085999983</v>
      </c>
      <c r="G142" s="317">
        <f t="shared" si="20"/>
        <v>340561.31224000017</v>
      </c>
      <c r="H142" s="317">
        <f t="shared" si="20"/>
        <v>378973</v>
      </c>
      <c r="I142" s="317">
        <f t="shared" si="20"/>
        <v>418953</v>
      </c>
      <c r="J142" s="317">
        <f t="shared" si="20"/>
        <v>377207</v>
      </c>
      <c r="K142" s="317">
        <f t="shared" si="20"/>
        <v>365157</v>
      </c>
      <c r="L142" s="317">
        <f t="shared" si="20"/>
        <v>454497</v>
      </c>
      <c r="M142" s="317">
        <f t="shared" si="20"/>
        <v>466129</v>
      </c>
      <c r="N142" s="317">
        <f t="shared" si="20"/>
        <v>1229828</v>
      </c>
      <c r="O142" s="317">
        <f t="shared" si="20"/>
        <v>542252</v>
      </c>
      <c r="P142" s="626">
        <f t="shared" si="20"/>
        <v>503071</v>
      </c>
    </row>
    <row r="143" spans="2:16">
      <c r="B143" s="179" t="s">
        <v>811</v>
      </c>
      <c r="C143" s="226">
        <f>SUM(C144:C148)</f>
        <v>-109929</v>
      </c>
      <c r="D143" s="226">
        <f>SUM(D144:D148)</f>
        <v>-66216</v>
      </c>
      <c r="E143" s="226">
        <v>-35293</v>
      </c>
      <c r="F143" s="226">
        <f t="shared" ref="F143:P143" si="21">SUM(F144:F148)</f>
        <v>-25692</v>
      </c>
      <c r="G143" s="226">
        <f t="shared" si="21"/>
        <v>-49331</v>
      </c>
      <c r="H143" s="226">
        <f t="shared" si="21"/>
        <v>-31898</v>
      </c>
      <c r="I143" s="226">
        <f t="shared" si="21"/>
        <v>-54493</v>
      </c>
      <c r="J143" s="226">
        <f t="shared" si="21"/>
        <v>-49190</v>
      </c>
      <c r="K143" s="226">
        <f t="shared" si="21"/>
        <v>-35369</v>
      </c>
      <c r="L143" s="226">
        <f t="shared" si="21"/>
        <v>-46970</v>
      </c>
      <c r="M143" s="226">
        <f t="shared" si="21"/>
        <v>-48618</v>
      </c>
      <c r="N143" s="226">
        <f t="shared" si="21"/>
        <v>-27897</v>
      </c>
      <c r="O143" s="226">
        <f t="shared" si="21"/>
        <v>-51135</v>
      </c>
      <c r="P143" s="226">
        <f t="shared" si="21"/>
        <v>-80333</v>
      </c>
    </row>
    <row r="144" spans="2:16">
      <c r="B144" s="179" t="s">
        <v>812</v>
      </c>
      <c r="C144" s="226">
        <v>68032</v>
      </c>
      <c r="D144" s="226">
        <v>43907</v>
      </c>
      <c r="E144" s="226">
        <v>10886</v>
      </c>
      <c r="F144" s="226">
        <v>18347</v>
      </c>
      <c r="G144" s="226">
        <v>19329</v>
      </c>
      <c r="H144" s="226">
        <v>25950</v>
      </c>
      <c r="I144" s="226">
        <v>14183</v>
      </c>
      <c r="J144" s="226">
        <v>18601</v>
      </c>
      <c r="K144" s="226">
        <v>19911</v>
      </c>
      <c r="L144" s="226">
        <v>13050</v>
      </c>
      <c r="M144" s="226">
        <v>21983</v>
      </c>
      <c r="N144" s="226">
        <v>10446</v>
      </c>
      <c r="O144" s="226">
        <v>8539</v>
      </c>
      <c r="P144" s="226">
        <v>8279</v>
      </c>
    </row>
    <row r="145" spans="2:16">
      <c r="B145" s="179" t="s">
        <v>813</v>
      </c>
      <c r="C145" s="226">
        <v>-33902</v>
      </c>
      <c r="D145" s="226">
        <v>-31989</v>
      </c>
      <c r="E145" s="226">
        <v>-9620</v>
      </c>
      <c r="F145" s="226">
        <v>-6447</v>
      </c>
      <c r="G145" s="226">
        <v>-17390</v>
      </c>
      <c r="H145" s="226">
        <v>-10500</v>
      </c>
      <c r="I145" s="226">
        <v>-15154</v>
      </c>
      <c r="J145" s="226">
        <v>-17631</v>
      </c>
      <c r="K145" s="226">
        <v>-6225</v>
      </c>
      <c r="L145" s="226">
        <v>-7350</v>
      </c>
      <c r="M145" s="226">
        <v>-26159</v>
      </c>
      <c r="N145" s="226">
        <v>9032</v>
      </c>
      <c r="O145" s="226">
        <v>-15182</v>
      </c>
      <c r="P145" s="226">
        <v>-42342</v>
      </c>
    </row>
    <row r="146" spans="2:16">
      <c r="B146" s="179" t="s">
        <v>814</v>
      </c>
      <c r="C146" s="226" t="s">
        <v>493</v>
      </c>
      <c r="D146" s="226">
        <v>-10483</v>
      </c>
      <c r="E146" s="226">
        <v>-580</v>
      </c>
      <c r="F146" s="226">
        <v>-580</v>
      </c>
      <c r="G146" s="226">
        <v>-599</v>
      </c>
      <c r="H146" s="226">
        <v>-554</v>
      </c>
      <c r="I146" s="226">
        <v>-205</v>
      </c>
      <c r="J146" s="226">
        <v>-622</v>
      </c>
      <c r="K146" s="226">
        <v>-626</v>
      </c>
      <c r="L146" s="226">
        <v>-667</v>
      </c>
      <c r="M146" s="226">
        <v>-418</v>
      </c>
      <c r="N146" s="226">
        <v>-656</v>
      </c>
      <c r="O146" s="226">
        <v>-613</v>
      </c>
      <c r="P146" s="226">
        <v>-622</v>
      </c>
    </row>
    <row r="147" spans="2:16">
      <c r="B147" s="179" t="s">
        <v>739</v>
      </c>
      <c r="C147" s="226">
        <v>-143799</v>
      </c>
      <c r="D147" s="226">
        <v>-111504</v>
      </c>
      <c r="E147" s="226">
        <v>-31704</v>
      </c>
      <c r="F147" s="226">
        <v>-35052</v>
      </c>
      <c r="G147" s="226">
        <v>-40182</v>
      </c>
      <c r="H147" s="226">
        <v>-39491</v>
      </c>
      <c r="I147" s="226">
        <v>-36444</v>
      </c>
      <c r="J147" s="226">
        <v>-36441</v>
      </c>
      <c r="K147" s="226">
        <v>-36635</v>
      </c>
      <c r="L147" s="226">
        <v>-35479</v>
      </c>
      <c r="M147" s="226">
        <v>-36389</v>
      </c>
      <c r="N147" s="226">
        <v>-41007</v>
      </c>
      <c r="O147" s="226">
        <v>-43225</v>
      </c>
      <c r="P147" s="226">
        <v>-46314</v>
      </c>
    </row>
    <row r="148" spans="2:16">
      <c r="B148" s="179" t="s">
        <v>764</v>
      </c>
      <c r="C148" s="226">
        <v>-260</v>
      </c>
      <c r="D148" s="226">
        <v>43853</v>
      </c>
      <c r="E148" s="226">
        <v>-4275</v>
      </c>
      <c r="F148" s="226">
        <v>-1960</v>
      </c>
      <c r="G148" s="226">
        <v>-10489</v>
      </c>
      <c r="H148" s="226">
        <v>-7303</v>
      </c>
      <c r="I148" s="226">
        <v>-16873</v>
      </c>
      <c r="J148" s="226">
        <v>-13097</v>
      </c>
      <c r="K148" s="226">
        <v>-11794</v>
      </c>
      <c r="L148" s="226">
        <v>-16524</v>
      </c>
      <c r="M148" s="226">
        <v>-7635</v>
      </c>
      <c r="N148" s="226">
        <v>-5712</v>
      </c>
      <c r="O148" s="226">
        <v>-654</v>
      </c>
      <c r="P148" s="226">
        <v>666</v>
      </c>
    </row>
    <row r="149" spans="2:16">
      <c r="B149" s="316" t="s">
        <v>815</v>
      </c>
      <c r="C149" s="317">
        <f t="shared" ref="C149:P149" si="22">SUM(C142:C143)</f>
        <v>312340</v>
      </c>
      <c r="D149" s="317">
        <f t="shared" si="22"/>
        <v>900405</v>
      </c>
      <c r="E149" s="317">
        <f t="shared" si="22"/>
        <v>437362</v>
      </c>
      <c r="F149" s="317">
        <f t="shared" si="22"/>
        <v>447116.29085999983</v>
      </c>
      <c r="G149" s="317">
        <f t="shared" si="22"/>
        <v>291230.31224000017</v>
      </c>
      <c r="H149" s="317">
        <f t="shared" si="22"/>
        <v>347075</v>
      </c>
      <c r="I149" s="317">
        <f t="shared" si="22"/>
        <v>364460</v>
      </c>
      <c r="J149" s="317">
        <f t="shared" si="22"/>
        <v>328017</v>
      </c>
      <c r="K149" s="317">
        <f t="shared" si="22"/>
        <v>329788</v>
      </c>
      <c r="L149" s="317">
        <f t="shared" si="22"/>
        <v>407527</v>
      </c>
      <c r="M149" s="317">
        <f t="shared" si="22"/>
        <v>417511</v>
      </c>
      <c r="N149" s="317">
        <f t="shared" si="22"/>
        <v>1201931</v>
      </c>
      <c r="O149" s="317">
        <f t="shared" si="22"/>
        <v>491117</v>
      </c>
      <c r="P149" s="626">
        <f t="shared" si="22"/>
        <v>422738</v>
      </c>
    </row>
    <row r="150" spans="2:16">
      <c r="B150" s="179" t="s">
        <v>816</v>
      </c>
      <c r="C150" s="226">
        <v>30152</v>
      </c>
      <c r="D150" s="226">
        <v>18271</v>
      </c>
      <c r="E150" s="226">
        <v>19347</v>
      </c>
      <c r="F150" s="226">
        <v>22431</v>
      </c>
      <c r="G150" s="226">
        <v>-2887</v>
      </c>
      <c r="H150" s="226">
        <v>7270</v>
      </c>
      <c r="I150" s="226">
        <v>16244</v>
      </c>
      <c r="J150" s="226">
        <v>10141</v>
      </c>
      <c r="K150" s="226">
        <v>16972</v>
      </c>
      <c r="L150" s="624">
        <v>26543</v>
      </c>
      <c r="M150" s="226">
        <v>20314</v>
      </c>
      <c r="N150" s="226">
        <v>-63930</v>
      </c>
      <c r="O150" s="226">
        <v>16039</v>
      </c>
      <c r="P150" s="226">
        <v>-32857</v>
      </c>
    </row>
    <row r="151" spans="2:16">
      <c r="B151" s="179" t="s">
        <v>817</v>
      </c>
      <c r="C151" s="226">
        <v>-26947</v>
      </c>
      <c r="D151" s="226">
        <v>35451</v>
      </c>
      <c r="E151" s="226">
        <v>4747</v>
      </c>
      <c r="F151" s="226">
        <v>-564</v>
      </c>
      <c r="G151" s="226">
        <v>-3244</v>
      </c>
      <c r="H151" s="226">
        <v>-6993</v>
      </c>
      <c r="I151" s="226">
        <v>-9562</v>
      </c>
      <c r="J151" s="226">
        <v>325</v>
      </c>
      <c r="K151" s="226">
        <v>589</v>
      </c>
      <c r="L151" s="226">
        <v>-1136</v>
      </c>
      <c r="M151" s="226">
        <v>-10187</v>
      </c>
      <c r="N151" s="226">
        <v>145268</v>
      </c>
      <c r="O151" s="226">
        <v>-13848</v>
      </c>
      <c r="P151" s="226">
        <v>-10641</v>
      </c>
    </row>
    <row r="152" spans="2:16">
      <c r="B152" s="316" t="s">
        <v>818</v>
      </c>
      <c r="C152" s="317">
        <f>SUM(C149:C151)</f>
        <v>315545</v>
      </c>
      <c r="D152" s="317">
        <f>SUM(D149:D151)</f>
        <v>954127</v>
      </c>
      <c r="E152" s="317">
        <f t="shared" ref="E152:P152" si="23">SUM(E149:E151)</f>
        <v>461456</v>
      </c>
      <c r="F152" s="317">
        <f t="shared" si="23"/>
        <v>468983.29085999983</v>
      </c>
      <c r="G152" s="317">
        <f t="shared" si="23"/>
        <v>285099.31224000017</v>
      </c>
      <c r="H152" s="317">
        <f t="shared" si="23"/>
        <v>347352</v>
      </c>
      <c r="I152" s="317">
        <f t="shared" si="23"/>
        <v>371142</v>
      </c>
      <c r="J152" s="317">
        <f t="shared" si="23"/>
        <v>338483</v>
      </c>
      <c r="K152" s="317">
        <f t="shared" si="23"/>
        <v>347349</v>
      </c>
      <c r="L152" s="317">
        <f t="shared" si="23"/>
        <v>432934</v>
      </c>
      <c r="M152" s="317">
        <f t="shared" si="23"/>
        <v>427638</v>
      </c>
      <c r="N152" s="317">
        <f t="shared" si="23"/>
        <v>1283269</v>
      </c>
      <c r="O152" s="317">
        <f t="shared" si="23"/>
        <v>493308</v>
      </c>
      <c r="P152" s="626">
        <f t="shared" si="23"/>
        <v>379240</v>
      </c>
    </row>
    <row r="153" spans="2:16">
      <c r="B153" s="179" t="s">
        <v>819</v>
      </c>
      <c r="C153" s="226">
        <f>SUM(C154:C155)</f>
        <v>-69738</v>
      </c>
      <c r="D153" s="226">
        <f>SUM(D154:D155)</f>
        <v>-318705</v>
      </c>
      <c r="E153" s="226">
        <f t="shared" ref="E153:P153" si="24">SUM(E154:E155)</f>
        <v>-156193</v>
      </c>
      <c r="F153" s="226">
        <f t="shared" si="24"/>
        <v>-126633</v>
      </c>
      <c r="G153" s="226">
        <f t="shared" si="24"/>
        <v>-93561</v>
      </c>
      <c r="H153" s="226">
        <f t="shared" si="24"/>
        <v>103386</v>
      </c>
      <c r="I153" s="226">
        <f t="shared" si="24"/>
        <v>-137075</v>
      </c>
      <c r="J153" s="226">
        <f t="shared" si="24"/>
        <v>-98143</v>
      </c>
      <c r="K153" s="226">
        <f t="shared" si="24"/>
        <v>67263</v>
      </c>
      <c r="L153" s="226">
        <f t="shared" si="24"/>
        <v>-83303</v>
      </c>
      <c r="M153" s="226">
        <f t="shared" si="24"/>
        <v>-103852</v>
      </c>
      <c r="N153" s="226">
        <f t="shared" si="24"/>
        <v>-362502</v>
      </c>
      <c r="O153" s="226">
        <f t="shared" si="24"/>
        <v>-90608</v>
      </c>
      <c r="P153" s="226">
        <f t="shared" si="24"/>
        <v>-2956</v>
      </c>
    </row>
    <row r="154" spans="2:16">
      <c r="B154" s="179" t="s">
        <v>745</v>
      </c>
      <c r="C154" s="226">
        <v>-79299</v>
      </c>
      <c r="D154" s="226">
        <v>-354491</v>
      </c>
      <c r="E154" s="226">
        <v>-176614</v>
      </c>
      <c r="F154" s="226">
        <v>-167891</v>
      </c>
      <c r="G154" s="226">
        <v>-152616</v>
      </c>
      <c r="H154" s="226">
        <v>89697</v>
      </c>
      <c r="I154" s="226">
        <v>-114844</v>
      </c>
      <c r="J154" s="226">
        <v>-132273</v>
      </c>
      <c r="K154" s="226">
        <v>4830</v>
      </c>
      <c r="L154" s="226">
        <v>-34509</v>
      </c>
      <c r="M154" s="226">
        <v>-77594</v>
      </c>
      <c r="N154" s="226">
        <v>-69687</v>
      </c>
      <c r="O154" s="226">
        <v>-234607</v>
      </c>
      <c r="P154" s="226">
        <v>-34067</v>
      </c>
    </row>
    <row r="155" spans="2:16">
      <c r="B155" s="179" t="s">
        <v>746</v>
      </c>
      <c r="C155" s="226">
        <v>9561</v>
      </c>
      <c r="D155" s="226">
        <v>35786</v>
      </c>
      <c r="E155" s="226">
        <v>20421</v>
      </c>
      <c r="F155" s="226">
        <v>41258</v>
      </c>
      <c r="G155" s="226">
        <v>59055</v>
      </c>
      <c r="H155" s="226">
        <v>13689</v>
      </c>
      <c r="I155" s="226">
        <v>-22231</v>
      </c>
      <c r="J155" s="226">
        <v>34130</v>
      </c>
      <c r="K155" s="226">
        <v>62433</v>
      </c>
      <c r="L155" s="226">
        <v>-48794</v>
      </c>
      <c r="M155" s="226">
        <v>-26258</v>
      </c>
      <c r="N155" s="226">
        <v>-292815</v>
      </c>
      <c r="O155" s="226">
        <v>143999</v>
      </c>
      <c r="P155" s="625">
        <v>31111</v>
      </c>
    </row>
    <row r="156" spans="2:16" ht="28.5">
      <c r="B156" s="328" t="s">
        <v>820</v>
      </c>
      <c r="C156" s="317">
        <f>SUM(C152:C153)</f>
        <v>245807</v>
      </c>
      <c r="D156" s="317">
        <f>SUM(D152:D153)</f>
        <v>635422</v>
      </c>
      <c r="E156" s="317">
        <f t="shared" ref="E156:P156" si="25">SUM(E152:E153)</f>
        <v>305263</v>
      </c>
      <c r="F156" s="317">
        <f t="shared" si="25"/>
        <v>342350.29085999983</v>
      </c>
      <c r="G156" s="317">
        <f t="shared" si="25"/>
        <v>191538.31224000017</v>
      </c>
      <c r="H156" s="317">
        <f t="shared" si="25"/>
        <v>450738</v>
      </c>
      <c r="I156" s="317">
        <f t="shared" si="25"/>
        <v>234067</v>
      </c>
      <c r="J156" s="317">
        <f t="shared" si="25"/>
        <v>240340</v>
      </c>
      <c r="K156" s="317">
        <f t="shared" si="25"/>
        <v>414612</v>
      </c>
      <c r="L156" s="317">
        <f t="shared" si="25"/>
        <v>349631</v>
      </c>
      <c r="M156" s="317">
        <f t="shared" si="25"/>
        <v>323786</v>
      </c>
      <c r="N156" s="317">
        <f t="shared" si="25"/>
        <v>920767</v>
      </c>
      <c r="O156" s="317">
        <f t="shared" si="25"/>
        <v>402700</v>
      </c>
      <c r="P156" s="626">
        <f t="shared" si="25"/>
        <v>376284</v>
      </c>
    </row>
    <row r="157" spans="2:16">
      <c r="B157" s="179" t="s">
        <v>821</v>
      </c>
      <c r="C157" s="226">
        <v>-17022</v>
      </c>
      <c r="D157" s="226">
        <v>-19947.994313528299</v>
      </c>
      <c r="E157" s="226">
        <v>-3460</v>
      </c>
      <c r="F157" s="226">
        <v>-3285</v>
      </c>
      <c r="G157" s="226">
        <v>-3419</v>
      </c>
      <c r="H157" s="226">
        <v>-3413</v>
      </c>
      <c r="I157" s="226">
        <v>-3879</v>
      </c>
      <c r="J157" s="226">
        <v>-4367</v>
      </c>
      <c r="K157" s="226">
        <v>-4342</v>
      </c>
      <c r="L157" s="226">
        <v>-4232</v>
      </c>
      <c r="M157" s="226">
        <v>-15497</v>
      </c>
      <c r="N157" s="226">
        <v>-1667</v>
      </c>
      <c r="O157" s="226">
        <v>-2143</v>
      </c>
      <c r="P157" s="226">
        <v>-1840</v>
      </c>
    </row>
    <row r="158" spans="2:16">
      <c r="B158" s="316" t="s">
        <v>822</v>
      </c>
      <c r="C158" s="317">
        <f>SUM(C156:C157)</f>
        <v>228785</v>
      </c>
      <c r="D158" s="317">
        <f t="shared" ref="D158:P158" si="26">SUM(D156:D157)</f>
        <v>615474.0056864717</v>
      </c>
      <c r="E158" s="317">
        <f t="shared" si="26"/>
        <v>301803</v>
      </c>
      <c r="F158" s="317">
        <f t="shared" si="26"/>
        <v>339065.29085999983</v>
      </c>
      <c r="G158" s="317">
        <f t="shared" si="26"/>
        <v>188119.31224000017</v>
      </c>
      <c r="H158" s="317">
        <f t="shared" si="26"/>
        <v>447325</v>
      </c>
      <c r="I158" s="317">
        <f t="shared" si="26"/>
        <v>230188</v>
      </c>
      <c r="J158" s="317">
        <f t="shared" si="26"/>
        <v>235973</v>
      </c>
      <c r="K158" s="317">
        <f t="shared" si="26"/>
        <v>410270</v>
      </c>
      <c r="L158" s="317">
        <f t="shared" si="26"/>
        <v>345399</v>
      </c>
      <c r="M158" s="317">
        <f t="shared" si="26"/>
        <v>308289</v>
      </c>
      <c r="N158" s="317">
        <f t="shared" si="26"/>
        <v>919100</v>
      </c>
      <c r="O158" s="317">
        <f t="shared" si="26"/>
        <v>400557</v>
      </c>
      <c r="P158" s="626">
        <f t="shared" si="26"/>
        <v>374444</v>
      </c>
    </row>
    <row r="159" spans="2:16">
      <c r="B159" s="182"/>
      <c r="C159" s="227"/>
      <c r="D159" s="227"/>
      <c r="E159" s="227"/>
      <c r="F159" s="227"/>
      <c r="G159" s="227"/>
      <c r="H159" s="227"/>
      <c r="I159" s="227"/>
      <c r="J159" s="227"/>
      <c r="K159" s="227"/>
      <c r="L159" s="227"/>
      <c r="M159" s="227"/>
      <c r="N159" s="227"/>
      <c r="O159" s="227"/>
    </row>
    <row r="161" spans="2:16" ht="15">
      <c r="B161" s="212" t="s">
        <v>1128</v>
      </c>
    </row>
    <row r="162" spans="2:16" ht="15">
      <c r="B162" s="21" t="s">
        <v>535</v>
      </c>
    </row>
    <row r="164" spans="2:16">
      <c r="B164" s="658" t="s">
        <v>823</v>
      </c>
      <c r="C164" s="623" t="s">
        <v>711</v>
      </c>
      <c r="D164" s="623"/>
      <c r="E164" s="623"/>
      <c r="F164" s="623"/>
      <c r="G164" s="623"/>
      <c r="H164" s="623"/>
      <c r="I164" s="623"/>
      <c r="J164" s="623"/>
      <c r="K164" s="623"/>
      <c r="L164" s="623"/>
      <c r="M164" s="623"/>
      <c r="N164" s="623"/>
      <c r="O164" s="623"/>
      <c r="P164" s="623"/>
    </row>
    <row r="165" spans="2:16">
      <c r="B165" s="658"/>
      <c r="C165" s="314">
        <v>2016</v>
      </c>
      <c r="D165" s="315">
        <v>2017</v>
      </c>
      <c r="E165" s="315" t="s">
        <v>712</v>
      </c>
      <c r="F165" s="315" t="s">
        <v>713</v>
      </c>
      <c r="G165" s="315" t="s">
        <v>714</v>
      </c>
      <c r="H165" s="315" t="s">
        <v>715</v>
      </c>
      <c r="I165" s="315" t="s">
        <v>716</v>
      </c>
      <c r="J165" s="315" t="s">
        <v>717</v>
      </c>
      <c r="K165" s="315" t="s">
        <v>718</v>
      </c>
      <c r="L165" s="315" t="s">
        <v>719</v>
      </c>
      <c r="M165" s="315" t="s">
        <v>720</v>
      </c>
      <c r="N165" s="315" t="s">
        <v>721</v>
      </c>
      <c r="O165" s="315" t="s">
        <v>685</v>
      </c>
      <c r="P165" s="315" t="s">
        <v>1111</v>
      </c>
    </row>
    <row r="166" spans="2:16">
      <c r="B166" s="322" t="s">
        <v>824</v>
      </c>
      <c r="C166" s="323"/>
      <c r="D166" s="323"/>
      <c r="E166" s="323"/>
      <c r="F166" s="322"/>
      <c r="G166" s="323"/>
      <c r="H166" s="323"/>
      <c r="I166" s="323"/>
      <c r="J166" s="323"/>
      <c r="K166" s="323"/>
      <c r="L166" s="323"/>
      <c r="M166" s="323"/>
      <c r="N166" s="323"/>
      <c r="O166" s="323"/>
    </row>
    <row r="167" spans="2:16">
      <c r="B167" s="179" t="s">
        <v>825</v>
      </c>
      <c r="C167" s="226">
        <v>4524</v>
      </c>
      <c r="D167" s="226">
        <v>6585</v>
      </c>
      <c r="E167" s="226">
        <v>11749</v>
      </c>
      <c r="F167" s="226">
        <v>7059</v>
      </c>
      <c r="G167" s="226">
        <v>12736</v>
      </c>
      <c r="H167" s="226">
        <v>16740</v>
      </c>
      <c r="I167" s="226">
        <v>17968</v>
      </c>
      <c r="J167" s="226">
        <v>14039</v>
      </c>
      <c r="K167" s="226">
        <v>7110</v>
      </c>
      <c r="L167" s="226">
        <v>595971</v>
      </c>
      <c r="M167" s="226">
        <v>757278</v>
      </c>
      <c r="N167" s="226">
        <v>1320153</v>
      </c>
      <c r="O167" s="226">
        <v>799542</v>
      </c>
      <c r="P167" s="625">
        <v>2067337</v>
      </c>
    </row>
    <row r="168" spans="2:16">
      <c r="B168" s="179" t="s">
        <v>756</v>
      </c>
      <c r="C168" s="226">
        <v>336138</v>
      </c>
      <c r="D168" s="226">
        <v>610066</v>
      </c>
      <c r="E168" s="226">
        <v>716226</v>
      </c>
      <c r="F168" s="226">
        <v>843828</v>
      </c>
      <c r="G168" s="226">
        <v>1591227</v>
      </c>
      <c r="H168" s="226">
        <v>680909</v>
      </c>
      <c r="I168" s="226">
        <v>1087284</v>
      </c>
      <c r="J168" s="226">
        <v>1330308</v>
      </c>
      <c r="K168" s="226">
        <v>1197427</v>
      </c>
      <c r="L168" s="226">
        <v>2068611</v>
      </c>
      <c r="M168" s="226">
        <v>511984</v>
      </c>
      <c r="N168" s="226">
        <v>565480</v>
      </c>
      <c r="O168" s="226">
        <v>541218</v>
      </c>
      <c r="P168" s="625">
        <v>453557</v>
      </c>
    </row>
    <row r="169" spans="2:16">
      <c r="B169" s="179" t="s">
        <v>826</v>
      </c>
      <c r="C169" s="226">
        <v>83117</v>
      </c>
      <c r="D169" s="226">
        <v>287868</v>
      </c>
      <c r="E169" s="226">
        <v>230726.7178499999</v>
      </c>
      <c r="F169" s="226">
        <v>315405</v>
      </c>
      <c r="G169" s="226">
        <v>246775</v>
      </c>
      <c r="H169" s="226">
        <v>270923</v>
      </c>
      <c r="I169" s="226">
        <v>276793</v>
      </c>
      <c r="J169" s="226">
        <v>293727</v>
      </c>
      <c r="K169" s="226">
        <v>248303</v>
      </c>
      <c r="L169" s="226">
        <v>256674</v>
      </c>
      <c r="M169" s="226">
        <v>281522</v>
      </c>
      <c r="N169" s="226">
        <v>1181589</v>
      </c>
      <c r="O169" s="226">
        <v>632473</v>
      </c>
      <c r="P169" s="625">
        <v>658932</v>
      </c>
    </row>
    <row r="170" spans="2:16">
      <c r="B170" s="179" t="s">
        <v>827</v>
      </c>
      <c r="C170" s="226">
        <v>16700</v>
      </c>
      <c r="D170" s="226">
        <v>18831</v>
      </c>
      <c r="E170" s="226">
        <v>17085</v>
      </c>
      <c r="F170" s="226">
        <v>16396</v>
      </c>
      <c r="G170" s="226">
        <v>16099</v>
      </c>
      <c r="H170" s="226">
        <v>20365</v>
      </c>
      <c r="I170" s="226">
        <v>18709</v>
      </c>
      <c r="J170" s="226">
        <v>15935</v>
      </c>
      <c r="K170" s="226">
        <v>15742</v>
      </c>
      <c r="L170" s="226">
        <v>14942</v>
      </c>
      <c r="M170" s="226">
        <v>15165</v>
      </c>
      <c r="N170" s="226">
        <v>14959</v>
      </c>
      <c r="O170" s="226">
        <v>17505</v>
      </c>
      <c r="P170" s="625">
        <v>22652</v>
      </c>
    </row>
    <row r="171" spans="2:16">
      <c r="B171" s="179" t="s">
        <v>828</v>
      </c>
      <c r="C171" s="226">
        <v>0</v>
      </c>
      <c r="D171" s="226">
        <v>4307</v>
      </c>
      <c r="E171" s="226">
        <v>0</v>
      </c>
      <c r="F171" s="226">
        <v>0</v>
      </c>
      <c r="G171" s="226">
        <v>9512</v>
      </c>
      <c r="H171" s="226">
        <v>14879</v>
      </c>
      <c r="I171" s="226">
        <v>16631</v>
      </c>
      <c r="J171" s="226">
        <v>19974</v>
      </c>
      <c r="K171" s="226">
        <v>25639</v>
      </c>
      <c r="L171" s="226">
        <v>17452</v>
      </c>
      <c r="M171" s="226">
        <v>9681</v>
      </c>
      <c r="N171" s="226">
        <v>19543</v>
      </c>
      <c r="O171" s="226">
        <v>19717</v>
      </c>
      <c r="P171" s="625">
        <v>22259</v>
      </c>
    </row>
    <row r="172" spans="2:16">
      <c r="B172" s="179" t="s">
        <v>829</v>
      </c>
      <c r="C172" s="226">
        <v>17531</v>
      </c>
      <c r="D172" s="226">
        <v>14162</v>
      </c>
      <c r="E172" s="226">
        <v>132735</v>
      </c>
      <c r="F172" s="226">
        <v>216638</v>
      </c>
      <c r="G172" s="226">
        <v>314092</v>
      </c>
      <c r="H172" s="226">
        <v>29521</v>
      </c>
      <c r="I172" s="226">
        <v>84201</v>
      </c>
      <c r="J172" s="226">
        <v>169403</v>
      </c>
      <c r="K172" s="226">
        <v>215694</v>
      </c>
      <c r="L172" s="226">
        <v>32335</v>
      </c>
      <c r="M172" s="226">
        <v>43483</v>
      </c>
      <c r="N172" s="226">
        <v>84600</v>
      </c>
      <c r="O172" s="226">
        <v>210886</v>
      </c>
      <c r="P172" s="625">
        <v>28807</v>
      </c>
    </row>
    <row r="173" spans="2:16">
      <c r="B173" s="179" t="s">
        <v>760</v>
      </c>
      <c r="C173" s="226">
        <v>0</v>
      </c>
      <c r="D173" s="226">
        <v>2611</v>
      </c>
      <c r="E173" s="226">
        <v>0</v>
      </c>
      <c r="F173" s="226">
        <v>0</v>
      </c>
      <c r="G173" s="226">
        <v>0</v>
      </c>
      <c r="H173" s="226">
        <v>0</v>
      </c>
      <c r="I173" s="226">
        <v>0</v>
      </c>
      <c r="J173" s="226">
        <v>0</v>
      </c>
      <c r="K173" s="226">
        <v>67372</v>
      </c>
      <c r="L173" s="226">
        <v>19202</v>
      </c>
      <c r="M173" s="226">
        <v>228664</v>
      </c>
      <c r="N173" s="226">
        <v>255557</v>
      </c>
      <c r="O173" s="226">
        <v>14138</v>
      </c>
      <c r="P173" s="625">
        <v>12368</v>
      </c>
    </row>
    <row r="174" spans="2:16">
      <c r="B174" s="179" t="s">
        <v>830</v>
      </c>
      <c r="C174" s="226">
        <v>23518</v>
      </c>
      <c r="D174" s="226">
        <v>0</v>
      </c>
      <c r="E174" s="226">
        <v>0</v>
      </c>
      <c r="F174" s="226">
        <v>0</v>
      </c>
      <c r="G174" s="226">
        <v>0</v>
      </c>
      <c r="H174" s="226">
        <v>0</v>
      </c>
      <c r="I174" s="226">
        <v>0</v>
      </c>
      <c r="J174" s="226">
        <v>0</v>
      </c>
      <c r="K174" s="226">
        <v>0</v>
      </c>
      <c r="L174" s="226">
        <v>0</v>
      </c>
      <c r="M174" s="226">
        <v>0</v>
      </c>
      <c r="N174" s="226">
        <v>0</v>
      </c>
      <c r="O174" s="226">
        <v>0</v>
      </c>
      <c r="P174" s="625" t="s">
        <v>493</v>
      </c>
    </row>
    <row r="175" spans="2:16">
      <c r="B175" s="179" t="s">
        <v>831</v>
      </c>
      <c r="C175" s="226">
        <v>18041</v>
      </c>
      <c r="D175" s="226">
        <v>902.90506000000005</v>
      </c>
      <c r="E175" s="226">
        <v>490.49568999999974</v>
      </c>
      <c r="F175" s="226">
        <v>825</v>
      </c>
      <c r="G175" s="226">
        <v>423</v>
      </c>
      <c r="H175" s="226">
        <v>323</v>
      </c>
      <c r="I175" s="226">
        <v>4276</v>
      </c>
      <c r="J175" s="226">
        <v>9056</v>
      </c>
      <c r="K175" s="226">
        <v>9265</v>
      </c>
      <c r="L175" s="226">
        <v>703</v>
      </c>
      <c r="M175" s="226">
        <v>917</v>
      </c>
      <c r="N175" s="226">
        <v>1013</v>
      </c>
      <c r="O175" s="226">
        <v>580</v>
      </c>
      <c r="P175" s="625">
        <v>5649</v>
      </c>
    </row>
    <row r="176" spans="2:16">
      <c r="B176" s="179" t="s">
        <v>832</v>
      </c>
      <c r="C176" s="226">
        <v>10303</v>
      </c>
      <c r="D176" s="226">
        <v>4607</v>
      </c>
      <c r="E176" s="226">
        <v>40927</v>
      </c>
      <c r="F176" s="226">
        <v>22245</v>
      </c>
      <c r="G176" s="226">
        <v>13145</v>
      </c>
      <c r="H176" s="226">
        <v>8384</v>
      </c>
      <c r="I176" s="226">
        <v>34841</v>
      </c>
      <c r="J176" s="226">
        <v>24862</v>
      </c>
      <c r="K176" s="226">
        <v>14657</v>
      </c>
      <c r="L176" s="226">
        <v>4677</v>
      </c>
      <c r="M176" s="226">
        <v>33212</v>
      </c>
      <c r="N176" s="226">
        <v>24292</v>
      </c>
      <c r="O176" s="226">
        <v>15324</v>
      </c>
      <c r="P176" s="625">
        <v>6400</v>
      </c>
    </row>
    <row r="177" spans="2:16">
      <c r="B177" s="179" t="s">
        <v>833</v>
      </c>
      <c r="C177" s="226">
        <v>0</v>
      </c>
      <c r="D177" s="226">
        <v>1141</v>
      </c>
      <c r="E177" s="226">
        <v>0</v>
      </c>
      <c r="F177" s="226">
        <v>0</v>
      </c>
      <c r="G177" s="226">
        <v>1211</v>
      </c>
      <c r="H177" s="226">
        <v>1787</v>
      </c>
      <c r="I177" s="226">
        <v>1814</v>
      </c>
      <c r="J177" s="226">
        <v>1833</v>
      </c>
      <c r="K177" s="226">
        <v>1862</v>
      </c>
      <c r="L177" s="226">
        <v>1876</v>
      </c>
      <c r="M177" s="226">
        <v>1887</v>
      </c>
      <c r="N177" s="226">
        <v>1894</v>
      </c>
      <c r="O177" s="226">
        <v>1892</v>
      </c>
      <c r="P177" s="625">
        <v>1808</v>
      </c>
    </row>
    <row r="178" spans="2:16">
      <c r="B178" s="179" t="s">
        <v>764</v>
      </c>
      <c r="C178" s="226">
        <v>49486</v>
      </c>
      <c r="D178" s="226">
        <v>42433</v>
      </c>
      <c r="E178" s="226">
        <v>66666</v>
      </c>
      <c r="F178" s="226">
        <v>83296</v>
      </c>
      <c r="G178" s="226">
        <v>41921</v>
      </c>
      <c r="H178" s="226">
        <v>48818</v>
      </c>
      <c r="I178" s="226">
        <v>43681</v>
      </c>
      <c r="J178" s="226">
        <v>41017</v>
      </c>
      <c r="K178" s="226">
        <v>36844</v>
      </c>
      <c r="L178" s="226">
        <v>41133</v>
      </c>
      <c r="M178" s="226">
        <v>39483</v>
      </c>
      <c r="N178" s="226">
        <v>76935</v>
      </c>
      <c r="O178" s="226">
        <v>71323</v>
      </c>
      <c r="P178" s="625">
        <v>69415</v>
      </c>
    </row>
    <row r="179" spans="2:16">
      <c r="B179" s="320"/>
      <c r="C179" s="329">
        <f t="shared" ref="C179:P179" si="27">SUM(C167:C178)</f>
        <v>559358</v>
      </c>
      <c r="D179" s="329">
        <f t="shared" si="27"/>
        <v>993513.90506000002</v>
      </c>
      <c r="E179" s="329">
        <f t="shared" si="27"/>
        <v>1216605.2135399999</v>
      </c>
      <c r="F179" s="329">
        <f t="shared" si="27"/>
        <v>1505692</v>
      </c>
      <c r="G179" s="329">
        <f t="shared" si="27"/>
        <v>2247141</v>
      </c>
      <c r="H179" s="329">
        <f t="shared" si="27"/>
        <v>1092649</v>
      </c>
      <c r="I179" s="329">
        <f t="shared" si="27"/>
        <v>1586198</v>
      </c>
      <c r="J179" s="329">
        <f t="shared" si="27"/>
        <v>1920154</v>
      </c>
      <c r="K179" s="329">
        <f t="shared" si="27"/>
        <v>1839915</v>
      </c>
      <c r="L179" s="329">
        <f t="shared" si="27"/>
        <v>3053576</v>
      </c>
      <c r="M179" s="329">
        <f t="shared" si="27"/>
        <v>1923276</v>
      </c>
      <c r="N179" s="329">
        <f t="shared" si="27"/>
        <v>3546015</v>
      </c>
      <c r="O179" s="329">
        <f t="shared" si="27"/>
        <v>2324598</v>
      </c>
      <c r="P179" s="630">
        <f t="shared" si="27"/>
        <v>3349184</v>
      </c>
    </row>
    <row r="180" spans="2:16">
      <c r="B180" s="322" t="s">
        <v>834</v>
      </c>
      <c r="C180" s="323"/>
      <c r="D180" s="323"/>
      <c r="E180" s="323"/>
      <c r="F180" s="322"/>
      <c r="G180" s="323"/>
      <c r="H180" s="323"/>
      <c r="I180" s="323"/>
      <c r="J180" s="323"/>
      <c r="K180" s="323"/>
      <c r="L180" s="323"/>
      <c r="M180" s="323"/>
      <c r="N180" s="323"/>
      <c r="O180" s="323"/>
      <c r="P180" s="631"/>
    </row>
    <row r="181" spans="2:16">
      <c r="B181" s="330" t="s">
        <v>835</v>
      </c>
      <c r="C181" s="331"/>
      <c r="D181" s="331"/>
      <c r="E181" s="331"/>
      <c r="F181" s="331"/>
      <c r="G181" s="331"/>
      <c r="H181" s="331"/>
      <c r="I181" s="331"/>
      <c r="J181" s="331"/>
      <c r="K181" s="331"/>
      <c r="L181" s="331"/>
      <c r="M181" s="331"/>
      <c r="N181" s="331"/>
      <c r="O181" s="331"/>
      <c r="P181" s="639"/>
    </row>
    <row r="182" spans="2:16">
      <c r="B182" s="179" t="s">
        <v>833</v>
      </c>
      <c r="C182" s="226">
        <v>0</v>
      </c>
      <c r="D182" s="226">
        <v>35674</v>
      </c>
      <c r="E182" s="226">
        <v>0</v>
      </c>
      <c r="F182" s="226">
        <v>0</v>
      </c>
      <c r="G182" s="226">
        <v>43818</v>
      </c>
      <c r="H182" s="226">
        <v>42268</v>
      </c>
      <c r="I182" s="226">
        <v>44888</v>
      </c>
      <c r="J182" s="226">
        <v>47771</v>
      </c>
      <c r="K182" s="226">
        <v>47245</v>
      </c>
      <c r="L182" s="226">
        <v>46515</v>
      </c>
      <c r="M182" s="226">
        <v>46649</v>
      </c>
      <c r="N182" s="226">
        <v>46926</v>
      </c>
      <c r="O182" s="226">
        <v>46981</v>
      </c>
      <c r="P182" s="625">
        <v>46903</v>
      </c>
    </row>
    <row r="183" spans="2:16">
      <c r="B183" s="179" t="s">
        <v>826</v>
      </c>
      <c r="C183" s="226">
        <v>9117</v>
      </c>
      <c r="D183" s="226">
        <v>20329</v>
      </c>
      <c r="E183" s="226">
        <v>14973.786459999159</v>
      </c>
      <c r="F183" s="226">
        <v>20664</v>
      </c>
      <c r="G183" s="226">
        <v>9769</v>
      </c>
      <c r="H183" s="226">
        <v>10575</v>
      </c>
      <c r="I183" s="226">
        <v>10666</v>
      </c>
      <c r="J183" s="226">
        <v>10594</v>
      </c>
      <c r="K183" s="226">
        <v>10663</v>
      </c>
      <c r="L183" s="226">
        <v>10679</v>
      </c>
      <c r="M183" s="226">
        <v>10700</v>
      </c>
      <c r="N183" s="226">
        <v>10726</v>
      </c>
      <c r="O183" s="226">
        <v>578837</v>
      </c>
      <c r="P183" s="625">
        <v>498309</v>
      </c>
    </row>
    <row r="184" spans="2:16">
      <c r="B184" s="179" t="s">
        <v>836</v>
      </c>
      <c r="C184" s="226">
        <v>1150358</v>
      </c>
      <c r="D184" s="226">
        <v>1312791</v>
      </c>
      <c r="E184" s="226">
        <v>1363119</v>
      </c>
      <c r="F184" s="226">
        <v>1409142</v>
      </c>
      <c r="G184" s="226">
        <v>1425474</v>
      </c>
      <c r="H184" s="226">
        <v>1426083</v>
      </c>
      <c r="I184" s="226">
        <v>1426613</v>
      </c>
      <c r="J184" s="226">
        <v>1473391</v>
      </c>
      <c r="K184" s="226">
        <v>1518151</v>
      </c>
      <c r="L184" s="226">
        <v>1576332</v>
      </c>
      <c r="M184" s="226">
        <v>1620971</v>
      </c>
      <c r="N184" s="226">
        <v>1668555</v>
      </c>
      <c r="O184" s="226">
        <v>1724394</v>
      </c>
      <c r="P184" s="625">
        <v>1778999</v>
      </c>
    </row>
    <row r="185" spans="2:16">
      <c r="B185" s="179" t="s">
        <v>837</v>
      </c>
      <c r="C185" s="226">
        <v>229085</v>
      </c>
      <c r="D185" s="226" t="s">
        <v>493</v>
      </c>
      <c r="E185" s="226" t="s">
        <v>493</v>
      </c>
      <c r="F185" s="226" t="s">
        <v>493</v>
      </c>
      <c r="G185" s="226" t="s">
        <v>493</v>
      </c>
      <c r="H185" s="226" t="s">
        <v>493</v>
      </c>
      <c r="I185" s="226" t="s">
        <v>493</v>
      </c>
      <c r="J185" s="226" t="s">
        <v>493</v>
      </c>
      <c r="K185" s="332" t="s">
        <v>493</v>
      </c>
      <c r="L185" s="332" t="s">
        <v>493</v>
      </c>
      <c r="M185" s="226" t="s">
        <v>493</v>
      </c>
      <c r="N185" s="226" t="s">
        <v>493</v>
      </c>
      <c r="O185" s="226">
        <v>0</v>
      </c>
      <c r="P185" s="625" t="s">
        <v>493</v>
      </c>
    </row>
    <row r="186" spans="2:16">
      <c r="B186" s="179" t="s">
        <v>830</v>
      </c>
      <c r="C186" s="226">
        <v>0</v>
      </c>
      <c r="D186" s="226">
        <v>0</v>
      </c>
      <c r="E186" s="226">
        <v>0</v>
      </c>
      <c r="F186" s="226">
        <v>0</v>
      </c>
      <c r="G186" s="226">
        <v>0</v>
      </c>
      <c r="H186" s="226">
        <v>0</v>
      </c>
      <c r="I186" s="226">
        <v>76</v>
      </c>
      <c r="J186" s="226">
        <v>329</v>
      </c>
      <c r="K186" s="226">
        <v>2226</v>
      </c>
      <c r="L186" s="226">
        <v>242</v>
      </c>
      <c r="M186" s="226">
        <v>0</v>
      </c>
      <c r="N186" s="226">
        <v>0</v>
      </c>
      <c r="O186" s="226">
        <v>0</v>
      </c>
      <c r="P186" s="625" t="s">
        <v>493</v>
      </c>
    </row>
    <row r="187" spans="2:16">
      <c r="B187" s="179" t="s">
        <v>772</v>
      </c>
      <c r="C187" s="226">
        <v>70175</v>
      </c>
      <c r="D187" s="226">
        <v>66414</v>
      </c>
      <c r="E187" s="226">
        <v>66571</v>
      </c>
      <c r="F187" s="226">
        <v>65070</v>
      </c>
      <c r="G187" s="226">
        <v>66816</v>
      </c>
      <c r="H187" s="226">
        <v>66987</v>
      </c>
      <c r="I187" s="226">
        <v>64874</v>
      </c>
      <c r="J187" s="226">
        <v>64007</v>
      </c>
      <c r="K187" s="226">
        <v>58867</v>
      </c>
      <c r="L187" s="226">
        <v>52886</v>
      </c>
      <c r="M187" s="226">
        <v>51597</v>
      </c>
      <c r="N187" s="226">
        <v>49133</v>
      </c>
      <c r="O187" s="226">
        <v>41575</v>
      </c>
      <c r="P187" s="625">
        <v>44119</v>
      </c>
    </row>
    <row r="188" spans="2:16">
      <c r="B188" s="179" t="s">
        <v>773</v>
      </c>
      <c r="C188" s="226">
        <v>0</v>
      </c>
      <c r="D188" s="226">
        <v>0</v>
      </c>
      <c r="E188" s="226">
        <v>0</v>
      </c>
      <c r="F188" s="226">
        <v>0</v>
      </c>
      <c r="G188" s="226">
        <v>0</v>
      </c>
      <c r="H188" s="226">
        <v>105444</v>
      </c>
      <c r="I188" s="226">
        <v>105444</v>
      </c>
      <c r="J188" s="226">
        <v>105444</v>
      </c>
      <c r="K188" s="226">
        <v>105444</v>
      </c>
      <c r="L188" s="226">
        <v>43024</v>
      </c>
      <c r="M188" s="226">
        <v>43024</v>
      </c>
      <c r="N188" s="226">
        <v>43024</v>
      </c>
      <c r="O188" s="226">
        <v>43024</v>
      </c>
      <c r="P188" s="625">
        <v>0</v>
      </c>
    </row>
    <row r="189" spans="2:16">
      <c r="B189" s="179" t="s">
        <v>760</v>
      </c>
      <c r="C189" s="226">
        <v>0</v>
      </c>
      <c r="D189" s="226">
        <v>0</v>
      </c>
      <c r="E189" s="226">
        <v>0</v>
      </c>
      <c r="F189" s="226">
        <v>11861</v>
      </c>
      <c r="G189" s="226">
        <v>11861</v>
      </c>
      <c r="H189" s="226">
        <v>2643</v>
      </c>
      <c r="I189" s="226">
        <v>10771</v>
      </c>
      <c r="J189" s="226">
        <v>0</v>
      </c>
      <c r="K189" s="226">
        <v>1962</v>
      </c>
      <c r="L189" s="226">
        <v>0</v>
      </c>
      <c r="M189" s="226">
        <v>3068</v>
      </c>
      <c r="N189" s="226">
        <v>3546</v>
      </c>
      <c r="O189" s="226">
        <v>4056</v>
      </c>
      <c r="P189" s="625">
        <v>226</v>
      </c>
    </row>
    <row r="190" spans="2:16">
      <c r="B190" s="179" t="s">
        <v>838</v>
      </c>
      <c r="C190" s="226">
        <v>0</v>
      </c>
      <c r="D190" s="226">
        <v>0</v>
      </c>
      <c r="E190" s="226">
        <v>0</v>
      </c>
      <c r="F190" s="226">
        <v>0</v>
      </c>
      <c r="G190" s="226">
        <v>0</v>
      </c>
      <c r="H190" s="226">
        <v>0</v>
      </c>
      <c r="I190" s="226">
        <v>0</v>
      </c>
      <c r="J190" s="226">
        <v>0</v>
      </c>
      <c r="K190" s="226">
        <v>0</v>
      </c>
      <c r="L190" s="226">
        <v>0</v>
      </c>
      <c r="M190" s="226">
        <v>12226</v>
      </c>
      <c r="N190" s="226">
        <v>5472</v>
      </c>
      <c r="O190" s="226">
        <v>5080</v>
      </c>
      <c r="P190" s="625">
        <v>7538</v>
      </c>
    </row>
    <row r="191" spans="2:16">
      <c r="B191" s="179" t="s">
        <v>764</v>
      </c>
      <c r="C191" s="226">
        <v>13572</v>
      </c>
      <c r="D191" s="226">
        <v>1000</v>
      </c>
      <c r="E191" s="226">
        <v>43228</v>
      </c>
      <c r="F191" s="226">
        <v>54956</v>
      </c>
      <c r="G191" s="226">
        <v>12490</v>
      </c>
      <c r="H191" s="226">
        <v>1476</v>
      </c>
      <c r="I191" s="226">
        <v>1467</v>
      </c>
      <c r="J191" s="226">
        <v>1458</v>
      </c>
      <c r="K191" s="226">
        <v>1449</v>
      </c>
      <c r="L191" s="226">
        <v>12693</v>
      </c>
      <c r="M191" s="226">
        <v>13700</v>
      </c>
      <c r="N191" s="226">
        <v>103428</v>
      </c>
      <c r="O191" s="226">
        <v>103825</v>
      </c>
      <c r="P191" s="625">
        <v>102772</v>
      </c>
    </row>
    <row r="192" spans="2:16" ht="14.15" customHeight="1">
      <c r="B192" s="320" t="s">
        <v>839</v>
      </c>
      <c r="C192" s="329">
        <f t="shared" ref="C192:N192" si="28">SUM(C182:C191)</f>
        <v>1472307</v>
      </c>
      <c r="D192" s="329">
        <f t="shared" si="28"/>
        <v>1436208</v>
      </c>
      <c r="E192" s="329">
        <f t="shared" si="28"/>
        <v>1487891.7864599992</v>
      </c>
      <c r="F192" s="329">
        <f t="shared" si="28"/>
        <v>1561693</v>
      </c>
      <c r="G192" s="329">
        <f t="shared" si="28"/>
        <v>1570228</v>
      </c>
      <c r="H192" s="329">
        <f t="shared" si="28"/>
        <v>1655476</v>
      </c>
      <c r="I192" s="329">
        <f t="shared" si="28"/>
        <v>1664799</v>
      </c>
      <c r="J192" s="329">
        <f t="shared" si="28"/>
        <v>1702994</v>
      </c>
      <c r="K192" s="329">
        <f t="shared" si="28"/>
        <v>1746007</v>
      </c>
      <c r="L192" s="329">
        <f t="shared" si="28"/>
        <v>1742371</v>
      </c>
      <c r="M192" s="329">
        <f t="shared" si="28"/>
        <v>1801935</v>
      </c>
      <c r="N192" s="329">
        <f t="shared" si="28"/>
        <v>1930810</v>
      </c>
      <c r="O192" s="329">
        <f>SUM(O182:O191)</f>
        <v>2547772</v>
      </c>
      <c r="P192" s="630">
        <f>SUM(P182:P191)</f>
        <v>2478866</v>
      </c>
    </row>
    <row r="193" spans="2:16">
      <c r="B193" s="179" t="s">
        <v>774</v>
      </c>
      <c r="C193" s="226">
        <v>1203699</v>
      </c>
      <c r="D193" s="226">
        <v>1185326</v>
      </c>
      <c r="E193" s="226">
        <v>1218871</v>
      </c>
      <c r="F193" s="226">
        <v>1242101</v>
      </c>
      <c r="G193" s="226">
        <v>1141153</v>
      </c>
      <c r="H193" s="226">
        <v>1150275</v>
      </c>
      <c r="I193" s="226">
        <v>1202280</v>
      </c>
      <c r="J193" s="226">
        <v>1213126</v>
      </c>
      <c r="K193" s="226">
        <v>1253850</v>
      </c>
      <c r="L193" s="226">
        <v>1390300</v>
      </c>
      <c r="M193" s="226">
        <v>1510113</v>
      </c>
      <c r="N193" s="226">
        <v>1515680</v>
      </c>
      <c r="O193" s="226">
        <v>1549139</v>
      </c>
      <c r="P193" s="625">
        <v>1517335</v>
      </c>
    </row>
    <row r="194" spans="2:16">
      <c r="B194" s="179" t="s">
        <v>840</v>
      </c>
      <c r="C194" s="226">
        <v>6554702</v>
      </c>
      <c r="D194" s="226">
        <v>7203760</v>
      </c>
      <c r="E194" s="226">
        <v>7336924</v>
      </c>
      <c r="F194" s="226">
        <v>7217789</v>
      </c>
      <c r="G194" s="226">
        <v>7285026</v>
      </c>
      <c r="H194" s="226">
        <v>7095933</v>
      </c>
      <c r="I194" s="226">
        <v>7023767</v>
      </c>
      <c r="J194" s="226">
        <v>7026623</v>
      </c>
      <c r="K194" s="226">
        <v>7047922</v>
      </c>
      <c r="L194" s="226">
        <v>7156235</v>
      </c>
      <c r="M194" s="226">
        <v>7153557</v>
      </c>
      <c r="N194" s="226">
        <v>7151094</v>
      </c>
      <c r="O194" s="226">
        <v>7827146</v>
      </c>
      <c r="P194" s="625">
        <v>7912308</v>
      </c>
    </row>
    <row r="195" spans="2:16">
      <c r="B195" s="179" t="s">
        <v>776</v>
      </c>
      <c r="C195" s="226">
        <v>110936</v>
      </c>
      <c r="D195" s="226">
        <v>277941</v>
      </c>
      <c r="E195" s="226">
        <v>137603</v>
      </c>
      <c r="F195" s="226">
        <v>137790</v>
      </c>
      <c r="G195" s="226">
        <v>152216</v>
      </c>
      <c r="H195" s="226">
        <v>295698</v>
      </c>
      <c r="I195" s="226">
        <v>278554</v>
      </c>
      <c r="J195" s="226">
        <v>299428</v>
      </c>
      <c r="K195" s="226">
        <v>302226</v>
      </c>
      <c r="L195" s="226">
        <v>306071</v>
      </c>
      <c r="M195" s="226">
        <v>300500</v>
      </c>
      <c r="N195" s="226">
        <v>302412</v>
      </c>
      <c r="O195" s="226">
        <v>319989</v>
      </c>
      <c r="P195" s="625">
        <v>359753</v>
      </c>
    </row>
    <row r="196" spans="2:16">
      <c r="B196" s="320" t="s">
        <v>841</v>
      </c>
      <c r="C196" s="329">
        <f t="shared" ref="C196:N196" si="29">SUM(C193:C195,C182:C191)</f>
        <v>9341644</v>
      </c>
      <c r="D196" s="329">
        <f t="shared" si="29"/>
        <v>10103235</v>
      </c>
      <c r="E196" s="329">
        <f t="shared" si="29"/>
        <v>10181289.786459999</v>
      </c>
      <c r="F196" s="329">
        <f t="shared" si="29"/>
        <v>10159373</v>
      </c>
      <c r="G196" s="329">
        <f t="shared" si="29"/>
        <v>10148623</v>
      </c>
      <c r="H196" s="329">
        <f t="shared" si="29"/>
        <v>10197382</v>
      </c>
      <c r="I196" s="329">
        <f t="shared" si="29"/>
        <v>10169400</v>
      </c>
      <c r="J196" s="329">
        <f t="shared" si="29"/>
        <v>10242171</v>
      </c>
      <c r="K196" s="329">
        <f t="shared" si="29"/>
        <v>10350005</v>
      </c>
      <c r="L196" s="329">
        <f t="shared" si="29"/>
        <v>10594977</v>
      </c>
      <c r="M196" s="329">
        <f t="shared" si="29"/>
        <v>10766105</v>
      </c>
      <c r="N196" s="329">
        <f t="shared" si="29"/>
        <v>10899996</v>
      </c>
      <c r="O196" s="329">
        <f>SUM(O193:O195,O182:O191)</f>
        <v>12244046</v>
      </c>
      <c r="P196" s="630">
        <f>SUM(P193:P195,P182:P191)</f>
        <v>12268262</v>
      </c>
    </row>
    <row r="197" spans="2:16">
      <c r="B197" s="320" t="s">
        <v>842</v>
      </c>
      <c r="C197" s="329">
        <f t="shared" ref="C197:P197" si="30">C196+C179</f>
        <v>9901002</v>
      </c>
      <c r="D197" s="329">
        <f t="shared" si="30"/>
        <v>11096748.905060001</v>
      </c>
      <c r="E197" s="329">
        <f t="shared" si="30"/>
        <v>11397895</v>
      </c>
      <c r="F197" s="329">
        <f t="shared" si="30"/>
        <v>11665065</v>
      </c>
      <c r="G197" s="329">
        <f t="shared" si="30"/>
        <v>12395764</v>
      </c>
      <c r="H197" s="329">
        <f t="shared" si="30"/>
        <v>11290031</v>
      </c>
      <c r="I197" s="329">
        <f t="shared" si="30"/>
        <v>11755598</v>
      </c>
      <c r="J197" s="329">
        <f t="shared" si="30"/>
        <v>12162325</v>
      </c>
      <c r="K197" s="329">
        <f t="shared" si="30"/>
        <v>12189920</v>
      </c>
      <c r="L197" s="329">
        <f t="shared" si="30"/>
        <v>13648553</v>
      </c>
      <c r="M197" s="329">
        <f t="shared" si="30"/>
        <v>12689381</v>
      </c>
      <c r="N197" s="329">
        <f t="shared" si="30"/>
        <v>14446011</v>
      </c>
      <c r="O197" s="329">
        <f t="shared" si="30"/>
        <v>14568644</v>
      </c>
      <c r="P197" s="630">
        <f t="shared" si="30"/>
        <v>15617446</v>
      </c>
    </row>
    <row r="198" spans="2:16">
      <c r="B198" s="333"/>
      <c r="C198" s="233"/>
      <c r="D198" s="233"/>
      <c r="E198" s="233"/>
      <c r="F198" s="233"/>
      <c r="G198" s="334"/>
      <c r="H198" s="334"/>
      <c r="I198" s="334"/>
      <c r="J198" s="335"/>
      <c r="K198" s="334"/>
      <c r="L198" s="334"/>
      <c r="M198" s="334"/>
      <c r="N198" s="334"/>
      <c r="O198" s="334"/>
    </row>
    <row r="199" spans="2:16">
      <c r="B199" s="659" t="s">
        <v>779</v>
      </c>
      <c r="C199" s="640" t="s">
        <v>711</v>
      </c>
      <c r="D199" s="640"/>
      <c r="E199" s="640"/>
      <c r="F199" s="640"/>
      <c r="G199" s="640"/>
      <c r="H199" s="640"/>
      <c r="I199" s="640"/>
      <c r="J199" s="640"/>
      <c r="K199" s="640"/>
      <c r="L199" s="640"/>
      <c r="M199" s="640"/>
      <c r="N199" s="640"/>
      <c r="O199" s="640"/>
      <c r="P199" s="640"/>
    </row>
    <row r="200" spans="2:16">
      <c r="B200" s="659"/>
      <c r="C200" s="324">
        <v>2016</v>
      </c>
      <c r="D200" s="325">
        <v>2017</v>
      </c>
      <c r="E200" s="325" t="s">
        <v>712</v>
      </c>
      <c r="F200" s="325" t="s">
        <v>713</v>
      </c>
      <c r="G200" s="325" t="s">
        <v>714</v>
      </c>
      <c r="H200" s="325" t="s">
        <v>715</v>
      </c>
      <c r="I200" s="325" t="s">
        <v>716</v>
      </c>
      <c r="J200" s="325" t="s">
        <v>717</v>
      </c>
      <c r="K200" s="325" t="s">
        <v>718</v>
      </c>
      <c r="L200" s="325" t="s">
        <v>719</v>
      </c>
      <c r="M200" s="325" t="s">
        <v>720</v>
      </c>
      <c r="N200" s="325" t="s">
        <v>721</v>
      </c>
      <c r="O200" s="325" t="s">
        <v>685</v>
      </c>
      <c r="P200" s="325" t="s">
        <v>1111</v>
      </c>
    </row>
    <row r="201" spans="2:16">
      <c r="B201" s="322" t="s">
        <v>843</v>
      </c>
      <c r="C201" s="323"/>
      <c r="D201" s="323"/>
      <c r="E201" s="323"/>
      <c r="F201" s="322"/>
      <c r="G201" s="323"/>
      <c r="H201" s="323"/>
      <c r="I201" s="323"/>
      <c r="J201" s="323"/>
      <c r="K201" s="323"/>
      <c r="L201" s="323"/>
      <c r="M201" s="323"/>
      <c r="N201" s="323"/>
      <c r="O201" s="323"/>
    </row>
    <row r="202" spans="2:16">
      <c r="B202" s="179" t="s">
        <v>844</v>
      </c>
      <c r="C202" s="226">
        <v>71679</v>
      </c>
      <c r="D202" s="226">
        <v>268588</v>
      </c>
      <c r="E202" s="226">
        <v>261786</v>
      </c>
      <c r="F202" s="226">
        <v>287106</v>
      </c>
      <c r="G202" s="226">
        <v>98254</v>
      </c>
      <c r="H202" s="226">
        <v>334067</v>
      </c>
      <c r="I202" s="226">
        <v>344159</v>
      </c>
      <c r="J202" s="226">
        <v>337890</v>
      </c>
      <c r="K202" s="226">
        <v>981588</v>
      </c>
      <c r="L202" s="226">
        <v>709928</v>
      </c>
      <c r="M202" s="226">
        <v>886355</v>
      </c>
      <c r="N202" s="226">
        <v>919444</v>
      </c>
      <c r="O202" s="226">
        <v>96334</v>
      </c>
      <c r="P202" s="625">
        <v>94628</v>
      </c>
    </row>
    <row r="203" spans="2:16">
      <c r="B203" s="179" t="s">
        <v>845</v>
      </c>
      <c r="C203" s="226">
        <v>192368</v>
      </c>
      <c r="D203" s="226">
        <v>182852</v>
      </c>
      <c r="E203" s="226">
        <v>183773</v>
      </c>
      <c r="F203" s="226">
        <v>183474</v>
      </c>
      <c r="G203" s="226">
        <v>197107</v>
      </c>
      <c r="H203" s="226">
        <v>23707</v>
      </c>
      <c r="I203" s="226">
        <v>22436</v>
      </c>
      <c r="J203" s="226">
        <v>15931</v>
      </c>
      <c r="K203" s="226">
        <v>26097</v>
      </c>
      <c r="L203" s="226">
        <v>367508</v>
      </c>
      <c r="M203" s="226">
        <v>371913</v>
      </c>
      <c r="N203" s="226">
        <v>363141</v>
      </c>
      <c r="O203" s="226">
        <v>542316</v>
      </c>
      <c r="P203" s="625">
        <v>217948</v>
      </c>
    </row>
    <row r="204" spans="2:16">
      <c r="B204" s="179" t="s">
        <v>783</v>
      </c>
      <c r="C204" s="226">
        <v>0</v>
      </c>
      <c r="D204" s="226">
        <v>0</v>
      </c>
      <c r="E204" s="226">
        <v>0</v>
      </c>
      <c r="F204" s="226">
        <v>0</v>
      </c>
      <c r="G204" s="226">
        <v>0</v>
      </c>
      <c r="H204" s="226">
        <v>0</v>
      </c>
      <c r="I204" s="226">
        <v>0</v>
      </c>
      <c r="J204" s="226">
        <v>0</v>
      </c>
      <c r="K204" s="226">
        <v>293</v>
      </c>
      <c r="L204" s="226">
        <v>282</v>
      </c>
      <c r="M204" s="226">
        <v>240</v>
      </c>
      <c r="N204" s="226">
        <v>194</v>
      </c>
      <c r="O204" s="226">
        <v>141</v>
      </c>
      <c r="P204" s="625">
        <v>81</v>
      </c>
    </row>
    <row r="205" spans="2:16">
      <c r="B205" s="179" t="s">
        <v>760</v>
      </c>
      <c r="C205" s="226"/>
      <c r="D205" s="226"/>
      <c r="E205" s="226"/>
      <c r="F205" s="226"/>
      <c r="G205" s="226"/>
      <c r="H205" s="226"/>
      <c r="I205" s="226"/>
      <c r="J205" s="226"/>
      <c r="K205" s="226"/>
      <c r="L205" s="226"/>
      <c r="M205" s="226"/>
      <c r="N205" s="226"/>
      <c r="O205" s="226"/>
      <c r="P205" s="625">
        <v>2578</v>
      </c>
    </row>
    <row r="206" spans="2:16">
      <c r="B206" s="179" t="s">
        <v>784</v>
      </c>
      <c r="C206" s="226">
        <v>41482</v>
      </c>
      <c r="D206" s="226">
        <v>69923</v>
      </c>
      <c r="E206" s="226">
        <v>49255</v>
      </c>
      <c r="F206" s="226">
        <v>58806</v>
      </c>
      <c r="G206" s="226">
        <v>68022</v>
      </c>
      <c r="H206" s="226">
        <v>88358</v>
      </c>
      <c r="I206" s="226">
        <v>72276</v>
      </c>
      <c r="J206" s="226">
        <v>70721</v>
      </c>
      <c r="K206" s="226">
        <v>72057</v>
      </c>
      <c r="L206" s="226">
        <v>167774</v>
      </c>
      <c r="M206" s="226">
        <v>167858</v>
      </c>
      <c r="N206" s="226">
        <v>139217</v>
      </c>
      <c r="O206" s="226">
        <v>112304</v>
      </c>
      <c r="P206" s="625">
        <v>153346</v>
      </c>
    </row>
    <row r="207" spans="2:16">
      <c r="B207" s="179" t="s">
        <v>846</v>
      </c>
      <c r="C207" s="226">
        <v>39021</v>
      </c>
      <c r="D207" s="226">
        <v>90502</v>
      </c>
      <c r="E207" s="226">
        <v>224543</v>
      </c>
      <c r="F207" s="226">
        <v>389278</v>
      </c>
      <c r="G207" s="226">
        <v>540175</v>
      </c>
      <c r="H207" s="226">
        <v>54382</v>
      </c>
      <c r="I207" s="226">
        <v>163232</v>
      </c>
      <c r="J207" s="226">
        <v>293084</v>
      </c>
      <c r="K207" s="226">
        <v>287359</v>
      </c>
      <c r="L207" s="226">
        <v>92106</v>
      </c>
      <c r="M207" s="226">
        <v>127657</v>
      </c>
      <c r="N207" s="226">
        <v>262320</v>
      </c>
      <c r="O207" s="226">
        <v>478040</v>
      </c>
      <c r="P207" s="625">
        <v>255614</v>
      </c>
    </row>
    <row r="208" spans="2:16">
      <c r="B208" s="179" t="s">
        <v>847</v>
      </c>
      <c r="C208" s="226">
        <v>17540</v>
      </c>
      <c r="D208" s="226">
        <v>57997</v>
      </c>
      <c r="E208" s="226">
        <v>0</v>
      </c>
      <c r="F208" s="226">
        <v>0</v>
      </c>
      <c r="G208" s="226">
        <v>0</v>
      </c>
      <c r="H208" s="226">
        <v>0</v>
      </c>
      <c r="I208" s="226">
        <v>0</v>
      </c>
      <c r="J208" s="226">
        <v>0</v>
      </c>
      <c r="K208" s="226">
        <v>0</v>
      </c>
      <c r="L208" s="226">
        <v>0</v>
      </c>
      <c r="M208" s="226">
        <v>0</v>
      </c>
      <c r="N208" s="226">
        <v>0</v>
      </c>
      <c r="O208" s="226">
        <v>0</v>
      </c>
      <c r="P208" s="625" t="s">
        <v>493</v>
      </c>
    </row>
    <row r="209" spans="2:16">
      <c r="B209" s="179" t="s">
        <v>848</v>
      </c>
      <c r="C209" s="226">
        <v>12766</v>
      </c>
      <c r="D209" s="226">
        <v>16550</v>
      </c>
      <c r="E209" s="226">
        <v>32399</v>
      </c>
      <c r="F209" s="226">
        <v>39059</v>
      </c>
      <c r="G209" s="226">
        <v>39260</v>
      </c>
      <c r="H209" s="226">
        <v>40262</v>
      </c>
      <c r="I209" s="226">
        <v>39302</v>
      </c>
      <c r="J209" s="226">
        <v>44878</v>
      </c>
      <c r="K209" s="226">
        <v>45687</v>
      </c>
      <c r="L209" s="226">
        <v>48336</v>
      </c>
      <c r="M209" s="226">
        <v>48970</v>
      </c>
      <c r="N209" s="226">
        <v>52653</v>
      </c>
      <c r="O209" s="226">
        <v>52518</v>
      </c>
      <c r="P209" s="625">
        <v>49457</v>
      </c>
    </row>
    <row r="210" spans="2:16">
      <c r="B210" s="179" t="s">
        <v>849</v>
      </c>
      <c r="C210" s="226">
        <v>139946</v>
      </c>
      <c r="D210" s="226">
        <v>3112</v>
      </c>
      <c r="E210" s="226">
        <v>3111</v>
      </c>
      <c r="F210" s="226">
        <v>5159</v>
      </c>
      <c r="G210" s="226">
        <v>5137</v>
      </c>
      <c r="H210" s="226">
        <v>7835</v>
      </c>
      <c r="I210" s="226">
        <v>7831</v>
      </c>
      <c r="J210" s="226">
        <v>7798</v>
      </c>
      <c r="K210" s="226">
        <v>8411</v>
      </c>
      <c r="L210" s="226">
        <v>102079</v>
      </c>
      <c r="M210" s="226">
        <v>9731</v>
      </c>
      <c r="N210" s="226">
        <v>10102</v>
      </c>
      <c r="O210" s="226">
        <v>10406</v>
      </c>
      <c r="P210" s="625">
        <v>500513</v>
      </c>
    </row>
    <row r="211" spans="2:16">
      <c r="B211" s="179" t="s">
        <v>789</v>
      </c>
      <c r="C211" s="226">
        <v>33610</v>
      </c>
      <c r="D211" s="226">
        <v>36344</v>
      </c>
      <c r="E211" s="226">
        <v>29714</v>
      </c>
      <c r="F211" s="226">
        <v>40457</v>
      </c>
      <c r="G211" s="226">
        <v>42515</v>
      </c>
      <c r="H211" s="226">
        <v>37047</v>
      </c>
      <c r="I211" s="226">
        <v>29156</v>
      </c>
      <c r="J211" s="226">
        <v>38239</v>
      </c>
      <c r="K211" s="226">
        <v>41182</v>
      </c>
      <c r="L211" s="226">
        <v>33341</v>
      </c>
      <c r="M211" s="226">
        <v>26512</v>
      </c>
      <c r="N211" s="226">
        <v>37797</v>
      </c>
      <c r="O211" s="226">
        <v>48833</v>
      </c>
      <c r="P211" s="226">
        <v>45094</v>
      </c>
    </row>
    <row r="212" spans="2:16">
      <c r="B212" s="179" t="s">
        <v>790</v>
      </c>
      <c r="C212" s="226">
        <v>5495</v>
      </c>
      <c r="D212" s="226">
        <v>2056</v>
      </c>
      <c r="E212" s="226">
        <v>3309</v>
      </c>
      <c r="F212" s="226">
        <v>4655</v>
      </c>
      <c r="G212" s="226">
        <v>3579</v>
      </c>
      <c r="H212" s="226">
        <v>4250</v>
      </c>
      <c r="I212" s="226">
        <v>5103</v>
      </c>
      <c r="J212" s="226">
        <v>4157</v>
      </c>
      <c r="K212" s="226">
        <v>3782</v>
      </c>
      <c r="L212" s="226">
        <v>2173</v>
      </c>
      <c r="M212" s="226">
        <v>2176</v>
      </c>
      <c r="N212" s="226">
        <v>2730</v>
      </c>
      <c r="O212" s="226">
        <v>868</v>
      </c>
      <c r="P212" s="625">
        <v>871</v>
      </c>
    </row>
    <row r="213" spans="2:16">
      <c r="B213" s="179" t="s">
        <v>791</v>
      </c>
      <c r="C213" s="226">
        <v>0</v>
      </c>
      <c r="D213" s="226">
        <v>0</v>
      </c>
      <c r="E213" s="226">
        <v>0</v>
      </c>
      <c r="F213" s="226">
        <v>0</v>
      </c>
      <c r="G213" s="226">
        <v>1860</v>
      </c>
      <c r="H213" s="226">
        <v>2480</v>
      </c>
      <c r="I213" s="226">
        <v>2480</v>
      </c>
      <c r="J213" s="226">
        <v>2480</v>
      </c>
      <c r="K213" s="226">
        <v>2480</v>
      </c>
      <c r="L213" s="226">
        <v>2480</v>
      </c>
      <c r="M213" s="226">
        <v>2480</v>
      </c>
      <c r="N213" s="226">
        <v>2480</v>
      </c>
      <c r="O213" s="226">
        <v>2480</v>
      </c>
      <c r="P213" s="625">
        <v>2480</v>
      </c>
    </row>
    <row r="214" spans="2:16">
      <c r="B214" s="179" t="s">
        <v>764</v>
      </c>
      <c r="C214" s="226">
        <v>53047</v>
      </c>
      <c r="D214" s="226">
        <v>61180</v>
      </c>
      <c r="E214" s="226">
        <v>57876</v>
      </c>
      <c r="F214" s="226">
        <v>16385</v>
      </c>
      <c r="G214" s="226">
        <v>13852</v>
      </c>
      <c r="H214" s="226">
        <v>34310</v>
      </c>
      <c r="I214" s="226">
        <v>27472</v>
      </c>
      <c r="J214" s="226">
        <v>56345</v>
      </c>
      <c r="K214" s="226">
        <v>70150</v>
      </c>
      <c r="L214" s="226">
        <v>80152</v>
      </c>
      <c r="M214" s="226">
        <v>55374</v>
      </c>
      <c r="N214" s="226">
        <v>34641</v>
      </c>
      <c r="O214" s="226">
        <v>45567</v>
      </c>
      <c r="P214" s="625">
        <v>43743</v>
      </c>
    </row>
    <row r="215" spans="2:16">
      <c r="B215" s="320"/>
      <c r="C215" s="329">
        <f t="shared" ref="C215:N215" si="31">SUM(C202:C214)</f>
        <v>606954</v>
      </c>
      <c r="D215" s="329">
        <f t="shared" si="31"/>
        <v>789104</v>
      </c>
      <c r="E215" s="329">
        <f t="shared" si="31"/>
        <v>845766</v>
      </c>
      <c r="F215" s="329">
        <f t="shared" si="31"/>
        <v>1024379</v>
      </c>
      <c r="G215" s="329">
        <f t="shared" si="31"/>
        <v>1009761</v>
      </c>
      <c r="H215" s="329">
        <f t="shared" si="31"/>
        <v>626698</v>
      </c>
      <c r="I215" s="329">
        <f t="shared" si="31"/>
        <v>713447</v>
      </c>
      <c r="J215" s="329">
        <f t="shared" si="31"/>
        <v>871523</v>
      </c>
      <c r="K215" s="329">
        <f t="shared" si="31"/>
        <v>1539086</v>
      </c>
      <c r="L215" s="329">
        <f t="shared" si="31"/>
        <v>1606159</v>
      </c>
      <c r="M215" s="329">
        <f t="shared" si="31"/>
        <v>1699266</v>
      </c>
      <c r="N215" s="329">
        <f t="shared" si="31"/>
        <v>1824719</v>
      </c>
      <c r="O215" s="329">
        <f>SUM(O202:O214)</f>
        <v>1389807</v>
      </c>
      <c r="P215" s="630">
        <f>SUM(P202:P214)</f>
        <v>1366353</v>
      </c>
    </row>
    <row r="216" spans="2:16">
      <c r="B216" s="322" t="s">
        <v>850</v>
      </c>
      <c r="C216" s="323"/>
      <c r="D216" s="323"/>
      <c r="E216" s="323"/>
      <c r="F216" s="322"/>
      <c r="G216" s="323"/>
      <c r="H216" s="323"/>
      <c r="I216" s="323"/>
      <c r="J216" s="323"/>
      <c r="K216" s="323"/>
      <c r="L216" s="323"/>
      <c r="M216" s="323"/>
      <c r="N216" s="323"/>
      <c r="O216" s="323"/>
      <c r="P216" s="631"/>
    </row>
    <row r="217" spans="2:16">
      <c r="B217" s="336" t="s">
        <v>851</v>
      </c>
      <c r="C217" s="337"/>
      <c r="D217" s="338"/>
      <c r="E217" s="338"/>
      <c r="F217" s="337"/>
      <c r="G217" s="337"/>
      <c r="H217" s="337"/>
      <c r="I217" s="337"/>
      <c r="J217" s="337"/>
      <c r="K217" s="337"/>
      <c r="L217" s="337"/>
      <c r="M217" s="337"/>
      <c r="N217" s="337"/>
      <c r="O217" s="337"/>
      <c r="P217" s="624">
        <v>1208301</v>
      </c>
    </row>
    <row r="218" spans="2:16">
      <c r="B218" s="179" t="s">
        <v>844</v>
      </c>
      <c r="C218" s="226">
        <v>432472</v>
      </c>
      <c r="D218" s="226">
        <v>690541</v>
      </c>
      <c r="E218" s="226">
        <v>677182</v>
      </c>
      <c r="F218" s="226">
        <v>657248</v>
      </c>
      <c r="G218" s="226">
        <v>1258364</v>
      </c>
      <c r="H218" s="226">
        <v>1215689</v>
      </c>
      <c r="I218" s="226">
        <v>1273554</v>
      </c>
      <c r="J218" s="226">
        <v>1264523</v>
      </c>
      <c r="K218" s="226">
        <v>660197</v>
      </c>
      <c r="L218" s="226">
        <v>637448</v>
      </c>
      <c r="M218" s="226">
        <v>620011</v>
      </c>
      <c r="N218" s="226">
        <v>1248161</v>
      </c>
      <c r="O218" s="226">
        <v>1228231</v>
      </c>
      <c r="P218" s="624">
        <v>2961318</v>
      </c>
    </row>
    <row r="219" spans="2:16">
      <c r="B219" s="179" t="s">
        <v>845</v>
      </c>
      <c r="C219" s="226">
        <v>313931</v>
      </c>
      <c r="D219" s="226">
        <v>801007</v>
      </c>
      <c r="E219" s="226">
        <v>806204</v>
      </c>
      <c r="F219" s="226">
        <v>1420052</v>
      </c>
      <c r="G219" s="226">
        <v>1437775</v>
      </c>
      <c r="H219" s="226">
        <v>1441504</v>
      </c>
      <c r="I219" s="226">
        <v>1457692</v>
      </c>
      <c r="J219" s="226">
        <v>1475140</v>
      </c>
      <c r="K219" s="226">
        <v>1480445</v>
      </c>
      <c r="L219" s="226">
        <v>1528971</v>
      </c>
      <c r="M219" s="226">
        <v>1554166</v>
      </c>
      <c r="N219" s="226">
        <v>1545549</v>
      </c>
      <c r="O219" s="226">
        <v>1392099</v>
      </c>
      <c r="P219" s="624">
        <v>18</v>
      </c>
    </row>
    <row r="220" spans="2:16">
      <c r="B220" s="179" t="s">
        <v>783</v>
      </c>
      <c r="C220" s="226">
        <v>0</v>
      </c>
      <c r="D220" s="226">
        <v>0</v>
      </c>
      <c r="E220" s="226">
        <v>0</v>
      </c>
      <c r="F220" s="226">
        <v>0</v>
      </c>
      <c r="G220" s="226">
        <v>0</v>
      </c>
      <c r="H220" s="226">
        <v>0</v>
      </c>
      <c r="I220" s="226">
        <v>0</v>
      </c>
      <c r="J220" s="226">
        <v>0</v>
      </c>
      <c r="K220" s="226">
        <v>158</v>
      </c>
      <c r="L220" s="226">
        <v>101</v>
      </c>
      <c r="M220" s="226">
        <v>73</v>
      </c>
      <c r="N220" s="226">
        <v>62</v>
      </c>
      <c r="O220" s="226">
        <v>35</v>
      </c>
      <c r="P220" s="624">
        <v>0</v>
      </c>
    </row>
    <row r="221" spans="2:16">
      <c r="B221" s="179" t="s">
        <v>760</v>
      </c>
      <c r="C221" s="226">
        <v>0</v>
      </c>
      <c r="D221" s="226">
        <v>0</v>
      </c>
      <c r="E221" s="226">
        <v>0</v>
      </c>
      <c r="F221" s="226">
        <v>0</v>
      </c>
      <c r="G221" s="226">
        <v>0</v>
      </c>
      <c r="H221" s="226">
        <v>0</v>
      </c>
      <c r="I221" s="226">
        <v>0</v>
      </c>
      <c r="J221" s="226">
        <v>2760</v>
      </c>
      <c r="K221" s="226">
        <v>0</v>
      </c>
      <c r="L221" s="226">
        <v>135</v>
      </c>
      <c r="M221" s="226">
        <v>0</v>
      </c>
      <c r="N221" s="226">
        <v>0</v>
      </c>
      <c r="O221" s="226">
        <v>0</v>
      </c>
      <c r="P221" s="624"/>
    </row>
    <row r="222" spans="2:16">
      <c r="B222" s="179" t="s">
        <v>1124</v>
      </c>
      <c r="C222" s="226"/>
      <c r="D222" s="226"/>
      <c r="E222" s="226"/>
      <c r="F222" s="226"/>
      <c r="G222" s="226"/>
      <c r="H222" s="226"/>
      <c r="I222" s="226"/>
      <c r="J222" s="226"/>
      <c r="K222" s="226"/>
      <c r="L222" s="226"/>
      <c r="M222" s="226"/>
      <c r="N222" s="226"/>
      <c r="O222" s="226"/>
      <c r="P222" s="624">
        <v>381978</v>
      </c>
    </row>
    <row r="223" spans="2:16">
      <c r="B223" s="179" t="s">
        <v>847</v>
      </c>
      <c r="C223" s="226">
        <v>119857</v>
      </c>
      <c r="D223" s="226">
        <v>0</v>
      </c>
      <c r="E223" s="226">
        <v>0</v>
      </c>
      <c r="F223" s="226">
        <v>0</v>
      </c>
      <c r="G223" s="226">
        <v>0</v>
      </c>
      <c r="H223" s="226">
        <v>0</v>
      </c>
      <c r="I223" s="226">
        <v>0</v>
      </c>
      <c r="J223" s="226">
        <v>0</v>
      </c>
      <c r="K223" s="226">
        <v>0</v>
      </c>
      <c r="L223" s="226">
        <v>0</v>
      </c>
      <c r="M223" s="226">
        <v>0</v>
      </c>
      <c r="N223" s="226">
        <v>0</v>
      </c>
      <c r="O223" s="226">
        <v>0</v>
      </c>
      <c r="P223" s="624">
        <v>0</v>
      </c>
    </row>
    <row r="224" spans="2:16">
      <c r="B224" s="179" t="s">
        <v>852</v>
      </c>
      <c r="C224" s="226">
        <v>0</v>
      </c>
      <c r="D224" s="226">
        <v>0</v>
      </c>
      <c r="E224" s="226">
        <v>0</v>
      </c>
      <c r="F224" s="226">
        <v>0</v>
      </c>
      <c r="G224" s="226">
        <v>0</v>
      </c>
      <c r="H224" s="226">
        <v>0</v>
      </c>
      <c r="I224" s="226">
        <v>0</v>
      </c>
      <c r="J224" s="226">
        <v>0</v>
      </c>
      <c r="K224" s="226">
        <v>0</v>
      </c>
      <c r="L224" s="226">
        <v>0</v>
      </c>
      <c r="M224" s="226">
        <v>0</v>
      </c>
      <c r="N224" s="226">
        <v>82703</v>
      </c>
      <c r="O224" s="226">
        <v>77117</v>
      </c>
      <c r="P224" s="624">
        <v>71465</v>
      </c>
    </row>
    <row r="225" spans="2:16">
      <c r="B225" s="179" t="s">
        <v>853</v>
      </c>
      <c r="C225" s="226">
        <v>1056505</v>
      </c>
      <c r="D225" s="226">
        <v>831111</v>
      </c>
      <c r="E225" s="226">
        <v>810693</v>
      </c>
      <c r="F225" s="226">
        <v>769433</v>
      </c>
      <c r="G225" s="226">
        <v>710377</v>
      </c>
      <c r="H225" s="226">
        <v>735689</v>
      </c>
      <c r="I225" s="226">
        <v>757847</v>
      </c>
      <c r="J225" s="226">
        <v>721825</v>
      </c>
      <c r="K225" s="226">
        <v>660889</v>
      </c>
      <c r="L225" s="226">
        <v>686732</v>
      </c>
      <c r="M225" s="226">
        <v>713361</v>
      </c>
      <c r="N225" s="226">
        <v>1005975</v>
      </c>
      <c r="O225" s="226">
        <v>1074349</v>
      </c>
      <c r="P225" s="624">
        <v>913557</v>
      </c>
    </row>
    <row r="226" spans="2:16">
      <c r="B226" s="179" t="s">
        <v>848</v>
      </c>
      <c r="C226" s="226">
        <v>32510</v>
      </c>
      <c r="D226" s="226">
        <v>54250</v>
      </c>
      <c r="E226" s="226">
        <v>40848</v>
      </c>
      <c r="F226" s="226">
        <v>42962</v>
      </c>
      <c r="G226" s="226">
        <v>34827</v>
      </c>
      <c r="H226" s="226">
        <v>35925</v>
      </c>
      <c r="I226" s="226">
        <v>39380</v>
      </c>
      <c r="J226" s="226">
        <v>37756</v>
      </c>
      <c r="K226" s="226">
        <v>41836</v>
      </c>
      <c r="L226" s="226">
        <v>41236</v>
      </c>
      <c r="M226" s="226">
        <v>34179</v>
      </c>
      <c r="N226" s="226">
        <v>40742</v>
      </c>
      <c r="O226" s="226">
        <v>42419</v>
      </c>
      <c r="P226" s="624">
        <v>48065</v>
      </c>
    </row>
    <row r="227" spans="2:16">
      <c r="B227" s="179" t="s">
        <v>789</v>
      </c>
      <c r="C227" s="226">
        <v>153035</v>
      </c>
      <c r="D227" s="226">
        <v>121553</v>
      </c>
      <c r="E227" s="226">
        <v>125321</v>
      </c>
      <c r="F227" s="226">
        <v>113686</v>
      </c>
      <c r="G227" s="226">
        <v>102672</v>
      </c>
      <c r="H227" s="226">
        <v>90708</v>
      </c>
      <c r="I227" s="226">
        <v>91036</v>
      </c>
      <c r="J227" s="226">
        <v>92755</v>
      </c>
      <c r="K227" s="226">
        <v>86780</v>
      </c>
      <c r="L227" s="226">
        <v>62367</v>
      </c>
      <c r="M227" s="226">
        <v>59509</v>
      </c>
      <c r="N227" s="226">
        <v>58816</v>
      </c>
      <c r="O227" s="226">
        <v>57993</v>
      </c>
      <c r="P227" s="624">
        <v>85736</v>
      </c>
    </row>
    <row r="228" spans="2:16">
      <c r="B228" s="179" t="s">
        <v>793</v>
      </c>
      <c r="C228" s="226">
        <v>0</v>
      </c>
      <c r="D228" s="226">
        <v>0</v>
      </c>
      <c r="E228" s="226">
        <v>0</v>
      </c>
      <c r="F228" s="226">
        <v>0</v>
      </c>
      <c r="G228" s="226">
        <v>0</v>
      </c>
      <c r="H228" s="226">
        <v>0</v>
      </c>
      <c r="I228" s="226">
        <v>0</v>
      </c>
      <c r="J228" s="226">
        <v>17853</v>
      </c>
      <c r="K228" s="226">
        <v>0</v>
      </c>
      <c r="L228" s="226">
        <v>16612</v>
      </c>
      <c r="M228" s="226">
        <v>15992</v>
      </c>
      <c r="N228" s="226">
        <v>15372</v>
      </c>
      <c r="O228" s="226">
        <v>14752</v>
      </c>
      <c r="P228" s="624">
        <v>14132</v>
      </c>
    </row>
    <row r="229" spans="2:16">
      <c r="B229" s="179" t="s">
        <v>854</v>
      </c>
      <c r="C229" s="226">
        <v>0</v>
      </c>
      <c r="D229" s="226">
        <v>0</v>
      </c>
      <c r="E229" s="226">
        <v>0</v>
      </c>
      <c r="F229" s="226">
        <v>0</v>
      </c>
      <c r="G229" s="226">
        <v>333844</v>
      </c>
      <c r="H229" s="226">
        <v>0</v>
      </c>
      <c r="I229" s="226">
        <v>0</v>
      </c>
      <c r="J229" s="226">
        <v>363061</v>
      </c>
      <c r="K229" s="226">
        <v>0</v>
      </c>
      <c r="L229" s="226">
        <v>351904</v>
      </c>
      <c r="M229" s="226">
        <v>388616</v>
      </c>
      <c r="N229" s="226">
        <v>383471</v>
      </c>
      <c r="O229" s="226">
        <v>383984</v>
      </c>
      <c r="P229" s="624">
        <v>380135</v>
      </c>
    </row>
    <row r="230" spans="2:16" ht="14.5" customHeight="1">
      <c r="B230" s="179" t="s">
        <v>855</v>
      </c>
      <c r="C230" s="226">
        <v>24053</v>
      </c>
      <c r="D230" s="226">
        <v>24053</v>
      </c>
      <c r="E230" s="226">
        <v>318578</v>
      </c>
      <c r="F230" s="226">
        <v>320021</v>
      </c>
      <c r="G230" s="226">
        <v>20333</v>
      </c>
      <c r="H230" s="226">
        <v>0</v>
      </c>
      <c r="I230" s="226">
        <v>0</v>
      </c>
      <c r="J230" s="226">
        <v>0</v>
      </c>
      <c r="K230" s="226">
        <v>0</v>
      </c>
      <c r="L230" s="226">
        <v>0</v>
      </c>
      <c r="M230" s="226">
        <v>0</v>
      </c>
      <c r="N230" s="226">
        <v>0</v>
      </c>
      <c r="O230" s="226">
        <v>0</v>
      </c>
      <c r="P230" s="625" t="s">
        <v>493</v>
      </c>
    </row>
    <row r="231" spans="2:16">
      <c r="B231" s="179" t="s">
        <v>764</v>
      </c>
      <c r="C231" s="226">
        <v>0</v>
      </c>
      <c r="D231" s="226">
        <v>327579</v>
      </c>
      <c r="E231" s="226">
        <v>27455</v>
      </c>
      <c r="F231" s="226">
        <v>53841</v>
      </c>
      <c r="G231" s="226">
        <v>34532</v>
      </c>
      <c r="H231" s="226">
        <v>385101</v>
      </c>
      <c r="I231" s="226">
        <v>381705</v>
      </c>
      <c r="J231" s="226">
        <v>34572</v>
      </c>
      <c r="K231" s="226">
        <v>407469</v>
      </c>
      <c r="L231" s="226">
        <v>35652</v>
      </c>
      <c r="M231" s="226">
        <v>46714</v>
      </c>
      <c r="N231" s="226">
        <v>48201</v>
      </c>
      <c r="O231" s="226">
        <v>53134</v>
      </c>
      <c r="P231" s="624">
        <v>54032</v>
      </c>
    </row>
    <row r="232" spans="2:16" ht="24" customHeight="1">
      <c r="B232" s="320"/>
      <c r="C232" s="329">
        <f t="shared" ref="C232:N232" si="32">SUM(C218:C231)</f>
        <v>2132363</v>
      </c>
      <c r="D232" s="329">
        <f t="shared" si="32"/>
        <v>2850094</v>
      </c>
      <c r="E232" s="329">
        <f t="shared" si="32"/>
        <v>2806281</v>
      </c>
      <c r="F232" s="329">
        <f t="shared" si="32"/>
        <v>3377243</v>
      </c>
      <c r="G232" s="329">
        <f t="shared" si="32"/>
        <v>3932724</v>
      </c>
      <c r="H232" s="329">
        <f t="shared" si="32"/>
        <v>3904616</v>
      </c>
      <c r="I232" s="329">
        <f t="shared" si="32"/>
        <v>4001214</v>
      </c>
      <c r="J232" s="329">
        <f t="shared" si="32"/>
        <v>4010245</v>
      </c>
      <c r="K232" s="329">
        <f t="shared" si="32"/>
        <v>3337774</v>
      </c>
      <c r="L232" s="329">
        <f t="shared" si="32"/>
        <v>3361158</v>
      </c>
      <c r="M232" s="329">
        <f t="shared" si="32"/>
        <v>3432621</v>
      </c>
      <c r="N232" s="329">
        <f t="shared" si="32"/>
        <v>4429052</v>
      </c>
      <c r="O232" s="329">
        <f>SUM(O218:O231)</f>
        <v>4324113</v>
      </c>
      <c r="P232" s="630">
        <f>SUM(P217:P231)</f>
        <v>6118737</v>
      </c>
    </row>
    <row r="233" spans="2:16">
      <c r="B233" s="339"/>
      <c r="C233" s="340"/>
      <c r="D233" s="340"/>
      <c r="E233" s="340"/>
      <c r="F233" s="340"/>
      <c r="G233" s="340"/>
      <c r="H233" s="340"/>
      <c r="I233" s="340"/>
      <c r="J233" s="340"/>
      <c r="K233" s="340"/>
      <c r="L233" s="340"/>
      <c r="M233" s="340"/>
      <c r="N233" s="340"/>
      <c r="O233" s="340"/>
      <c r="P233" s="641"/>
    </row>
    <row r="234" spans="2:16">
      <c r="B234" s="179" t="s">
        <v>856</v>
      </c>
      <c r="C234" s="226">
        <v>178733</v>
      </c>
      <c r="D234" s="226">
        <v>214939</v>
      </c>
      <c r="E234" s="226">
        <v>201431</v>
      </c>
      <c r="F234" s="226">
        <v>212706</v>
      </c>
      <c r="G234" s="226">
        <v>226286</v>
      </c>
      <c r="H234" s="226">
        <v>230878</v>
      </c>
      <c r="I234" s="226">
        <v>282713</v>
      </c>
      <c r="J234" s="226">
        <v>287177</v>
      </c>
      <c r="K234" s="226">
        <v>273453</v>
      </c>
      <c r="L234" s="226">
        <v>1967288</v>
      </c>
      <c r="M234" s="226">
        <v>502442</v>
      </c>
      <c r="N234" s="226">
        <v>369210</v>
      </c>
      <c r="O234" s="226">
        <v>327872</v>
      </c>
      <c r="P234" s="625">
        <v>371159</v>
      </c>
    </row>
    <row r="235" spans="2:16">
      <c r="B235" s="234"/>
      <c r="C235" s="235"/>
      <c r="D235" s="235"/>
      <c r="E235" s="235"/>
      <c r="F235" s="235"/>
      <c r="G235" s="235"/>
      <c r="H235" s="235"/>
      <c r="I235" s="235"/>
      <c r="J235" s="234"/>
      <c r="K235" s="235"/>
      <c r="L235" s="235"/>
      <c r="M235" s="235"/>
      <c r="N235" s="235"/>
      <c r="O235" s="235"/>
      <c r="P235" s="642"/>
    </row>
    <row r="236" spans="2:16">
      <c r="B236" s="322" t="s">
        <v>857</v>
      </c>
      <c r="C236" s="323"/>
      <c r="D236" s="323"/>
      <c r="E236" s="323"/>
      <c r="F236" s="322"/>
      <c r="G236" s="323"/>
      <c r="H236" s="323"/>
      <c r="I236" s="323"/>
      <c r="J236" s="323"/>
      <c r="K236" s="323"/>
      <c r="L236" s="323"/>
      <c r="M236" s="323"/>
      <c r="N236" s="323"/>
      <c r="O236" s="323"/>
      <c r="P236" s="631"/>
    </row>
    <row r="237" spans="2:16">
      <c r="B237" s="179" t="s">
        <v>858</v>
      </c>
      <c r="C237" s="226">
        <v>2372437</v>
      </c>
      <c r="D237" s="226">
        <v>3590020</v>
      </c>
      <c r="E237" s="226">
        <v>3590020</v>
      </c>
      <c r="F237" s="226">
        <v>3590020</v>
      </c>
      <c r="G237" s="226">
        <v>3590020</v>
      </c>
      <c r="H237" s="226">
        <v>3590020</v>
      </c>
      <c r="I237" s="226">
        <v>3590020</v>
      </c>
      <c r="J237" s="226">
        <v>3590020</v>
      </c>
      <c r="K237" s="226">
        <v>3590020</v>
      </c>
      <c r="L237" s="226">
        <v>3590020</v>
      </c>
      <c r="M237" s="226">
        <v>3590020</v>
      </c>
      <c r="N237" s="226">
        <v>3590020</v>
      </c>
      <c r="O237" s="226">
        <v>3590020</v>
      </c>
      <c r="P237" s="625">
        <v>3590020</v>
      </c>
    </row>
    <row r="238" spans="2:16">
      <c r="B238" s="179" t="s">
        <v>797</v>
      </c>
      <c r="C238" s="226">
        <v>1217583</v>
      </c>
      <c r="D238" s="226">
        <v>666</v>
      </c>
      <c r="E238" s="226">
        <v>666</v>
      </c>
      <c r="F238" s="226">
        <v>666</v>
      </c>
      <c r="G238" s="226">
        <v>666</v>
      </c>
      <c r="H238" s="226">
        <v>666</v>
      </c>
      <c r="I238" s="226">
        <v>666</v>
      </c>
      <c r="J238" s="226">
        <v>666</v>
      </c>
      <c r="K238" s="226">
        <v>666</v>
      </c>
      <c r="L238" s="226">
        <v>666</v>
      </c>
      <c r="M238" s="226">
        <v>666</v>
      </c>
      <c r="N238" s="226">
        <v>666</v>
      </c>
      <c r="O238" s="226">
        <v>666</v>
      </c>
      <c r="P238" s="226">
        <v>-18380</v>
      </c>
    </row>
    <row r="239" spans="2:16">
      <c r="B239" s="179" t="s">
        <v>859</v>
      </c>
      <c r="C239" s="226">
        <v>1127814</v>
      </c>
      <c r="D239" s="226">
        <v>1265967</v>
      </c>
      <c r="E239" s="226">
        <v>1402336</v>
      </c>
      <c r="F239" s="226">
        <v>557337</v>
      </c>
      <c r="G239" s="226">
        <v>557337</v>
      </c>
      <c r="H239" s="226">
        <v>760451</v>
      </c>
      <c r="I239" s="226">
        <v>760451</v>
      </c>
      <c r="J239" s="226">
        <v>760451</v>
      </c>
      <c r="K239" s="226">
        <v>760451</v>
      </c>
      <c r="L239" s="226">
        <v>1192078</v>
      </c>
      <c r="M239" s="226">
        <v>1192078</v>
      </c>
      <c r="N239" s="226">
        <v>1192078</v>
      </c>
      <c r="O239" s="226">
        <v>1192078</v>
      </c>
      <c r="P239" s="226">
        <v>1192077</v>
      </c>
    </row>
    <row r="240" spans="2:16">
      <c r="B240" s="179" t="s">
        <v>860</v>
      </c>
      <c r="C240" s="226">
        <v>2264451</v>
      </c>
      <c r="D240" s="226">
        <v>2301266</v>
      </c>
      <c r="E240" s="226">
        <v>2249590</v>
      </c>
      <c r="F240" s="226">
        <v>2198516</v>
      </c>
      <c r="G240" s="226">
        <v>2148216</v>
      </c>
      <c r="H240" s="226">
        <v>2103510</v>
      </c>
      <c r="I240" s="226">
        <v>2047987</v>
      </c>
      <c r="J240" s="226">
        <v>1999817</v>
      </c>
      <c r="K240" s="226">
        <v>1949526</v>
      </c>
      <c r="L240" s="226">
        <v>1899993</v>
      </c>
      <c r="M240" s="226">
        <v>1844193</v>
      </c>
      <c r="N240" s="226">
        <v>1796207</v>
      </c>
      <c r="O240" s="226">
        <v>2162054</v>
      </c>
      <c r="P240" s="226">
        <v>2136052</v>
      </c>
    </row>
    <row r="241" spans="2:16">
      <c r="B241" s="179" t="s">
        <v>1122</v>
      </c>
      <c r="C241" s="226"/>
      <c r="D241" s="226"/>
      <c r="E241" s="226"/>
      <c r="F241" s="226"/>
      <c r="G241" s="226"/>
      <c r="H241" s="226"/>
      <c r="I241" s="226"/>
      <c r="J241" s="226"/>
      <c r="K241" s="226"/>
      <c r="L241" s="226"/>
      <c r="M241" s="226"/>
      <c r="N241" s="226"/>
      <c r="O241" s="226"/>
      <c r="P241" s="226">
        <v>-364659</v>
      </c>
    </row>
    <row r="242" spans="2:16">
      <c r="B242" s="179" t="s">
        <v>861</v>
      </c>
      <c r="C242" s="226">
        <v>0</v>
      </c>
      <c r="D242" s="226">
        <v>0</v>
      </c>
      <c r="E242" s="226">
        <v>0</v>
      </c>
      <c r="F242" s="226">
        <v>0</v>
      </c>
      <c r="G242" s="226">
        <v>0</v>
      </c>
      <c r="H242" s="226">
        <v>73192</v>
      </c>
      <c r="I242" s="226">
        <v>73389</v>
      </c>
      <c r="J242" s="226">
        <v>70369</v>
      </c>
      <c r="K242" s="226">
        <v>77405</v>
      </c>
      <c r="L242" s="226">
        <v>31191</v>
      </c>
      <c r="M242" s="226">
        <v>63630</v>
      </c>
      <c r="N242" s="226">
        <v>62841</v>
      </c>
      <c r="O242" s="226">
        <v>53225</v>
      </c>
      <c r="P242" s="625">
        <v>140114</v>
      </c>
    </row>
    <row r="243" spans="2:16">
      <c r="B243" s="179" t="s">
        <v>801</v>
      </c>
      <c r="C243" s="226">
        <v>666</v>
      </c>
      <c r="D243" s="226">
        <v>0</v>
      </c>
      <c r="E243" s="226">
        <v>0</v>
      </c>
      <c r="F243" s="226">
        <v>0</v>
      </c>
      <c r="G243" s="226">
        <v>0</v>
      </c>
      <c r="H243" s="226">
        <v>0</v>
      </c>
      <c r="I243" s="226">
        <v>0</v>
      </c>
      <c r="J243" s="226">
        <v>0</v>
      </c>
      <c r="K243" s="226">
        <v>0</v>
      </c>
      <c r="L243" s="226">
        <v>0</v>
      </c>
      <c r="M243" s="226">
        <v>0</v>
      </c>
      <c r="N243" s="226">
        <v>0</v>
      </c>
      <c r="O243" s="226">
        <v>0</v>
      </c>
      <c r="P243" s="625">
        <v>0</v>
      </c>
    </row>
    <row r="244" spans="2:16">
      <c r="B244" s="179" t="s">
        <v>862</v>
      </c>
      <c r="C244" s="226">
        <v>0</v>
      </c>
      <c r="D244" s="226">
        <v>0</v>
      </c>
      <c r="E244" s="226">
        <v>301805</v>
      </c>
      <c r="F244" s="226">
        <v>692337</v>
      </c>
      <c r="G244" s="226">
        <v>930754</v>
      </c>
      <c r="H244" s="226">
        <v>0</v>
      </c>
      <c r="I244" s="226">
        <v>285711</v>
      </c>
      <c r="J244" s="226">
        <v>572057</v>
      </c>
      <c r="K244" s="226">
        <v>661539</v>
      </c>
      <c r="L244" s="226">
        <v>0</v>
      </c>
      <c r="M244" s="226">
        <v>364465</v>
      </c>
      <c r="N244" s="226">
        <v>1181218</v>
      </c>
      <c r="O244" s="226">
        <v>1528809</v>
      </c>
      <c r="P244" s="625">
        <v>1085973</v>
      </c>
    </row>
    <row r="245" spans="2:16">
      <c r="B245" s="179" t="s">
        <v>863</v>
      </c>
      <c r="C245" s="226">
        <v>0</v>
      </c>
      <c r="D245" s="226">
        <v>84693</v>
      </c>
      <c r="E245" s="226">
        <v>0</v>
      </c>
      <c r="F245" s="226">
        <v>0</v>
      </c>
      <c r="G245" s="226">
        <v>0</v>
      </c>
      <c r="H245" s="226">
        <v>0</v>
      </c>
      <c r="I245" s="226">
        <v>0</v>
      </c>
      <c r="J245" s="226">
        <v>0</v>
      </c>
      <c r="K245" s="226">
        <v>0</v>
      </c>
      <c r="L245" s="226">
        <v>0</v>
      </c>
      <c r="M245" s="226">
        <v>0</v>
      </c>
      <c r="N245" s="226">
        <v>0</v>
      </c>
      <c r="O245" s="226">
        <v>0</v>
      </c>
      <c r="P245" s="625" t="s">
        <v>493</v>
      </c>
    </row>
    <row r="246" spans="2:16">
      <c r="B246" s="320" t="s">
        <v>864</v>
      </c>
      <c r="C246" s="329">
        <f>SUM(C237:C245)</f>
        <v>6982951</v>
      </c>
      <c r="D246" s="329">
        <f t="shared" ref="D246:O246" si="33">SUM(D237:D245)</f>
        <v>7242612</v>
      </c>
      <c r="E246" s="329">
        <f t="shared" si="33"/>
        <v>7544417</v>
      </c>
      <c r="F246" s="329">
        <f t="shared" si="33"/>
        <v>7038876</v>
      </c>
      <c r="G246" s="329">
        <f t="shared" si="33"/>
        <v>7226993</v>
      </c>
      <c r="H246" s="329">
        <f t="shared" si="33"/>
        <v>6527839</v>
      </c>
      <c r="I246" s="329">
        <f t="shared" si="33"/>
        <v>6758224</v>
      </c>
      <c r="J246" s="329">
        <f t="shared" si="33"/>
        <v>6993380</v>
      </c>
      <c r="K246" s="329">
        <f t="shared" si="33"/>
        <v>7039607</v>
      </c>
      <c r="L246" s="329">
        <f t="shared" si="33"/>
        <v>6713948</v>
      </c>
      <c r="M246" s="329">
        <f t="shared" si="33"/>
        <v>7055052</v>
      </c>
      <c r="N246" s="329">
        <f t="shared" si="33"/>
        <v>7823030</v>
      </c>
      <c r="O246" s="329">
        <f t="shared" si="33"/>
        <v>8526852</v>
      </c>
      <c r="P246" s="630">
        <f>SUM(P237:P245)</f>
        <v>7761197</v>
      </c>
    </row>
    <row r="247" spans="2:16">
      <c r="B247" s="320" t="s">
        <v>865</v>
      </c>
      <c r="C247" s="329">
        <f t="shared" ref="C247:O247" si="34">SUM(C246+C234+C232+C215)</f>
        <v>9901001</v>
      </c>
      <c r="D247" s="329">
        <f t="shared" si="34"/>
        <v>11096749</v>
      </c>
      <c r="E247" s="329">
        <f t="shared" si="34"/>
        <v>11397895</v>
      </c>
      <c r="F247" s="329">
        <f t="shared" si="34"/>
        <v>11653204</v>
      </c>
      <c r="G247" s="329">
        <f t="shared" si="34"/>
        <v>12395764</v>
      </c>
      <c r="H247" s="329">
        <f t="shared" si="34"/>
        <v>11290031</v>
      </c>
      <c r="I247" s="329">
        <f t="shared" si="34"/>
        <v>11755598</v>
      </c>
      <c r="J247" s="329">
        <f t="shared" si="34"/>
        <v>12162325</v>
      </c>
      <c r="K247" s="329">
        <f t="shared" si="34"/>
        <v>12189920</v>
      </c>
      <c r="L247" s="329">
        <f t="shared" si="34"/>
        <v>13648553</v>
      </c>
      <c r="M247" s="329">
        <f t="shared" si="34"/>
        <v>12689381</v>
      </c>
      <c r="N247" s="329">
        <f t="shared" si="34"/>
        <v>14446011</v>
      </c>
      <c r="O247" s="329">
        <f t="shared" si="34"/>
        <v>14568644</v>
      </c>
      <c r="P247" s="630">
        <f>SUM(P246+P234+P232+P215)</f>
        <v>15617446</v>
      </c>
    </row>
    <row r="249" spans="2:16" ht="15">
      <c r="B249" s="644" t="s">
        <v>1130</v>
      </c>
    </row>
    <row r="251" spans="2:16" ht="174">
      <c r="B251" s="643" t="s">
        <v>1129</v>
      </c>
    </row>
  </sheetData>
  <mergeCells count="5">
    <mergeCell ref="B6:B7"/>
    <mergeCell ref="B47:B48"/>
    <mergeCell ref="B129:B130"/>
    <mergeCell ref="B164:B165"/>
    <mergeCell ref="B199:B200"/>
  </mergeCells>
  <hyperlinks>
    <hyperlink ref="A1" location="'Table of Contents'!A1" display="Return to Table of Contents" xr:uid="{33D3BFAD-08C8-4402-B131-A69254018134}"/>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R7"/>
  <sheetViews>
    <sheetView showGridLines="0" zoomScale="85" zoomScaleNormal="85" workbookViewId="0">
      <selection activeCell="D10" sqref="D10"/>
    </sheetView>
  </sheetViews>
  <sheetFormatPr baseColWidth="10" defaultColWidth="11.26953125" defaultRowHeight="14.5"/>
  <cols>
    <col min="1" max="1" width="11.26953125" customWidth="1"/>
    <col min="2" max="2" width="34.7265625" bestFit="1" customWidth="1"/>
    <col min="3" max="10" width="11.26953125" customWidth="1"/>
    <col min="11" max="11" width="9.1796875" customWidth="1"/>
    <col min="12" max="12" width="8.453125" customWidth="1"/>
    <col min="13" max="13" width="8.54296875" customWidth="1"/>
    <col min="14" max="18" width="8.1796875" customWidth="1"/>
  </cols>
  <sheetData>
    <row r="1" spans="1:18">
      <c r="A1" s="3" t="s">
        <v>686</v>
      </c>
      <c r="B1" s="185"/>
    </row>
    <row r="3" spans="1:18">
      <c r="B3" s="281"/>
      <c r="C3" s="282" t="s">
        <v>510</v>
      </c>
      <c r="D3" s="282" t="s">
        <v>511</v>
      </c>
      <c r="E3" s="282" t="s">
        <v>512</v>
      </c>
      <c r="F3" s="282" t="s">
        <v>513</v>
      </c>
      <c r="G3" s="282" t="s">
        <v>514</v>
      </c>
      <c r="H3" s="282" t="s">
        <v>515</v>
      </c>
      <c r="I3" s="282" t="s">
        <v>516</v>
      </c>
      <c r="J3" s="282" t="s">
        <v>517</v>
      </c>
      <c r="K3" s="282" t="s">
        <v>518</v>
      </c>
      <c r="L3" s="282" t="s">
        <v>519</v>
      </c>
      <c r="M3" s="282" t="s">
        <v>520</v>
      </c>
      <c r="N3" s="282" t="s">
        <v>521</v>
      </c>
      <c r="O3" s="282" t="s">
        <v>522</v>
      </c>
      <c r="P3" s="282" t="s">
        <v>523</v>
      </c>
      <c r="Q3" s="282" t="s">
        <v>524</v>
      </c>
      <c r="R3" s="282" t="s">
        <v>525</v>
      </c>
    </row>
    <row r="4" spans="1:18">
      <c r="B4" s="285" t="s">
        <v>526</v>
      </c>
      <c r="C4" s="283"/>
      <c r="D4" s="283"/>
      <c r="E4" s="283"/>
      <c r="F4" s="283">
        <v>554.28808435445308</v>
      </c>
      <c r="G4" s="283">
        <v>554.28808435445308</v>
      </c>
      <c r="H4" s="283">
        <v>554.28808435445308</v>
      </c>
      <c r="I4" s="283">
        <v>275.9669413492631</v>
      </c>
      <c r="J4" s="283">
        <v>275.9669413492631</v>
      </c>
      <c r="K4" s="283"/>
      <c r="L4" s="283"/>
      <c r="M4" s="283"/>
      <c r="N4" s="283"/>
      <c r="O4" s="283"/>
      <c r="P4" s="283"/>
      <c r="Q4" s="283"/>
      <c r="R4" s="283"/>
    </row>
    <row r="5" spans="1:18">
      <c r="B5" s="285" t="s">
        <v>527</v>
      </c>
      <c r="C5" s="283">
        <v>728.87759551227771</v>
      </c>
      <c r="D5" s="283">
        <v>749.68714785400323</v>
      </c>
      <c r="E5" s="283">
        <v>784.60951346306365</v>
      </c>
      <c r="F5" s="283">
        <v>841.00739787917462</v>
      </c>
      <c r="G5" s="283">
        <v>841.00739787917462</v>
      </c>
      <c r="H5" s="283">
        <v>841.00739787917462</v>
      </c>
      <c r="I5" s="283">
        <v>816.69137858862496</v>
      </c>
      <c r="J5" s="283">
        <v>816.69137858862496</v>
      </c>
      <c r="K5" s="283"/>
      <c r="L5" s="283"/>
      <c r="M5" s="283"/>
      <c r="N5" s="283"/>
      <c r="O5" s="283"/>
      <c r="P5" s="283"/>
      <c r="Q5" s="283"/>
      <c r="R5" s="283"/>
    </row>
    <row r="6" spans="1:18">
      <c r="B6" s="285" t="s">
        <v>528</v>
      </c>
      <c r="C6" s="283">
        <v>837.23913069203718</v>
      </c>
      <c r="D6" s="283">
        <v>711.46508847818245</v>
      </c>
      <c r="E6" s="283">
        <v>747.20732492309855</v>
      </c>
      <c r="F6" s="283">
        <v>694.20063732456902</v>
      </c>
      <c r="G6" s="283">
        <v>694.20063732456902</v>
      </c>
      <c r="H6" s="283">
        <v>694.20063732456902</v>
      </c>
      <c r="I6" s="283">
        <v>496.37992435808957</v>
      </c>
      <c r="J6" s="283">
        <v>496.37992435808957</v>
      </c>
      <c r="K6" s="283">
        <v>496.37992435808957</v>
      </c>
      <c r="L6" s="283">
        <v>496.37992435808957</v>
      </c>
      <c r="M6" s="283">
        <v>496.37992435808957</v>
      </c>
      <c r="N6" s="283">
        <v>91.56983117760042</v>
      </c>
      <c r="O6" s="283">
        <v>91.56983117760042</v>
      </c>
      <c r="P6" s="283">
        <v>91.56983117760042</v>
      </c>
      <c r="Q6" s="283">
        <v>91.56983117760042</v>
      </c>
      <c r="R6" s="283">
        <v>91.56983117760042</v>
      </c>
    </row>
    <row r="7" spans="1:18">
      <c r="B7" s="285" t="s">
        <v>529</v>
      </c>
      <c r="C7" s="284">
        <v>1566.116726204315</v>
      </c>
      <c r="D7" s="284">
        <v>1461.1522363321856</v>
      </c>
      <c r="E7" s="284">
        <v>1531.8168383861621</v>
      </c>
      <c r="F7" s="284">
        <v>2089.4961195581968</v>
      </c>
      <c r="G7" s="284">
        <v>2089.4961195581968</v>
      </c>
      <c r="H7" s="284">
        <v>2089.4961195581968</v>
      </c>
      <c r="I7" s="284">
        <v>1589.0382442959776</v>
      </c>
      <c r="J7" s="284">
        <v>1589.0382442959776</v>
      </c>
      <c r="K7" s="284">
        <v>496.37992435808957</v>
      </c>
      <c r="L7" s="284">
        <v>496.37992435808957</v>
      </c>
      <c r="M7" s="284">
        <v>496.37992435808957</v>
      </c>
      <c r="N7" s="284">
        <v>91.56983117760042</v>
      </c>
      <c r="O7" s="284">
        <v>91.56983117760042</v>
      </c>
      <c r="P7" s="284">
        <v>91.56983117760042</v>
      </c>
      <c r="Q7" s="284">
        <v>91.56983117760042</v>
      </c>
      <c r="R7" s="284">
        <v>91.56983117760042</v>
      </c>
    </row>
  </sheetData>
  <hyperlinks>
    <hyperlink ref="A1" location="'Table of Contents'!A1" display="Return to Table of Contents" xr:uid="{00000000-0004-0000-0500-000000000000}"/>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998B-2F2F-4FAC-9A43-374C84EE81F3}">
  <dimension ref="A1:R274"/>
  <sheetViews>
    <sheetView showGridLines="0" zoomScale="85" zoomScaleNormal="85" workbookViewId="0">
      <pane xSplit="2" ySplit="6" topLeftCell="G7" activePane="bottomRight" state="frozen"/>
      <selection pane="topRight" activeCell="C1" sqref="C1"/>
      <selection pane="bottomLeft" activeCell="A7" sqref="A7"/>
      <selection pane="bottomRight" activeCell="B43" sqref="B43"/>
    </sheetView>
  </sheetViews>
  <sheetFormatPr baseColWidth="10" defaultColWidth="11.453125" defaultRowHeight="14.5"/>
  <cols>
    <col min="1" max="1" width="5.26953125" customWidth="1"/>
    <col min="2" max="2" width="57.54296875" customWidth="1"/>
    <col min="3" max="14" width="13.453125" customWidth="1"/>
    <col min="15" max="15" width="13.81640625" style="207" customWidth="1"/>
    <col min="16" max="16" width="16.26953125" customWidth="1"/>
  </cols>
  <sheetData>
    <row r="1" spans="1:16">
      <c r="A1" s="3" t="s">
        <v>686</v>
      </c>
      <c r="B1" s="1"/>
      <c r="C1" s="1"/>
      <c r="D1" s="1"/>
      <c r="I1" s="144"/>
      <c r="J1" s="144"/>
      <c r="K1" s="144"/>
      <c r="L1" s="144"/>
      <c r="M1" s="1"/>
      <c r="N1" s="1"/>
    </row>
    <row r="2" spans="1:16">
      <c r="C2" s="13"/>
      <c r="D2" s="13"/>
      <c r="M2" s="13"/>
      <c r="N2" s="13"/>
    </row>
    <row r="3" spans="1:16" ht="15">
      <c r="A3" s="225" t="s">
        <v>492</v>
      </c>
      <c r="B3" s="19" t="s">
        <v>486</v>
      </c>
      <c r="C3" s="13"/>
      <c r="D3" s="13"/>
      <c r="E3" s="160"/>
    </row>
    <row r="4" spans="1:16" ht="15">
      <c r="A4" s="1"/>
      <c r="B4" s="21" t="s">
        <v>536</v>
      </c>
      <c r="C4" s="13"/>
      <c r="D4" s="13"/>
      <c r="F4" s="185"/>
      <c r="G4" s="185"/>
      <c r="H4" s="185"/>
      <c r="I4" s="160"/>
    </row>
    <row r="5" spans="1:16" ht="15.5">
      <c r="A5" s="1"/>
      <c r="B5" s="77"/>
      <c r="C5" s="170"/>
      <c r="D5" s="170"/>
      <c r="E5" s="144"/>
      <c r="F5" s="160"/>
      <c r="I5" s="170"/>
      <c r="J5" s="170"/>
      <c r="K5" s="170"/>
      <c r="L5" s="170"/>
      <c r="M5" s="160"/>
    </row>
    <row r="6" spans="1:16">
      <c r="A6" s="1"/>
      <c r="B6" s="78"/>
      <c r="C6" s="79">
        <v>2016</v>
      </c>
      <c r="D6" s="79">
        <v>2017</v>
      </c>
      <c r="E6" s="79" t="s">
        <v>3</v>
      </c>
      <c r="F6" s="79" t="s">
        <v>4</v>
      </c>
      <c r="G6" s="79" t="s">
        <v>5</v>
      </c>
      <c r="H6" s="79" t="s">
        <v>6</v>
      </c>
      <c r="I6" s="79" t="s">
        <v>7</v>
      </c>
      <c r="J6" s="79" t="s">
        <v>8</v>
      </c>
      <c r="K6" s="79" t="s">
        <v>9</v>
      </c>
      <c r="L6" s="79" t="s">
        <v>10</v>
      </c>
      <c r="M6" s="79" t="s">
        <v>11</v>
      </c>
      <c r="N6" s="79" t="s">
        <v>12</v>
      </c>
      <c r="O6" s="79" t="s">
        <v>561</v>
      </c>
      <c r="P6" s="580" t="s">
        <v>1111</v>
      </c>
    </row>
    <row r="7" spans="1:16">
      <c r="A7" s="1"/>
      <c r="B7" s="80"/>
      <c r="C7" s="81"/>
      <c r="D7" s="81"/>
      <c r="E7" s="81"/>
      <c r="F7" s="81"/>
      <c r="G7" s="81"/>
      <c r="H7" s="81"/>
      <c r="I7" s="81"/>
      <c r="J7" s="81"/>
      <c r="K7" s="81"/>
      <c r="L7" s="81"/>
      <c r="M7" s="81"/>
      <c r="N7" s="81"/>
      <c r="O7" s="81"/>
    </row>
    <row r="8" spans="1:16" s="1" customFormat="1" ht="15.5">
      <c r="B8" s="172" t="s">
        <v>13</v>
      </c>
      <c r="C8" s="13">
        <v>283605</v>
      </c>
      <c r="D8" s="13">
        <v>156095</v>
      </c>
      <c r="E8" s="13">
        <v>21042</v>
      </c>
      <c r="F8" s="13">
        <v>15734</v>
      </c>
      <c r="G8" s="13">
        <v>11662</v>
      </c>
      <c r="H8" s="13">
        <v>10577</v>
      </c>
      <c r="I8" s="13">
        <v>5408</v>
      </c>
      <c r="J8" s="13">
        <v>4090</v>
      </c>
      <c r="K8" s="13">
        <v>7748</v>
      </c>
      <c r="L8" s="13">
        <v>27746</v>
      </c>
      <c r="M8" s="13">
        <v>24712</v>
      </c>
      <c r="N8" s="13">
        <v>30552</v>
      </c>
      <c r="O8" s="13">
        <v>54420</v>
      </c>
      <c r="P8" s="581">
        <v>46560</v>
      </c>
    </row>
    <row r="9" spans="1:16" s="1" customFormat="1" ht="15.5">
      <c r="B9" s="172" t="s">
        <v>14</v>
      </c>
      <c r="C9" s="13">
        <v>283605</v>
      </c>
      <c r="D9" s="13">
        <v>155944</v>
      </c>
      <c r="E9" s="13">
        <v>20965</v>
      </c>
      <c r="F9" s="13">
        <v>15766</v>
      </c>
      <c r="G9" s="13">
        <v>11648</v>
      </c>
      <c r="H9" s="13">
        <v>10920</v>
      </c>
      <c r="I9" s="13">
        <v>5408</v>
      </c>
      <c r="J9" s="13">
        <v>4089</v>
      </c>
      <c r="K9" s="13">
        <v>7747</v>
      </c>
      <c r="L9" s="13">
        <v>27746</v>
      </c>
      <c r="M9" s="13">
        <v>24712</v>
      </c>
      <c r="N9" s="13">
        <v>30552</v>
      </c>
      <c r="O9" s="13">
        <v>54420</v>
      </c>
      <c r="P9" s="581">
        <v>46560</v>
      </c>
    </row>
    <row r="10" spans="1:16" s="175" customFormat="1" ht="15.5">
      <c r="B10" s="173" t="s">
        <v>15</v>
      </c>
      <c r="C10" s="15">
        <f>+C8-C9</f>
        <v>0</v>
      </c>
      <c r="D10" s="15">
        <f t="shared" ref="D10" si="0">+D8-D9</f>
        <v>151</v>
      </c>
      <c r="E10" s="15">
        <f t="shared" ref="E10" si="1">+E8-E9</f>
        <v>77</v>
      </c>
      <c r="F10" s="15">
        <f t="shared" ref="F10" si="2">+F8-F9</f>
        <v>-32</v>
      </c>
      <c r="G10" s="15">
        <f t="shared" ref="G10" si="3">+G8-G9</f>
        <v>14</v>
      </c>
      <c r="H10" s="15">
        <f t="shared" ref="H10" si="4">+H8-H9</f>
        <v>-343</v>
      </c>
      <c r="I10" s="15">
        <f>+I8-I9</f>
        <v>0</v>
      </c>
      <c r="J10" s="15">
        <f t="shared" ref="J10:N10" si="5">+J8-J9</f>
        <v>1</v>
      </c>
      <c r="K10" s="15">
        <f t="shared" si="5"/>
        <v>1</v>
      </c>
      <c r="L10" s="15">
        <f t="shared" si="5"/>
        <v>0</v>
      </c>
      <c r="M10" s="15">
        <f t="shared" si="5"/>
        <v>0</v>
      </c>
      <c r="N10" s="15">
        <f t="shared" si="5"/>
        <v>0</v>
      </c>
      <c r="O10" s="15">
        <v>0</v>
      </c>
      <c r="P10" s="582">
        <f>+P8-P9</f>
        <v>0</v>
      </c>
    </row>
    <row r="11" spans="1:16" s="1" customFormat="1" ht="15.5">
      <c r="B11" s="80"/>
      <c r="C11" s="181"/>
      <c r="D11" s="181"/>
      <c r="E11" s="181"/>
      <c r="F11" s="181"/>
      <c r="G11" s="181"/>
      <c r="H11" s="181"/>
      <c r="I11" s="181"/>
      <c r="J11" s="181"/>
      <c r="K11" s="181"/>
      <c r="L11" s="181"/>
      <c r="M11" s="156"/>
      <c r="N11" s="156"/>
      <c r="O11" s="181"/>
      <c r="P11" s="583"/>
    </row>
    <row r="12" spans="1:16" ht="15.5">
      <c r="A12" s="1"/>
      <c r="B12" s="12" t="s">
        <v>88</v>
      </c>
      <c r="C12" s="13">
        <v>121258</v>
      </c>
      <c r="D12" s="13">
        <v>125996</v>
      </c>
      <c r="E12" s="13">
        <v>42359</v>
      </c>
      <c r="F12" s="13">
        <v>43410</v>
      </c>
      <c r="G12" s="13">
        <v>42480</v>
      </c>
      <c r="H12" s="13">
        <v>43239</v>
      </c>
      <c r="I12" s="13">
        <v>46246</v>
      </c>
      <c r="J12" s="13">
        <v>47154</v>
      </c>
      <c r="K12" s="13">
        <v>46529</v>
      </c>
      <c r="L12" s="13">
        <v>46991</v>
      </c>
      <c r="M12" s="13">
        <v>44865</v>
      </c>
      <c r="N12" s="13">
        <v>47587</v>
      </c>
      <c r="O12" s="13">
        <v>49031</v>
      </c>
      <c r="P12" s="581">
        <v>48720</v>
      </c>
    </row>
    <row r="13" spans="1:16" ht="15.5">
      <c r="A13" s="1"/>
      <c r="B13" s="12" t="s">
        <v>110</v>
      </c>
      <c r="C13" s="13">
        <v>0</v>
      </c>
      <c r="D13" s="13">
        <v>2893</v>
      </c>
      <c r="E13" s="13">
        <v>674</v>
      </c>
      <c r="F13" s="13">
        <v>757</v>
      </c>
      <c r="G13" s="13">
        <v>794</v>
      </c>
      <c r="H13" s="13">
        <v>1091</v>
      </c>
      <c r="I13" s="13">
        <v>766</v>
      </c>
      <c r="J13" s="13">
        <v>762</v>
      </c>
      <c r="K13" s="13">
        <v>740</v>
      </c>
      <c r="L13" s="13">
        <v>644</v>
      </c>
      <c r="M13" s="13">
        <v>784</v>
      </c>
      <c r="N13" s="13">
        <v>784</v>
      </c>
      <c r="O13" s="13">
        <v>1043</v>
      </c>
      <c r="P13" s="581">
        <v>802</v>
      </c>
    </row>
    <row r="14" spans="1:16" ht="15.5">
      <c r="A14" s="1"/>
      <c r="B14" s="12" t="s">
        <v>22</v>
      </c>
      <c r="C14" s="13">
        <v>0</v>
      </c>
      <c r="D14" s="13">
        <v>0</v>
      </c>
      <c r="E14" s="13">
        <v>0</v>
      </c>
      <c r="F14" s="13">
        <v>0</v>
      </c>
      <c r="G14" s="13">
        <v>0</v>
      </c>
      <c r="H14" s="13">
        <v>0</v>
      </c>
      <c r="I14" s="13">
        <v>0</v>
      </c>
      <c r="J14" s="13">
        <v>0</v>
      </c>
      <c r="K14" s="13">
        <v>0</v>
      </c>
      <c r="L14" s="13">
        <v>0</v>
      </c>
      <c r="M14" s="13">
        <v>0</v>
      </c>
      <c r="N14" s="13">
        <v>0</v>
      </c>
      <c r="O14" s="13"/>
      <c r="P14" s="581">
        <v>67</v>
      </c>
    </row>
    <row r="15" spans="1:16" ht="15.5">
      <c r="A15" s="1"/>
      <c r="B15" s="12" t="s">
        <v>23</v>
      </c>
      <c r="C15" s="13">
        <v>14580</v>
      </c>
      <c r="D15" s="13">
        <v>14982</v>
      </c>
      <c r="E15" s="13">
        <v>4565</v>
      </c>
      <c r="F15" s="13">
        <v>4724</v>
      </c>
      <c r="G15" s="13">
        <v>4252</v>
      </c>
      <c r="H15" s="13">
        <v>4744</v>
      </c>
      <c r="I15" s="13">
        <v>4767</v>
      </c>
      <c r="J15" s="13">
        <v>5434</v>
      </c>
      <c r="K15" s="13">
        <v>5453</v>
      </c>
      <c r="L15" s="13">
        <f>5864-17</f>
        <v>5847</v>
      </c>
      <c r="M15" s="13">
        <v>5235</v>
      </c>
      <c r="N15" s="13">
        <v>5249</v>
      </c>
      <c r="O15" s="13">
        <v>4468</v>
      </c>
      <c r="P15" s="581">
        <v>5694</v>
      </c>
    </row>
    <row r="16" spans="1:16" s="171" customFormat="1" ht="15.5">
      <c r="B16" s="173" t="s">
        <v>24</v>
      </c>
      <c r="C16" s="15">
        <f t="shared" ref="C16:N16" si="6">+SUM(C12:C14)-C15</f>
        <v>106678</v>
      </c>
      <c r="D16" s="15">
        <f t="shared" si="6"/>
        <v>113907</v>
      </c>
      <c r="E16" s="15">
        <f t="shared" si="6"/>
        <v>38468</v>
      </c>
      <c r="F16" s="15">
        <f t="shared" si="6"/>
        <v>39443</v>
      </c>
      <c r="G16" s="15">
        <f t="shared" si="6"/>
        <v>39022</v>
      </c>
      <c r="H16" s="15">
        <f t="shared" si="6"/>
        <v>39586</v>
      </c>
      <c r="I16" s="15">
        <f t="shared" si="6"/>
        <v>42245</v>
      </c>
      <c r="J16" s="15">
        <f t="shared" si="6"/>
        <v>42482</v>
      </c>
      <c r="K16" s="15">
        <f t="shared" si="6"/>
        <v>41816</v>
      </c>
      <c r="L16" s="15">
        <f t="shared" si="6"/>
        <v>41788</v>
      </c>
      <c r="M16" s="15">
        <f t="shared" si="6"/>
        <v>40414</v>
      </c>
      <c r="N16" s="15">
        <f t="shared" si="6"/>
        <v>43122</v>
      </c>
      <c r="O16" s="15">
        <v>45606</v>
      </c>
      <c r="P16" s="582">
        <f>+SUM(P12:P14)-P15</f>
        <v>43895</v>
      </c>
    </row>
    <row r="17" spans="1:18" ht="15.5">
      <c r="A17" s="1"/>
      <c r="B17" s="16" t="s">
        <v>25</v>
      </c>
      <c r="C17" s="17">
        <f t="shared" ref="C17:N17" si="7">+C10+C16</f>
        <v>106678</v>
      </c>
      <c r="D17" s="17">
        <f t="shared" si="7"/>
        <v>114058</v>
      </c>
      <c r="E17" s="17">
        <f t="shared" si="7"/>
        <v>38545</v>
      </c>
      <c r="F17" s="17">
        <f t="shared" si="7"/>
        <v>39411</v>
      </c>
      <c r="G17" s="17">
        <f t="shared" si="7"/>
        <v>39036</v>
      </c>
      <c r="H17" s="17">
        <f t="shared" si="7"/>
        <v>39243</v>
      </c>
      <c r="I17" s="17">
        <f t="shared" si="7"/>
        <v>42245</v>
      </c>
      <c r="J17" s="17">
        <f t="shared" si="7"/>
        <v>42483</v>
      </c>
      <c r="K17" s="17">
        <f t="shared" si="7"/>
        <v>41817</v>
      </c>
      <c r="L17" s="17">
        <f t="shared" si="7"/>
        <v>41788</v>
      </c>
      <c r="M17" s="17">
        <f t="shared" si="7"/>
        <v>40414</v>
      </c>
      <c r="N17" s="17">
        <f t="shared" si="7"/>
        <v>43122</v>
      </c>
      <c r="O17" s="286">
        <v>45606</v>
      </c>
      <c r="P17" s="584">
        <f>+P10+P16</f>
        <v>43895</v>
      </c>
    </row>
    <row r="18" spans="1:18" ht="15.5">
      <c r="A18" s="1"/>
      <c r="B18" s="10"/>
      <c r="C18" s="181"/>
      <c r="D18" s="181"/>
      <c r="E18" s="181"/>
      <c r="F18" s="181"/>
      <c r="G18" s="181"/>
      <c r="H18" s="181"/>
      <c r="I18" s="181"/>
      <c r="J18" s="181"/>
      <c r="K18" s="181"/>
      <c r="L18" s="181"/>
      <c r="M18" s="156"/>
      <c r="N18" s="156"/>
      <c r="O18" s="181"/>
      <c r="P18" s="583"/>
    </row>
    <row r="19" spans="1:18" ht="15.5">
      <c r="B19" s="12" t="s">
        <v>26</v>
      </c>
      <c r="C19" s="13">
        <v>32486</v>
      </c>
      <c r="D19" s="13">
        <v>35279</v>
      </c>
      <c r="E19" s="13">
        <v>13382</v>
      </c>
      <c r="F19" s="13">
        <v>13871</v>
      </c>
      <c r="G19" s="13">
        <v>13742</v>
      </c>
      <c r="H19" s="13">
        <v>12613</v>
      </c>
      <c r="I19" s="13">
        <v>13488</v>
      </c>
      <c r="J19" s="13">
        <v>13464</v>
      </c>
      <c r="K19" s="13">
        <v>13471</v>
      </c>
      <c r="L19" s="13">
        <v>12325</v>
      </c>
      <c r="M19" s="13">
        <v>14146</v>
      </c>
      <c r="N19" s="13">
        <v>14145</v>
      </c>
      <c r="O19" s="13">
        <v>14139</v>
      </c>
      <c r="P19" s="581">
        <v>13834</v>
      </c>
    </row>
    <row r="20" spans="1:18" ht="15.5">
      <c r="B20" s="12" t="s">
        <v>27</v>
      </c>
      <c r="C20" s="13">
        <v>0</v>
      </c>
      <c r="D20" s="13">
        <v>0</v>
      </c>
      <c r="E20" s="13">
        <v>0</v>
      </c>
      <c r="F20" s="13">
        <v>0</v>
      </c>
      <c r="G20" s="13">
        <v>0</v>
      </c>
      <c r="H20" s="13">
        <v>0</v>
      </c>
      <c r="I20" s="13">
        <v>0</v>
      </c>
      <c r="J20" s="13">
        <v>0</v>
      </c>
      <c r="K20" s="13">
        <v>0</v>
      </c>
      <c r="L20" s="13">
        <v>0</v>
      </c>
      <c r="M20" s="13">
        <v>0</v>
      </c>
      <c r="N20" s="13">
        <v>0</v>
      </c>
      <c r="O20" s="13">
        <v>0</v>
      </c>
      <c r="P20" s="581">
        <v>0</v>
      </c>
    </row>
    <row r="21" spans="1:18" ht="15.5">
      <c r="B21" s="12" t="s">
        <v>28</v>
      </c>
      <c r="C21" s="13">
        <v>1</v>
      </c>
      <c r="D21" s="13">
        <v>-504</v>
      </c>
      <c r="E21" s="13">
        <v>-142</v>
      </c>
      <c r="F21" s="13">
        <v>-64</v>
      </c>
      <c r="G21" s="13">
        <v>-135</v>
      </c>
      <c r="H21" s="13">
        <v>-210</v>
      </c>
      <c r="I21" s="13">
        <v>-30</v>
      </c>
      <c r="J21" s="13">
        <v>37</v>
      </c>
      <c r="K21" s="13">
        <v>-63</v>
      </c>
      <c r="L21" s="13">
        <v>-467</v>
      </c>
      <c r="M21" s="13">
        <v>76</v>
      </c>
      <c r="N21" s="13">
        <v>156</v>
      </c>
      <c r="O21" s="13">
        <v>-232</v>
      </c>
      <c r="P21" s="581">
        <f>-56+111</f>
        <v>55</v>
      </c>
      <c r="Q21" s="174"/>
      <c r="R21" s="174"/>
    </row>
    <row r="22" spans="1:18" ht="15.5">
      <c r="B22" s="16" t="s">
        <v>29</v>
      </c>
      <c r="C22" s="17">
        <f t="shared" ref="C22:M22" si="8">+C17-C19+C20+C21</f>
        <v>74193</v>
      </c>
      <c r="D22" s="17">
        <f t="shared" si="8"/>
        <v>78275</v>
      </c>
      <c r="E22" s="17">
        <f t="shared" si="8"/>
        <v>25021</v>
      </c>
      <c r="F22" s="17">
        <f t="shared" si="8"/>
        <v>25476</v>
      </c>
      <c r="G22" s="17">
        <f t="shared" si="8"/>
        <v>25159</v>
      </c>
      <c r="H22" s="17">
        <f t="shared" si="8"/>
        <v>26420</v>
      </c>
      <c r="I22" s="17">
        <f>+I17-I19+I20+I21</f>
        <v>28727</v>
      </c>
      <c r="J22" s="17">
        <f>+J17-J19+J20+J21</f>
        <v>29056</v>
      </c>
      <c r="K22" s="17">
        <f>+K17-K19+K20+K21</f>
        <v>28283</v>
      </c>
      <c r="L22" s="17">
        <f>+L17-L19+L20+L21</f>
        <v>28996</v>
      </c>
      <c r="M22" s="17">
        <f t="shared" si="8"/>
        <v>26344</v>
      </c>
      <c r="N22" s="17">
        <f>+N17-N19+N20+N21</f>
        <v>29133</v>
      </c>
      <c r="O22" s="286">
        <v>31235</v>
      </c>
      <c r="P22" s="584">
        <f>+P17-P19+P20+P21</f>
        <v>30116</v>
      </c>
    </row>
    <row r="23" spans="1:18" ht="15.5">
      <c r="B23" s="12"/>
      <c r="C23" s="176"/>
      <c r="D23" s="176"/>
      <c r="E23" s="176"/>
      <c r="F23" s="176"/>
      <c r="G23" s="176"/>
      <c r="H23" s="176"/>
      <c r="I23" s="176"/>
      <c r="J23" s="176"/>
      <c r="K23" s="176"/>
      <c r="L23" s="176"/>
      <c r="O23" s="185"/>
      <c r="P23" s="357"/>
    </row>
    <row r="24" spans="1:18" ht="15.5">
      <c r="B24" s="12" t="s">
        <v>30</v>
      </c>
      <c r="C24" s="13">
        <v>-10139</v>
      </c>
      <c r="D24" s="13">
        <v>-12892</v>
      </c>
      <c r="E24" s="13">
        <v>-6610</v>
      </c>
      <c r="F24" s="13">
        <v>-7362</v>
      </c>
      <c r="G24" s="13">
        <v>-6708</v>
      </c>
      <c r="H24" s="13">
        <v>-5977</v>
      </c>
      <c r="I24" s="13">
        <v>-6213</v>
      </c>
      <c r="J24" s="13">
        <f>-13819+7</f>
        <v>-13812</v>
      </c>
      <c r="K24" s="13">
        <v>-7203</v>
      </c>
      <c r="L24" s="13">
        <f>-5794-18</f>
        <v>-5812</v>
      </c>
      <c r="M24" s="13">
        <f>-ROUND(7043.06927,0)</f>
        <v>-7043</v>
      </c>
      <c r="N24" s="13">
        <v>-8426</v>
      </c>
      <c r="O24" s="13">
        <v>-7762</v>
      </c>
      <c r="P24" s="581">
        <v>-7773</v>
      </c>
    </row>
    <row r="25" spans="1:18" ht="15.5">
      <c r="B25" s="16" t="s">
        <v>31</v>
      </c>
      <c r="C25" s="18">
        <f t="shared" ref="C25:H25" si="9">+C22+C24</f>
        <v>64054</v>
      </c>
      <c r="D25" s="18">
        <f t="shared" si="9"/>
        <v>65383</v>
      </c>
      <c r="E25" s="18">
        <f t="shared" si="9"/>
        <v>18411</v>
      </c>
      <c r="F25" s="18">
        <f t="shared" si="9"/>
        <v>18114</v>
      </c>
      <c r="G25" s="18">
        <f t="shared" si="9"/>
        <v>18451</v>
      </c>
      <c r="H25" s="18">
        <f t="shared" si="9"/>
        <v>20443</v>
      </c>
      <c r="I25" s="18">
        <f>+I22+I24</f>
        <v>22514</v>
      </c>
      <c r="J25" s="18">
        <f t="shared" ref="J25" si="10">+J22+J24</f>
        <v>15244</v>
      </c>
      <c r="K25" s="18">
        <f t="shared" ref="K25" si="11">+K22+K24</f>
        <v>21080</v>
      </c>
      <c r="L25" s="18">
        <f t="shared" ref="L25" si="12">+L22+L24</f>
        <v>23184</v>
      </c>
      <c r="M25" s="18">
        <f t="shared" ref="M25" si="13">+M22+M24</f>
        <v>19301</v>
      </c>
      <c r="N25" s="18">
        <f t="shared" ref="N25" si="14">+N22+N24</f>
        <v>20707</v>
      </c>
      <c r="O25" s="287">
        <v>23473</v>
      </c>
      <c r="P25" s="585">
        <f>+P22+P24</f>
        <v>22343</v>
      </c>
    </row>
    <row r="26" spans="1:18" ht="15.5">
      <c r="B26" s="10"/>
      <c r="C26" s="181"/>
      <c r="D26" s="181"/>
      <c r="E26" s="181"/>
      <c r="F26" s="181"/>
      <c r="G26" s="181"/>
      <c r="H26" s="181"/>
      <c r="I26" s="181"/>
      <c r="J26" s="181"/>
      <c r="K26" s="181"/>
      <c r="L26" s="181"/>
      <c r="M26" s="181"/>
      <c r="N26" s="181"/>
      <c r="O26" s="181"/>
      <c r="P26" s="583"/>
    </row>
    <row r="27" spans="1:18" ht="15.5">
      <c r="B27" s="12" t="s">
        <v>32</v>
      </c>
      <c r="C27" s="13">
        <v>21027</v>
      </c>
      <c r="D27" s="13">
        <v>20810</v>
      </c>
      <c r="E27" s="13">
        <v>5794</v>
      </c>
      <c r="F27" s="13">
        <v>5691</v>
      </c>
      <c r="G27" s="13">
        <v>5679</v>
      </c>
      <c r="H27" s="13">
        <v>6558</v>
      </c>
      <c r="I27" s="13">
        <v>6894</v>
      </c>
      <c r="J27" s="13">
        <v>4476</v>
      </c>
      <c r="K27" s="13">
        <v>6566</v>
      </c>
      <c r="L27" s="13">
        <v>6727</v>
      </c>
      <c r="M27" s="13">
        <v>5790</v>
      </c>
      <c r="N27" s="13">
        <v>6200</v>
      </c>
      <c r="O27" s="13">
        <v>6955</v>
      </c>
      <c r="P27" s="581">
        <v>6895</v>
      </c>
    </row>
    <row r="28" spans="1:18" ht="15.5">
      <c r="B28" s="16" t="s">
        <v>35</v>
      </c>
      <c r="C28" s="18">
        <f t="shared" ref="C28:H28" si="15">+C25-C27</f>
        <v>43027</v>
      </c>
      <c r="D28" s="18">
        <f t="shared" si="15"/>
        <v>44573</v>
      </c>
      <c r="E28" s="18">
        <f t="shared" si="15"/>
        <v>12617</v>
      </c>
      <c r="F28" s="18">
        <f t="shared" si="15"/>
        <v>12423</v>
      </c>
      <c r="G28" s="18">
        <f t="shared" si="15"/>
        <v>12772</v>
      </c>
      <c r="H28" s="18">
        <f t="shared" si="15"/>
        <v>13885</v>
      </c>
      <c r="I28" s="18">
        <f>+I25-I27</f>
        <v>15620</v>
      </c>
      <c r="J28" s="18">
        <f t="shared" ref="J28" si="16">+J25-J27</f>
        <v>10768</v>
      </c>
      <c r="K28" s="18">
        <f t="shared" ref="K28" si="17">+K25-K27</f>
        <v>14514</v>
      </c>
      <c r="L28" s="18">
        <f t="shared" ref="L28" si="18">+L25-L27</f>
        <v>16457</v>
      </c>
      <c r="M28" s="18">
        <f t="shared" ref="M28" si="19">+M25-M27</f>
        <v>13511</v>
      </c>
      <c r="N28" s="18">
        <f t="shared" ref="N28" si="20">+N25-N27</f>
        <v>14507</v>
      </c>
      <c r="O28" s="287">
        <v>16518</v>
      </c>
      <c r="P28" s="585">
        <f>+P25-P27</f>
        <v>15448</v>
      </c>
    </row>
    <row r="29" spans="1:18" s="1" customFormat="1">
      <c r="B29" s="14"/>
      <c r="C29" s="15"/>
      <c r="D29" s="15"/>
      <c r="E29" s="15"/>
      <c r="F29" s="15"/>
      <c r="G29" s="15"/>
      <c r="H29" s="15"/>
      <c r="I29" s="15"/>
      <c r="J29" s="15"/>
      <c r="K29" s="15"/>
      <c r="L29" s="15"/>
      <c r="M29" s="15"/>
      <c r="N29" s="15"/>
      <c r="O29" s="15"/>
    </row>
    <row r="30" spans="1:18">
      <c r="B30" s="14"/>
      <c r="C30" s="15"/>
      <c r="D30" s="15"/>
      <c r="E30" s="15"/>
      <c r="F30" s="15"/>
      <c r="G30" s="15"/>
      <c r="H30" s="15"/>
      <c r="I30" s="15"/>
      <c r="J30" s="15"/>
      <c r="K30" s="15"/>
      <c r="L30" s="15"/>
      <c r="M30" s="15"/>
      <c r="N30" s="15"/>
      <c r="O30" s="15"/>
    </row>
    <row r="31" spans="1:18">
      <c r="B31" s="5"/>
      <c r="C31" s="5"/>
      <c r="D31" s="5"/>
      <c r="E31" s="5"/>
      <c r="F31" s="5"/>
      <c r="G31" s="5"/>
      <c r="H31" s="5"/>
      <c r="I31" s="5"/>
      <c r="J31" s="5"/>
      <c r="K31" s="5"/>
      <c r="L31" s="5"/>
      <c r="M31" s="5"/>
      <c r="N31" s="5"/>
      <c r="O31" s="5"/>
    </row>
    <row r="32" spans="1:18" ht="15.5">
      <c r="A32" s="225" t="s">
        <v>492</v>
      </c>
      <c r="B32" s="19" t="s">
        <v>487</v>
      </c>
      <c r="C32" s="75"/>
      <c r="D32" s="75"/>
      <c r="E32" s="76"/>
      <c r="F32" s="75"/>
      <c r="G32" s="75"/>
      <c r="H32" s="75"/>
      <c r="I32" s="76"/>
      <c r="J32" s="75"/>
      <c r="K32" s="75"/>
      <c r="L32" s="75"/>
      <c r="M32" s="76"/>
      <c r="N32" s="75"/>
      <c r="O32" s="75"/>
    </row>
    <row r="33" spans="2:16" ht="15">
      <c r="B33" s="21" t="s">
        <v>536</v>
      </c>
      <c r="C33" s="5"/>
      <c r="D33" s="5"/>
      <c r="E33" s="5"/>
      <c r="F33" s="5"/>
      <c r="G33" s="5"/>
      <c r="H33" s="5"/>
      <c r="I33" s="5"/>
      <c r="J33" s="5"/>
      <c r="K33" s="5"/>
      <c r="L33" s="5"/>
      <c r="M33" s="5"/>
      <c r="N33" s="5"/>
      <c r="O33" s="5"/>
    </row>
    <row r="34" spans="2:16" s="1" customFormat="1" ht="15">
      <c r="B34" s="21"/>
      <c r="C34" s="5"/>
      <c r="D34" s="5"/>
      <c r="E34" s="5"/>
      <c r="F34" s="5"/>
      <c r="G34" s="5"/>
      <c r="H34" s="5"/>
      <c r="I34" s="5"/>
      <c r="J34" s="5"/>
      <c r="K34" s="5"/>
      <c r="L34" s="5"/>
      <c r="M34" s="5"/>
      <c r="N34" s="5"/>
      <c r="O34" s="5"/>
    </row>
    <row r="35" spans="2:16" ht="15" thickBot="1">
      <c r="B35" s="78"/>
      <c r="C35" s="79"/>
      <c r="D35" s="79"/>
      <c r="E35" s="79"/>
      <c r="F35" s="79"/>
      <c r="G35" s="79"/>
      <c r="H35" s="79"/>
      <c r="I35" s="79"/>
      <c r="J35" s="79"/>
      <c r="K35" s="79"/>
      <c r="L35" s="79"/>
      <c r="M35" s="79"/>
      <c r="N35" s="79"/>
      <c r="O35" s="79"/>
      <c r="P35" s="79"/>
    </row>
    <row r="36" spans="2:16" ht="15" thickBot="1">
      <c r="B36" s="56" t="s">
        <v>37</v>
      </c>
      <c r="C36" s="57"/>
      <c r="D36" s="57"/>
      <c r="E36" s="57"/>
      <c r="F36" s="57"/>
      <c r="G36" s="57"/>
      <c r="H36" s="57"/>
      <c r="I36" s="57"/>
      <c r="J36" s="57"/>
      <c r="K36" s="57"/>
      <c r="L36" s="57"/>
      <c r="M36" s="57"/>
      <c r="N36" s="57"/>
      <c r="O36" s="57"/>
      <c r="P36" s="57"/>
    </row>
    <row r="37" spans="2:16" ht="15" thickBot="1">
      <c r="B37" s="58" t="s">
        <v>38</v>
      </c>
      <c r="C37" s="59"/>
      <c r="D37" s="59"/>
      <c r="E37" s="59"/>
      <c r="F37" s="59"/>
      <c r="G37" s="59"/>
      <c r="H37" s="59"/>
      <c r="I37" s="59"/>
      <c r="J37" s="59"/>
      <c r="K37" s="59"/>
      <c r="L37" s="59"/>
      <c r="M37" s="59"/>
      <c r="N37" s="194"/>
      <c r="O37" s="194"/>
      <c r="P37" s="194"/>
    </row>
    <row r="38" spans="2:16" s="1" customFormat="1" ht="15.5">
      <c r="B38" s="12" t="s">
        <v>537</v>
      </c>
      <c r="C38" s="13">
        <v>3100.344599999974</v>
      </c>
      <c r="D38" s="13">
        <v>22845.066629999998</v>
      </c>
      <c r="E38" s="13">
        <v>70681.831069999986</v>
      </c>
      <c r="F38" s="13">
        <v>9464.051300000001</v>
      </c>
      <c r="G38" s="13">
        <v>17494.000309999999</v>
      </c>
      <c r="H38" s="13">
        <v>24390.453149999998</v>
      </c>
      <c r="I38" s="13">
        <v>26200.126370000002</v>
      </c>
      <c r="J38" s="13">
        <v>48222.839619999999</v>
      </c>
      <c r="K38" s="13">
        <v>56073.660929999998</v>
      </c>
      <c r="L38" s="13">
        <v>34742.533000000003</v>
      </c>
      <c r="M38" s="13">
        <v>60515.888200000001</v>
      </c>
      <c r="N38" s="13">
        <v>77607.050920000009</v>
      </c>
      <c r="O38" s="13">
        <v>190640</v>
      </c>
      <c r="P38" s="581">
        <v>69361</v>
      </c>
    </row>
    <row r="39" spans="2:16" s="1" customFormat="1" ht="15.5">
      <c r="B39" s="12" t="s">
        <v>538</v>
      </c>
      <c r="C39" s="13">
        <v>12810.560829999999</v>
      </c>
      <c r="D39" s="13">
        <v>17902.028999999999</v>
      </c>
      <c r="E39" s="13">
        <v>18674.970209999999</v>
      </c>
      <c r="F39" s="13">
        <v>19132.43346</v>
      </c>
      <c r="G39" s="13">
        <v>19834.966769999999</v>
      </c>
      <c r="H39" s="13">
        <v>22121.309000000001</v>
      </c>
      <c r="I39" s="13">
        <v>21651.036929999998</v>
      </c>
      <c r="J39" s="13">
        <v>21802.442440000003</v>
      </c>
      <c r="K39" s="13">
        <v>21421.465769999999</v>
      </c>
      <c r="L39" s="13">
        <v>22929.362000000001</v>
      </c>
      <c r="M39" s="13">
        <v>22076.112920000003</v>
      </c>
      <c r="N39" s="13">
        <v>23792.642019999999</v>
      </c>
      <c r="O39" s="13">
        <v>25650</v>
      </c>
      <c r="P39" s="581">
        <v>27395</v>
      </c>
    </row>
    <row r="40" spans="2:16" s="1" customFormat="1" ht="15.5">
      <c r="B40" s="12" t="s">
        <v>539</v>
      </c>
      <c r="C40" s="13">
        <v>49989.800999999999</v>
      </c>
      <c r="D40" s="13">
        <v>17941.57</v>
      </c>
      <c r="E40" s="13">
        <v>16585.751039999999</v>
      </c>
      <c r="F40" s="13">
        <v>23471.900320000001</v>
      </c>
      <c r="G40" s="13">
        <v>23591.421739999998</v>
      </c>
      <c r="H40" s="13">
        <v>15075.039000000001</v>
      </c>
      <c r="I40" s="13">
        <v>19694.16762</v>
      </c>
      <c r="J40" s="13">
        <v>25493.541989999998</v>
      </c>
      <c r="K40" s="13">
        <v>29403.13377</v>
      </c>
      <c r="L40" s="13">
        <v>22255.904999999999</v>
      </c>
      <c r="M40" s="13">
        <v>29651.705600000001</v>
      </c>
      <c r="N40" s="13">
        <v>28825.336380000001</v>
      </c>
      <c r="O40" s="13">
        <v>12884</v>
      </c>
      <c r="P40" s="581">
        <v>19514</v>
      </c>
    </row>
    <row r="41" spans="2:16" s="1" customFormat="1" ht="15.5">
      <c r="B41" s="12" t="s">
        <v>540</v>
      </c>
      <c r="C41" s="13">
        <v>5982.3008300000001</v>
      </c>
      <c r="D41" s="13">
        <v>3611.2267599999996</v>
      </c>
      <c r="E41" s="13">
        <v>4010.4315799999999</v>
      </c>
      <c r="F41" s="13">
        <v>4291.6916799999999</v>
      </c>
      <c r="G41" s="13">
        <v>4152.8440000000001</v>
      </c>
      <c r="H41" s="13">
        <v>5643.4131900000002</v>
      </c>
      <c r="I41" s="13">
        <v>5656.2311900000004</v>
      </c>
      <c r="J41" s="13">
        <v>5944.5310300000001</v>
      </c>
      <c r="K41" s="13">
        <v>5872.55357</v>
      </c>
      <c r="L41" s="13">
        <v>5777.8597499999996</v>
      </c>
      <c r="M41" s="13">
        <v>5696.3175700000002</v>
      </c>
      <c r="N41" s="13">
        <v>5735.0665799999997</v>
      </c>
      <c r="O41" s="13">
        <v>5988</v>
      </c>
      <c r="P41" s="581">
        <v>6263</v>
      </c>
    </row>
    <row r="42" spans="2:16" s="1" customFormat="1" ht="15.5">
      <c r="B42" s="12" t="s">
        <v>114</v>
      </c>
      <c r="C42" s="13">
        <v>640.41286000000002</v>
      </c>
      <c r="D42" s="13">
        <v>884.24045999999998</v>
      </c>
      <c r="E42" s="13">
        <v>508.52312999999998</v>
      </c>
      <c r="F42" s="13">
        <v>100.48341000000001</v>
      </c>
      <c r="G42" s="13">
        <v>2835.7186000000002</v>
      </c>
      <c r="H42" s="13">
        <v>2309.1588999999999</v>
      </c>
      <c r="I42" s="13">
        <v>1847.0334399999999</v>
      </c>
      <c r="J42" s="13">
        <v>1382.75173</v>
      </c>
      <c r="K42" s="13">
        <v>1438.3046899999999</v>
      </c>
      <c r="L42" s="13">
        <v>1110.6847499999999</v>
      </c>
      <c r="M42" s="13">
        <v>3141.8599700000004</v>
      </c>
      <c r="N42" s="13">
        <v>2286.6473900000001</v>
      </c>
      <c r="O42" s="13">
        <v>3247</v>
      </c>
      <c r="P42" s="581">
        <v>2535</v>
      </c>
    </row>
    <row r="43" spans="2:16" s="1" customFormat="1" ht="15.5">
      <c r="B43" s="12" t="s">
        <v>541</v>
      </c>
      <c r="C43" s="13">
        <v>0</v>
      </c>
      <c r="D43" s="13">
        <v>0</v>
      </c>
      <c r="E43" s="13">
        <v>0</v>
      </c>
      <c r="F43" s="13">
        <v>0</v>
      </c>
      <c r="G43" s="13">
        <v>0</v>
      </c>
      <c r="H43" s="13">
        <v>0</v>
      </c>
      <c r="I43" s="13">
        <v>0</v>
      </c>
      <c r="J43" s="13">
        <v>0</v>
      </c>
      <c r="K43" s="13">
        <v>0</v>
      </c>
      <c r="L43" s="13">
        <v>16800</v>
      </c>
      <c r="M43" s="13">
        <v>0</v>
      </c>
      <c r="N43" s="13">
        <v>0</v>
      </c>
      <c r="O43" s="13">
        <v>0</v>
      </c>
      <c r="P43" s="581">
        <v>87162</v>
      </c>
    </row>
    <row r="44" spans="2:16" s="1" customFormat="1" ht="15.5">
      <c r="B44" s="12" t="s">
        <v>115</v>
      </c>
      <c r="C44" s="13">
        <v>1199.6198100000001</v>
      </c>
      <c r="D44" s="13">
        <v>228.60698000000002</v>
      </c>
      <c r="E44" s="13">
        <v>14306.933789999999</v>
      </c>
      <c r="F44" s="13">
        <v>16859.066079999997</v>
      </c>
      <c r="G44" s="13">
        <v>21160.5255</v>
      </c>
      <c r="H44" s="13">
        <v>25120.717840000001</v>
      </c>
      <c r="I44" s="13">
        <v>25053.772639999999</v>
      </c>
      <c r="J44" s="13">
        <v>25293.328850000002</v>
      </c>
      <c r="K44" s="13">
        <v>28194.066269999999</v>
      </c>
      <c r="L44" s="13">
        <v>26294.862000000001</v>
      </c>
      <c r="M44" s="13">
        <v>20390.904190000001</v>
      </c>
      <c r="N44" s="13">
        <v>18834.96312</v>
      </c>
      <c r="O44" s="13">
        <v>23028</v>
      </c>
      <c r="P44" s="581">
        <v>43538</v>
      </c>
    </row>
    <row r="45" spans="2:16" s="185" customFormat="1" ht="15.5">
      <c r="B45" s="179" t="s">
        <v>1113</v>
      </c>
      <c r="C45" s="13"/>
      <c r="D45" s="13"/>
      <c r="E45" s="13"/>
      <c r="F45" s="13"/>
      <c r="G45" s="13"/>
      <c r="H45" s="13"/>
      <c r="I45" s="13"/>
      <c r="J45" s="13"/>
      <c r="K45" s="13"/>
      <c r="L45" s="13"/>
      <c r="M45" s="13"/>
      <c r="N45" s="13"/>
      <c r="O45" s="13"/>
      <c r="P45" s="581">
        <v>2104</v>
      </c>
    </row>
    <row r="46" spans="2:16" s="185" customFormat="1" ht="16" thickBot="1">
      <c r="B46" s="179" t="s">
        <v>1114</v>
      </c>
      <c r="C46" s="13"/>
      <c r="D46" s="13"/>
      <c r="E46" s="13"/>
      <c r="F46" s="13"/>
      <c r="G46" s="13"/>
      <c r="H46" s="13"/>
      <c r="I46" s="13"/>
      <c r="J46" s="13"/>
      <c r="K46" s="13"/>
      <c r="L46" s="13"/>
      <c r="M46" s="13"/>
      <c r="N46" s="13"/>
      <c r="O46" s="13"/>
      <c r="P46" s="581">
        <v>8719</v>
      </c>
    </row>
    <row r="47" spans="2:16" ht="15.5" thickBot="1">
      <c r="B47" s="62" t="s">
        <v>45</v>
      </c>
      <c r="C47" s="63">
        <v>73723.039929999984</v>
      </c>
      <c r="D47" s="63">
        <v>63412.739829999991</v>
      </c>
      <c r="E47" s="63">
        <v>124768.44081999999</v>
      </c>
      <c r="F47" s="63">
        <v>73319.626250000001</v>
      </c>
      <c r="G47" s="63">
        <v>89069.476920000001</v>
      </c>
      <c r="H47" s="63">
        <v>94660.091079999998</v>
      </c>
      <c r="I47" s="63">
        <v>100102.36819000001</v>
      </c>
      <c r="J47" s="63">
        <v>128139.43566</v>
      </c>
      <c r="K47" s="63">
        <v>142403.185</v>
      </c>
      <c r="L47" s="63">
        <v>129911.2065</v>
      </c>
      <c r="M47" s="63">
        <v>141472.78844999999</v>
      </c>
      <c r="N47" s="195">
        <v>157081.70641000001</v>
      </c>
      <c r="O47" s="195">
        <v>261437</v>
      </c>
      <c r="P47" s="586">
        <f>SUM(P38:P46)</f>
        <v>266591</v>
      </c>
    </row>
    <row r="48" spans="2:16" ht="15.5" thickBot="1">
      <c r="B48" s="58" t="s">
        <v>46</v>
      </c>
      <c r="C48" s="59"/>
      <c r="D48" s="59"/>
      <c r="E48" s="59"/>
      <c r="F48" s="59"/>
      <c r="G48" s="59"/>
      <c r="H48" s="59"/>
      <c r="I48" s="59"/>
      <c r="J48" s="59"/>
      <c r="K48" s="59"/>
      <c r="L48" s="59"/>
      <c r="M48" s="59"/>
      <c r="N48" s="194"/>
      <c r="O48" s="194"/>
      <c r="P48" s="587"/>
    </row>
    <row r="49" spans="2:16" s="1" customFormat="1" ht="15.5">
      <c r="B49" s="12" t="s">
        <v>538</v>
      </c>
      <c r="C49" s="13">
        <v>26053.380960000002</v>
      </c>
      <c r="D49" s="13">
        <v>25684.456999999999</v>
      </c>
      <c r="E49" s="13">
        <v>25924.948499999999</v>
      </c>
      <c r="F49" s="13">
        <v>26158.257160000001</v>
      </c>
      <c r="G49" s="13">
        <v>25897.892800000001</v>
      </c>
      <c r="H49" s="13">
        <v>25359.716</v>
      </c>
      <c r="I49" s="13">
        <v>25531.869409999999</v>
      </c>
      <c r="J49" s="13">
        <v>25760.963500000002</v>
      </c>
      <c r="K49" s="13">
        <v>25469.4611</v>
      </c>
      <c r="L49" s="13">
        <v>24672.55</v>
      </c>
      <c r="M49" s="13">
        <v>24818.98717</v>
      </c>
      <c r="N49" s="13">
        <v>24840.810519999999</v>
      </c>
      <c r="O49" s="13">
        <v>24498</v>
      </c>
      <c r="P49" s="581">
        <v>23676</v>
      </c>
    </row>
    <row r="50" spans="2:16" s="1" customFormat="1" ht="15.5">
      <c r="B50" s="12" t="s">
        <v>539</v>
      </c>
      <c r="C50" s="13">
        <v>69146.199519999995</v>
      </c>
      <c r="D50" s="13">
        <v>73285.566999999995</v>
      </c>
      <c r="E50" s="13">
        <v>72258.835459999988</v>
      </c>
      <c r="F50" s="13">
        <v>69444.461089999997</v>
      </c>
      <c r="G50" s="13">
        <v>69033.159480000002</v>
      </c>
      <c r="H50" s="13">
        <v>71863.791089999999</v>
      </c>
      <c r="I50" s="13">
        <v>71883.734169999996</v>
      </c>
      <c r="J50" s="13">
        <v>72511.895310000007</v>
      </c>
      <c r="K50" s="13">
        <v>84611.131859999994</v>
      </c>
      <c r="L50" s="13">
        <v>102298.921</v>
      </c>
      <c r="M50" s="13">
        <v>112089.21623999999</v>
      </c>
      <c r="N50" s="13">
        <v>114768.61337000001</v>
      </c>
      <c r="O50" s="13">
        <v>120646</v>
      </c>
      <c r="P50" s="581">
        <v>127788</v>
      </c>
    </row>
    <row r="51" spans="2:16" s="1" customFormat="1" ht="15.5">
      <c r="B51" s="12" t="s">
        <v>116</v>
      </c>
      <c r="C51" s="13">
        <v>17215.072319999999</v>
      </c>
      <c r="D51" s="13">
        <v>0</v>
      </c>
      <c r="E51" s="13">
        <v>0</v>
      </c>
      <c r="F51" s="13">
        <v>0</v>
      </c>
      <c r="G51" s="13">
        <v>0</v>
      </c>
      <c r="H51" s="13">
        <v>0</v>
      </c>
      <c r="I51" s="13">
        <v>0</v>
      </c>
      <c r="J51" s="13">
        <v>0</v>
      </c>
      <c r="K51" s="13">
        <v>0</v>
      </c>
      <c r="L51" s="13">
        <v>0</v>
      </c>
      <c r="M51" s="13">
        <v>0</v>
      </c>
      <c r="N51" s="13">
        <v>0</v>
      </c>
      <c r="O51" s="13">
        <v>0</v>
      </c>
      <c r="P51" s="581">
        <v>0</v>
      </c>
    </row>
    <row r="52" spans="2:16" s="1" customFormat="1" ht="15.5">
      <c r="B52" s="12" t="s">
        <v>542</v>
      </c>
      <c r="C52" s="13">
        <v>2521.1970600000127</v>
      </c>
      <c r="D52" s="13">
        <v>2422.7654400000001</v>
      </c>
      <c r="E52" s="13">
        <v>2369.9827600000003</v>
      </c>
      <c r="F52" s="13">
        <v>2320.1573399999997</v>
      </c>
      <c r="G52" s="13">
        <v>2271.21227</v>
      </c>
      <c r="H52" s="13">
        <v>2325.6148800000005</v>
      </c>
      <c r="I52" s="13">
        <v>2347.1055999999999</v>
      </c>
      <c r="J52" s="13">
        <v>2334.5615100000005</v>
      </c>
      <c r="K52" s="13">
        <v>2338.6625500000005</v>
      </c>
      <c r="L52" s="13">
        <v>2652.39966</v>
      </c>
      <c r="M52" s="13">
        <v>2640.6403300000002</v>
      </c>
      <c r="N52" s="13">
        <v>2631.74235</v>
      </c>
      <c r="O52" s="13">
        <v>2702</v>
      </c>
      <c r="P52" s="581">
        <v>3277</v>
      </c>
    </row>
    <row r="53" spans="2:16" s="1" customFormat="1" ht="15.5">
      <c r="B53" s="12" t="s">
        <v>543</v>
      </c>
      <c r="C53" s="13">
        <v>1131079.0943799999</v>
      </c>
      <c r="D53" s="13">
        <v>1267725.21312</v>
      </c>
      <c r="E53" s="13">
        <v>1277493.3783900002</v>
      </c>
      <c r="F53" s="13">
        <v>1281165.17221</v>
      </c>
      <c r="G53" s="13">
        <v>1281265.0287299999</v>
      </c>
      <c r="H53" s="13">
        <v>1280264.2017999999</v>
      </c>
      <c r="I53" s="13">
        <v>1273214.0362499999</v>
      </c>
      <c r="J53" s="13">
        <v>1264249.69933</v>
      </c>
      <c r="K53" s="13">
        <v>1259752.0421800001</v>
      </c>
      <c r="L53" s="13">
        <v>1276788.8507100001</v>
      </c>
      <c r="M53" s="13">
        <v>1289187.7552100001</v>
      </c>
      <c r="N53" s="13">
        <v>1307571.6147</v>
      </c>
      <c r="O53" s="13">
        <v>1350529</v>
      </c>
      <c r="P53" s="581">
        <v>1386473</v>
      </c>
    </row>
    <row r="54" spans="2:16" s="1" customFormat="1" ht="15.5">
      <c r="B54" s="12" t="s">
        <v>544</v>
      </c>
      <c r="C54" s="13">
        <v>0</v>
      </c>
      <c r="D54" s="13">
        <v>0</v>
      </c>
      <c r="E54" s="13">
        <v>0</v>
      </c>
      <c r="F54" s="13">
        <v>0</v>
      </c>
      <c r="G54" s="13">
        <v>0</v>
      </c>
      <c r="H54" s="13">
        <v>0</v>
      </c>
      <c r="I54" s="13">
        <v>0</v>
      </c>
      <c r="J54" s="13">
        <v>0</v>
      </c>
      <c r="K54" s="13">
        <v>0</v>
      </c>
      <c r="L54" s="13">
        <v>0</v>
      </c>
      <c r="M54" s="13">
        <v>0</v>
      </c>
      <c r="N54" s="13">
        <v>0</v>
      </c>
      <c r="O54" s="13">
        <v>10002</v>
      </c>
      <c r="P54" s="581">
        <v>0</v>
      </c>
    </row>
    <row r="55" spans="2:16" s="1" customFormat="1" ht="15.5">
      <c r="B55" s="12" t="s">
        <v>545</v>
      </c>
      <c r="C55" s="13">
        <v>0</v>
      </c>
      <c r="D55" s="13">
        <v>0</v>
      </c>
      <c r="E55" s="13">
        <v>0</v>
      </c>
      <c r="F55" s="13">
        <v>0</v>
      </c>
      <c r="G55" s="13">
        <v>0</v>
      </c>
      <c r="H55" s="13">
        <v>0</v>
      </c>
      <c r="I55" s="13">
        <v>0</v>
      </c>
      <c r="J55" s="13">
        <v>0</v>
      </c>
      <c r="K55" s="13">
        <v>0</v>
      </c>
      <c r="L55" s="13">
        <v>0</v>
      </c>
      <c r="M55" s="13">
        <v>0</v>
      </c>
      <c r="N55" s="13">
        <v>0</v>
      </c>
      <c r="O55" s="13">
        <v>0</v>
      </c>
      <c r="P55" s="581">
        <v>0</v>
      </c>
    </row>
    <row r="56" spans="2:16" s="1" customFormat="1" ht="15.5">
      <c r="B56" s="12" t="s">
        <v>546</v>
      </c>
      <c r="C56" s="13">
        <v>0</v>
      </c>
      <c r="D56" s="13">
        <v>0</v>
      </c>
      <c r="E56" s="13">
        <v>0</v>
      </c>
      <c r="F56" s="13">
        <v>0</v>
      </c>
      <c r="G56" s="13">
        <v>0</v>
      </c>
      <c r="H56" s="13">
        <v>0</v>
      </c>
      <c r="I56" s="13">
        <v>0</v>
      </c>
      <c r="J56" s="13">
        <v>0</v>
      </c>
      <c r="K56" s="13">
        <v>0</v>
      </c>
      <c r="L56" s="13">
        <v>0</v>
      </c>
      <c r="M56" s="13">
        <v>0</v>
      </c>
      <c r="N56" s="13">
        <v>0</v>
      </c>
      <c r="O56" s="13">
        <v>0</v>
      </c>
      <c r="P56" s="581">
        <v>0</v>
      </c>
    </row>
    <row r="57" spans="2:16" s="1" customFormat="1" ht="15.5">
      <c r="B57" s="12" t="s">
        <v>547</v>
      </c>
      <c r="C57" s="13">
        <v>0</v>
      </c>
      <c r="D57" s="13">
        <v>0</v>
      </c>
      <c r="E57" s="13">
        <v>0</v>
      </c>
      <c r="F57" s="13">
        <v>0</v>
      </c>
      <c r="G57" s="13">
        <v>0</v>
      </c>
      <c r="H57" s="13">
        <v>0</v>
      </c>
      <c r="I57" s="13">
        <v>0</v>
      </c>
      <c r="J57" s="13">
        <v>0</v>
      </c>
      <c r="K57" s="13">
        <v>0</v>
      </c>
      <c r="L57" s="13">
        <v>0</v>
      </c>
      <c r="M57" s="13">
        <v>0</v>
      </c>
      <c r="N57" s="13">
        <v>0</v>
      </c>
      <c r="O57" s="13">
        <v>0</v>
      </c>
      <c r="P57" s="581">
        <v>0</v>
      </c>
    </row>
    <row r="58" spans="2:16" ht="15.5" thickBot="1">
      <c r="B58" s="58" t="s">
        <v>59</v>
      </c>
      <c r="C58" s="64">
        <v>1246014.9442399999</v>
      </c>
      <c r="D58" s="64">
        <v>1369118.0025599999</v>
      </c>
      <c r="E58" s="64">
        <v>1378047.1451100002</v>
      </c>
      <c r="F58" s="64">
        <v>1379088.0478000001</v>
      </c>
      <c r="G58" s="64">
        <v>1378467.2932799999</v>
      </c>
      <c r="H58" s="64">
        <v>1379813.3237699999</v>
      </c>
      <c r="I58" s="64">
        <v>1372976.7454299999</v>
      </c>
      <c r="J58" s="64">
        <v>1364857.11965</v>
      </c>
      <c r="K58" s="64">
        <v>1372171.2976900002</v>
      </c>
      <c r="L58" s="64">
        <v>1406412.7213700002</v>
      </c>
      <c r="M58" s="64">
        <v>1428736.59895</v>
      </c>
      <c r="N58" s="196">
        <v>1449812.78094</v>
      </c>
      <c r="O58" s="196">
        <v>1508377</v>
      </c>
      <c r="P58" s="588">
        <f>SUM(P49:P57)</f>
        <v>1541214</v>
      </c>
    </row>
    <row r="59" spans="2:16" ht="15.5" thickBot="1">
      <c r="B59" s="65" t="s">
        <v>60</v>
      </c>
      <c r="C59" s="66">
        <v>1319737.9841699998</v>
      </c>
      <c r="D59" s="66">
        <v>1432530.74239</v>
      </c>
      <c r="E59" s="66">
        <v>1502815.5859300001</v>
      </c>
      <c r="F59" s="66">
        <v>1452407.67405</v>
      </c>
      <c r="G59" s="66">
        <v>1467536.7701999999</v>
      </c>
      <c r="H59" s="66">
        <v>1474473.4148499998</v>
      </c>
      <c r="I59" s="66">
        <v>1473079.11362</v>
      </c>
      <c r="J59" s="66">
        <v>1492996.55531</v>
      </c>
      <c r="K59" s="66">
        <v>1514574.4826900002</v>
      </c>
      <c r="L59" s="66">
        <v>1536323.9278700002</v>
      </c>
      <c r="M59" s="66">
        <v>1570209.3873999999</v>
      </c>
      <c r="N59" s="197">
        <v>1606894.4873500001</v>
      </c>
      <c r="O59" s="197">
        <v>1769814</v>
      </c>
      <c r="P59" s="589">
        <f>P47+P58</f>
        <v>1807805</v>
      </c>
    </row>
    <row r="60" spans="2:16" ht="15.5" thickBot="1">
      <c r="B60" s="67"/>
      <c r="C60" s="68"/>
      <c r="D60" s="68"/>
      <c r="E60" s="68"/>
      <c r="F60" s="68"/>
      <c r="G60" s="68"/>
      <c r="H60" s="68"/>
      <c r="I60" s="68"/>
      <c r="J60" s="68"/>
      <c r="K60" s="68"/>
      <c r="L60" s="68"/>
      <c r="M60" s="68"/>
      <c r="N60" s="198"/>
      <c r="O60" s="198"/>
      <c r="P60" s="590"/>
    </row>
    <row r="61" spans="2:16" ht="15.5" thickBot="1">
      <c r="B61" s="56" t="s">
        <v>61</v>
      </c>
      <c r="C61" s="69"/>
      <c r="D61" s="69"/>
      <c r="E61" s="69"/>
      <c r="F61" s="69"/>
      <c r="G61" s="69"/>
      <c r="H61" s="69"/>
      <c r="I61" s="69"/>
      <c r="J61" s="69"/>
      <c r="K61" s="69"/>
      <c r="L61" s="69"/>
      <c r="M61" s="69"/>
      <c r="N61" s="199"/>
      <c r="O61" s="199"/>
      <c r="P61" s="591"/>
    </row>
    <row r="62" spans="2:16" ht="15.5" thickBot="1">
      <c r="B62" s="58" t="s">
        <v>62</v>
      </c>
      <c r="C62" s="70"/>
      <c r="D62" s="70"/>
      <c r="E62" s="70"/>
      <c r="F62" s="70"/>
      <c r="G62" s="70"/>
      <c r="H62" s="70"/>
      <c r="I62" s="70"/>
      <c r="J62" s="70"/>
      <c r="K62" s="70"/>
      <c r="L62" s="70"/>
      <c r="M62" s="70"/>
      <c r="N62" s="200"/>
      <c r="O62" s="200"/>
      <c r="P62" s="592"/>
    </row>
    <row r="63" spans="2:16" s="1" customFormat="1" ht="15.5">
      <c r="B63" s="12" t="s">
        <v>548</v>
      </c>
      <c r="C63" s="13">
        <v>4495.8558599999997</v>
      </c>
      <c r="D63" s="13">
        <v>8379.9310999999998</v>
      </c>
      <c r="E63" s="13">
        <v>3949.8318599999998</v>
      </c>
      <c r="F63" s="13">
        <v>1945.8644099999999</v>
      </c>
      <c r="G63" s="13">
        <v>2817.27684</v>
      </c>
      <c r="H63" s="13">
        <v>5854.0709999999999</v>
      </c>
      <c r="I63" s="13">
        <v>4322.3543099999997</v>
      </c>
      <c r="J63" s="13">
        <v>1260.0704599999999</v>
      </c>
      <c r="K63" s="13">
        <v>9281.5932100000009</v>
      </c>
      <c r="L63" s="13">
        <v>14163.288400000001</v>
      </c>
      <c r="M63" s="13">
        <v>12988.08389</v>
      </c>
      <c r="N63" s="13">
        <v>8293.1468299999997</v>
      </c>
      <c r="O63" s="13">
        <v>10073</v>
      </c>
      <c r="P63" s="581">
        <v>9299</v>
      </c>
    </row>
    <row r="64" spans="2:16" s="1" customFormat="1" ht="15.5">
      <c r="B64" s="12" t="s">
        <v>549</v>
      </c>
      <c r="C64" s="13">
        <v>4734.8090000000002</v>
      </c>
      <c r="D64" s="13">
        <v>3878.7779999999998</v>
      </c>
      <c r="E64" s="13">
        <v>11361.17361</v>
      </c>
      <c r="F64" s="13">
        <v>13009.458359999997</v>
      </c>
      <c r="G64" s="13">
        <v>17959.353299999995</v>
      </c>
      <c r="H64" s="13">
        <v>6202.8850000000002</v>
      </c>
      <c r="I64" s="13">
        <v>17144.553680000005</v>
      </c>
      <c r="J64" s="13">
        <v>18190.772459999993</v>
      </c>
      <c r="K64" s="13">
        <v>26451.918600000001</v>
      </c>
      <c r="L64" s="13">
        <v>7624.3639999999996</v>
      </c>
      <c r="M64" s="13">
        <v>24128.544909999997</v>
      </c>
      <c r="N64" s="13">
        <v>13414.86085999999</v>
      </c>
      <c r="O64" s="13">
        <v>44110</v>
      </c>
      <c r="P64" s="581">
        <v>9934</v>
      </c>
    </row>
    <row r="65" spans="2:16" s="1" customFormat="1" ht="15.5">
      <c r="B65" s="12" t="s">
        <v>119</v>
      </c>
      <c r="C65" s="13">
        <v>120368.42105263159</v>
      </c>
      <c r="D65" s="13">
        <v>28206.668000000001</v>
      </c>
      <c r="E65" s="13">
        <v>48207.599000000002</v>
      </c>
      <c r="F65" s="13">
        <v>90491.48083</v>
      </c>
      <c r="G65" s="13">
        <v>83422.414930000014</v>
      </c>
      <c r="H65" s="13">
        <v>90782.826109999995</v>
      </c>
      <c r="I65" s="13">
        <v>63930.995219999997</v>
      </c>
      <c r="J65" s="13">
        <v>15000</v>
      </c>
      <c r="K65" s="13">
        <v>0</v>
      </c>
      <c r="L65" s="13">
        <v>0</v>
      </c>
      <c r="M65" s="13">
        <v>0</v>
      </c>
      <c r="N65" s="13">
        <v>100000</v>
      </c>
      <c r="O65" s="13">
        <v>0</v>
      </c>
      <c r="P65" s="581">
        <v>1504</v>
      </c>
    </row>
    <row r="66" spans="2:16" s="1" customFormat="1" ht="15.5">
      <c r="B66" s="12" t="s">
        <v>120</v>
      </c>
      <c r="C66" s="13">
        <v>23872.601119999999</v>
      </c>
      <c r="D66" s="13">
        <v>15878.199329999999</v>
      </c>
      <c r="E66" s="13">
        <v>72533.666549999994</v>
      </c>
      <c r="F66" s="13">
        <v>9023.5958100000007</v>
      </c>
      <c r="G66" s="13">
        <v>5316.5259400000004</v>
      </c>
      <c r="H66" s="13">
        <v>8541.9537700000001</v>
      </c>
      <c r="I66" s="13">
        <v>8397.3404300000002</v>
      </c>
      <c r="J66" s="13">
        <v>6750.1602400000002</v>
      </c>
      <c r="K66" s="13">
        <v>5295.8337300000003</v>
      </c>
      <c r="L66" s="13">
        <v>17222.496829999996</v>
      </c>
      <c r="M66" s="13">
        <v>14317.83124</v>
      </c>
      <c r="N66" s="13">
        <v>8715.1798500000004</v>
      </c>
      <c r="O66" s="13">
        <v>11257</v>
      </c>
      <c r="P66" s="581">
        <v>35091</v>
      </c>
    </row>
    <row r="67" spans="2:16" s="1" customFormat="1" ht="15.5">
      <c r="B67" s="12" t="s">
        <v>121</v>
      </c>
      <c r="C67" s="13">
        <v>3456.252</v>
      </c>
      <c r="D67" s="13">
        <v>1676.0319999999999</v>
      </c>
      <c r="E67" s="13">
        <v>1614.67092</v>
      </c>
      <c r="F67" s="13">
        <v>1614.67092</v>
      </c>
      <c r="G67" s="13">
        <v>1614.67092</v>
      </c>
      <c r="H67" s="13">
        <v>1729.8309999999999</v>
      </c>
      <c r="I67" s="13">
        <v>1718.6699199999998</v>
      </c>
      <c r="J67" s="13">
        <v>1718.6699199999998</v>
      </c>
      <c r="K67" s="13">
        <v>1718.6699199999998</v>
      </c>
      <c r="L67" s="13">
        <v>2468.5070000000001</v>
      </c>
      <c r="M67" s="13">
        <v>2441.5359199999998</v>
      </c>
      <c r="N67" s="13">
        <v>2441.5359199999998</v>
      </c>
      <c r="O67" s="13">
        <v>2441</v>
      </c>
      <c r="P67" s="581">
        <v>3233</v>
      </c>
    </row>
    <row r="68" spans="2:16" ht="15.5" thickBot="1">
      <c r="B68" s="58" t="s">
        <v>70</v>
      </c>
      <c r="C68" s="64">
        <v>156927.93903263161</v>
      </c>
      <c r="D68" s="64">
        <v>58019.60843</v>
      </c>
      <c r="E68" s="64">
        <v>137666.94193999999</v>
      </c>
      <c r="F68" s="64">
        <v>116085.07033</v>
      </c>
      <c r="G68" s="64">
        <v>111130.24193000002</v>
      </c>
      <c r="H68" s="64">
        <v>113111.56688</v>
      </c>
      <c r="I68" s="64">
        <v>95513.913560000001</v>
      </c>
      <c r="J68" s="64">
        <v>42919.673079999993</v>
      </c>
      <c r="K68" s="64">
        <v>42748.015460000002</v>
      </c>
      <c r="L68" s="64">
        <v>41478.656229999993</v>
      </c>
      <c r="M68" s="64">
        <v>53875.99596</v>
      </c>
      <c r="N68" s="196">
        <v>132864.72346000001</v>
      </c>
      <c r="O68" s="196">
        <v>67881</v>
      </c>
      <c r="P68" s="588">
        <f>SUM(P63:P67)</f>
        <v>59061</v>
      </c>
    </row>
    <row r="69" spans="2:16" ht="15.5" thickBot="1">
      <c r="B69" s="71" t="s">
        <v>71</v>
      </c>
      <c r="C69" s="72"/>
      <c r="D69" s="72"/>
      <c r="E69" s="72"/>
      <c r="F69" s="72"/>
      <c r="G69" s="72"/>
      <c r="H69" s="72"/>
      <c r="I69" s="72"/>
      <c r="J69" s="72"/>
      <c r="K69" s="72"/>
      <c r="L69" s="72"/>
      <c r="M69" s="72"/>
      <c r="N69" s="201"/>
      <c r="O69" s="201"/>
      <c r="P69" s="593"/>
    </row>
    <row r="70" spans="2:16" s="1" customFormat="1" ht="15.5">
      <c r="B70" s="12" t="s">
        <v>122</v>
      </c>
      <c r="C70" s="13">
        <v>1051.0146499999998</v>
      </c>
      <c r="D70" s="13">
        <v>1015.90939</v>
      </c>
      <c r="E70" s="13">
        <v>1015.90939</v>
      </c>
      <c r="F70" s="13">
        <v>919.55375000000004</v>
      </c>
      <c r="G70" s="13">
        <v>897.07326999999998</v>
      </c>
      <c r="H70" s="13">
        <v>874.90928000000008</v>
      </c>
      <c r="I70" s="13">
        <v>852.77043000000003</v>
      </c>
      <c r="J70" s="13">
        <v>830.54120999999998</v>
      </c>
      <c r="K70" s="13">
        <v>806.86728000000005</v>
      </c>
      <c r="L70" s="13">
        <v>783.90521000000001</v>
      </c>
      <c r="M70" s="13">
        <v>768.68551000000002</v>
      </c>
      <c r="N70" s="13">
        <v>737.74070999999992</v>
      </c>
      <c r="O70" s="13">
        <v>645</v>
      </c>
      <c r="P70" s="581">
        <v>1047</v>
      </c>
    </row>
    <row r="71" spans="2:16" s="1" customFormat="1" ht="15.5">
      <c r="B71" s="12" t="s">
        <v>123</v>
      </c>
      <c r="C71" s="13">
        <v>616277.39800000004</v>
      </c>
      <c r="D71" s="13">
        <v>758206.64932999993</v>
      </c>
      <c r="E71" s="13">
        <v>793583.54624000005</v>
      </c>
      <c r="F71" s="13">
        <v>744631.88431999995</v>
      </c>
      <c r="G71" s="13">
        <v>745076.15850999998</v>
      </c>
      <c r="H71" s="13">
        <v>730999.56871000002</v>
      </c>
      <c r="I71" s="13">
        <v>724112.16554999992</v>
      </c>
      <c r="J71" s="13">
        <v>845118.49503000011</v>
      </c>
      <c r="K71" s="13">
        <v>844954.25805999991</v>
      </c>
      <c r="L71" s="13">
        <v>845164.12774000003</v>
      </c>
      <c r="M71" s="13">
        <v>845402.18974000006</v>
      </c>
      <c r="N71" s="13">
        <v>845597.47574000002</v>
      </c>
      <c r="O71" s="13">
        <v>1050000</v>
      </c>
      <c r="P71" s="581">
        <v>1075668</v>
      </c>
    </row>
    <row r="72" spans="2:16" s="1" customFormat="1" ht="15.5">
      <c r="B72" s="12" t="s">
        <v>550</v>
      </c>
      <c r="C72" s="13">
        <v>7618.84</v>
      </c>
      <c r="D72" s="13">
        <v>11895.880060000001</v>
      </c>
      <c r="E72" s="13">
        <v>14123.878419999999</v>
      </c>
      <c r="F72" s="13">
        <v>16316.48659</v>
      </c>
      <c r="G72" s="13">
        <v>17611.174579999999</v>
      </c>
      <c r="H72" s="13">
        <v>16456.04435</v>
      </c>
      <c r="I72" s="13">
        <v>17562.629069999999</v>
      </c>
      <c r="J72" s="13">
        <v>18339.15669</v>
      </c>
      <c r="K72" s="13">
        <v>19195.551950000001</v>
      </c>
      <c r="L72" s="13">
        <v>18843.485760000003</v>
      </c>
      <c r="M72" s="13">
        <v>20808.110199999999</v>
      </c>
      <c r="N72" s="13">
        <v>22633.236260000001</v>
      </c>
      <c r="O72" s="13">
        <v>23991</v>
      </c>
      <c r="P72" s="581">
        <v>23173</v>
      </c>
    </row>
    <row r="73" spans="2:16" s="1" customFormat="1" ht="15.5">
      <c r="B73" s="12" t="s">
        <v>124</v>
      </c>
      <c r="C73" s="13">
        <v>84072.864000000001</v>
      </c>
      <c r="D73" s="13">
        <v>0</v>
      </c>
      <c r="E73" s="13">
        <v>0</v>
      </c>
      <c r="F73" s="13">
        <v>0</v>
      </c>
      <c r="G73" s="13">
        <v>0</v>
      </c>
      <c r="H73" s="13">
        <v>0</v>
      </c>
      <c r="I73" s="13">
        <v>0</v>
      </c>
      <c r="J73" s="13">
        <v>0</v>
      </c>
      <c r="K73" s="13">
        <v>0</v>
      </c>
      <c r="L73" s="13">
        <v>0</v>
      </c>
      <c r="M73" s="13">
        <v>0</v>
      </c>
      <c r="N73" s="13">
        <v>0</v>
      </c>
      <c r="O73" s="13">
        <v>0</v>
      </c>
      <c r="P73" s="581">
        <v>0</v>
      </c>
    </row>
    <row r="74" spans="2:16" s="1" customFormat="1" ht="15.5">
      <c r="B74" s="12" t="s">
        <v>551</v>
      </c>
      <c r="C74" s="13">
        <v>0</v>
      </c>
      <c r="D74" s="13">
        <v>104712.27099999999</v>
      </c>
      <c r="E74" s="13">
        <v>110128.52305</v>
      </c>
      <c r="F74" s="13">
        <v>115733.90889000001</v>
      </c>
      <c r="G74" s="13">
        <v>121330.149</v>
      </c>
      <c r="H74" s="13">
        <v>127971.56600000001</v>
      </c>
      <c r="I74" s="13">
        <v>134357.59452000001</v>
      </c>
      <c r="J74" s="13">
        <v>139341.226</v>
      </c>
      <c r="K74" s="13">
        <v>145907.77802</v>
      </c>
      <c r="L74" s="13">
        <v>152635.15982</v>
      </c>
      <c r="M74" s="13">
        <v>158425.17157000001</v>
      </c>
      <c r="N74" s="13">
        <v>164625.56788999998</v>
      </c>
      <c r="O74" s="13">
        <v>170342</v>
      </c>
      <c r="P74" s="581">
        <v>176453</v>
      </c>
    </row>
    <row r="75" spans="2:16" ht="15.5" thickBot="1">
      <c r="B75" s="58" t="s">
        <v>73</v>
      </c>
      <c r="C75" s="64">
        <v>709020.11664999998</v>
      </c>
      <c r="D75" s="64">
        <v>875830.70977999992</v>
      </c>
      <c r="E75" s="64">
        <v>918851.85710000002</v>
      </c>
      <c r="F75" s="64">
        <v>877601.83354999986</v>
      </c>
      <c r="G75" s="64">
        <v>884914.55536</v>
      </c>
      <c r="H75" s="64">
        <v>876302.08834000002</v>
      </c>
      <c r="I75" s="64">
        <v>876885.15957000002</v>
      </c>
      <c r="J75" s="64">
        <v>1003629.4189300002</v>
      </c>
      <c r="K75" s="64">
        <v>1010864.4553099999</v>
      </c>
      <c r="L75" s="64">
        <v>1017426.6785299999</v>
      </c>
      <c r="M75" s="64">
        <v>1025404.15702</v>
      </c>
      <c r="N75" s="196">
        <v>1033594.0206</v>
      </c>
      <c r="O75" s="196">
        <v>1244978</v>
      </c>
      <c r="P75" s="588">
        <f>SUM(P70:P74)</f>
        <v>1276341</v>
      </c>
    </row>
    <row r="76" spans="2:16" ht="15.5" thickBot="1">
      <c r="B76" s="65" t="s">
        <v>74</v>
      </c>
      <c r="C76" s="66">
        <v>865948.05568263156</v>
      </c>
      <c r="D76" s="66">
        <v>933850.31820999994</v>
      </c>
      <c r="E76" s="66">
        <v>1056518.79904</v>
      </c>
      <c r="F76" s="66">
        <v>993686.90387999988</v>
      </c>
      <c r="G76" s="66">
        <v>996044.79729000002</v>
      </c>
      <c r="H76" s="66">
        <v>989413.65522000007</v>
      </c>
      <c r="I76" s="66">
        <v>972399.07313000003</v>
      </c>
      <c r="J76" s="66">
        <v>1046549.0920100001</v>
      </c>
      <c r="K76" s="66">
        <v>1053612.4707699998</v>
      </c>
      <c r="L76" s="66">
        <v>1058905.33476</v>
      </c>
      <c r="M76" s="66">
        <v>1079280.15298</v>
      </c>
      <c r="N76" s="197">
        <v>1166458.7440599999</v>
      </c>
      <c r="O76" s="197">
        <v>1312859</v>
      </c>
      <c r="P76" s="589">
        <f>P68+P75</f>
        <v>1335402</v>
      </c>
    </row>
    <row r="77" spans="2:16" ht="15.5" thickBot="1">
      <c r="B77" s="67"/>
      <c r="C77" s="68"/>
      <c r="D77" s="68"/>
      <c r="E77" s="68"/>
      <c r="F77" s="68"/>
      <c r="G77" s="68"/>
      <c r="H77" s="68"/>
      <c r="I77" s="68"/>
      <c r="J77" s="68"/>
      <c r="K77" s="68"/>
      <c r="L77" s="68"/>
      <c r="M77" s="68"/>
      <c r="N77" s="198"/>
      <c r="O77" s="198"/>
      <c r="P77" s="590"/>
    </row>
    <row r="78" spans="2:16" ht="15.5" thickBot="1">
      <c r="B78" s="73" t="s">
        <v>75</v>
      </c>
      <c r="C78" s="72"/>
      <c r="D78" s="72"/>
      <c r="E78" s="72"/>
      <c r="F78" s="72"/>
      <c r="G78" s="72"/>
      <c r="H78" s="72"/>
      <c r="I78" s="72"/>
      <c r="J78" s="72"/>
      <c r="K78" s="72"/>
      <c r="L78" s="72"/>
      <c r="M78" s="72"/>
      <c r="N78" s="201"/>
      <c r="O78" s="201"/>
      <c r="P78" s="593"/>
    </row>
    <row r="79" spans="2:16" s="1" customFormat="1" ht="15.5">
      <c r="B79" s="12" t="s">
        <v>552</v>
      </c>
      <c r="C79" s="13">
        <v>265409.19397999998</v>
      </c>
      <c r="D79" s="13">
        <v>265409.19397999998</v>
      </c>
      <c r="E79" s="13">
        <v>265409.19397999998</v>
      </c>
      <c r="F79" s="13">
        <v>265409.19397999998</v>
      </c>
      <c r="G79" s="13">
        <v>265409.19397999998</v>
      </c>
      <c r="H79" s="13">
        <v>265409.19397999998</v>
      </c>
      <c r="I79" s="13">
        <v>265409.19397999998</v>
      </c>
      <c r="J79" s="13">
        <v>265409.19397999998</v>
      </c>
      <c r="K79" s="13">
        <v>265409.19397999998</v>
      </c>
      <c r="L79" s="13">
        <v>265409.19397999998</v>
      </c>
      <c r="M79" s="13">
        <v>265409.19397999998</v>
      </c>
      <c r="N79" s="13">
        <v>265409.19397999998</v>
      </c>
      <c r="O79" s="13">
        <v>265409</v>
      </c>
      <c r="P79" s="581">
        <v>265409</v>
      </c>
    </row>
    <row r="80" spans="2:16" s="1" customFormat="1" ht="15.5">
      <c r="B80" s="12" t="s">
        <v>553</v>
      </c>
      <c r="C80" s="13">
        <v>0</v>
      </c>
      <c r="D80" s="13">
        <v>0</v>
      </c>
      <c r="E80" s="13">
        <v>0</v>
      </c>
      <c r="F80" s="13">
        <v>0</v>
      </c>
      <c r="G80" s="13">
        <v>0</v>
      </c>
      <c r="H80" s="13">
        <v>0</v>
      </c>
      <c r="I80" s="13">
        <v>0</v>
      </c>
      <c r="J80" s="13">
        <v>0</v>
      </c>
      <c r="K80" s="13">
        <v>0</v>
      </c>
      <c r="L80" s="13">
        <v>0</v>
      </c>
      <c r="M80" s="13">
        <v>0</v>
      </c>
      <c r="N80" s="13">
        <v>0</v>
      </c>
      <c r="O80" s="13">
        <v>0</v>
      </c>
      <c r="P80" s="581">
        <v>0</v>
      </c>
    </row>
    <row r="81" spans="1:16" s="1" customFormat="1" ht="15.5">
      <c r="B81" s="12" t="s">
        <v>554</v>
      </c>
      <c r="C81" s="13">
        <v>18213.73155</v>
      </c>
      <c r="D81" s="13">
        <v>22516.466550000001</v>
      </c>
      <c r="E81" s="13">
        <v>27005.51655</v>
      </c>
      <c r="F81" s="13">
        <v>27005.51655</v>
      </c>
      <c r="G81" s="13">
        <v>27005.51655</v>
      </c>
      <c r="H81" s="13">
        <v>27005.51655</v>
      </c>
      <c r="I81" s="13">
        <v>27005.517</v>
      </c>
      <c r="J81" s="13">
        <v>32175.186550000002</v>
      </c>
      <c r="K81" s="13">
        <v>32175.186550000002</v>
      </c>
      <c r="L81" s="13">
        <v>32175.186550000002</v>
      </c>
      <c r="M81" s="13">
        <v>37911.06955</v>
      </c>
      <c r="N81" s="13">
        <v>37911.06955</v>
      </c>
      <c r="O81" s="13">
        <v>37911</v>
      </c>
      <c r="P81" s="581">
        <v>37911</v>
      </c>
    </row>
    <row r="82" spans="1:16" s="1" customFormat="1" ht="15.5">
      <c r="B82" s="12" t="s">
        <v>555</v>
      </c>
      <c r="C82" s="13">
        <v>127139.65247</v>
      </c>
      <c r="D82" s="13">
        <v>210754.76357999994</v>
      </c>
      <c r="E82" s="13">
        <v>153882.07629000003</v>
      </c>
      <c r="F82" s="13">
        <v>166306.05958</v>
      </c>
      <c r="G82" s="13">
        <v>179077.26233</v>
      </c>
      <c r="H82" s="13">
        <v>192645.04902999999</v>
      </c>
      <c r="I82" s="13">
        <v>208265.32913</v>
      </c>
      <c r="J82" s="13">
        <v>148863.08302000002</v>
      </c>
      <c r="K82" s="13">
        <v>163377.63139</v>
      </c>
      <c r="L82" s="13">
        <v>179834.21222999995</v>
      </c>
      <c r="M82" s="13">
        <v>187608.97097999998</v>
      </c>
      <c r="N82" s="13">
        <v>137115.47936999999</v>
      </c>
      <c r="O82" s="13">
        <v>153635</v>
      </c>
      <c r="P82" s="581">
        <v>169083</v>
      </c>
    </row>
    <row r="83" spans="1:16" s="1" customFormat="1" ht="15.5">
      <c r="B83" s="12" t="s">
        <v>556</v>
      </c>
      <c r="C83" s="13">
        <v>43027.350349999993</v>
      </c>
      <c r="D83" s="13">
        <v>0</v>
      </c>
      <c r="E83" s="13">
        <v>0</v>
      </c>
      <c r="F83" s="13">
        <v>0</v>
      </c>
      <c r="G83" s="13">
        <v>0</v>
      </c>
      <c r="H83" s="13">
        <v>0</v>
      </c>
      <c r="I83" s="13">
        <v>0</v>
      </c>
      <c r="J83" s="13">
        <v>0</v>
      </c>
      <c r="K83" s="13">
        <v>0</v>
      </c>
      <c r="L83" s="13">
        <v>0</v>
      </c>
      <c r="M83" s="13">
        <v>0</v>
      </c>
      <c r="N83" s="13">
        <v>0</v>
      </c>
      <c r="O83" s="13">
        <v>0</v>
      </c>
      <c r="P83" s="581">
        <v>0</v>
      </c>
    </row>
    <row r="84" spans="1:16" s="1" customFormat="1" ht="15.5">
      <c r="B84" s="12" t="s">
        <v>557</v>
      </c>
      <c r="C84" s="13">
        <v>0</v>
      </c>
      <c r="D84" s="13">
        <v>0</v>
      </c>
      <c r="E84" s="13">
        <v>0</v>
      </c>
      <c r="F84" s="13">
        <v>0</v>
      </c>
      <c r="G84" s="13">
        <v>0</v>
      </c>
      <c r="H84" s="13">
        <v>0</v>
      </c>
      <c r="I84" s="13">
        <v>0</v>
      </c>
      <c r="J84" s="13">
        <v>0</v>
      </c>
      <c r="K84" s="13">
        <v>0</v>
      </c>
      <c r="L84" s="13">
        <v>0</v>
      </c>
      <c r="M84" s="13">
        <v>0</v>
      </c>
      <c r="N84" s="13">
        <v>0</v>
      </c>
      <c r="O84" s="13">
        <v>0</v>
      </c>
      <c r="P84" s="581">
        <v>0</v>
      </c>
    </row>
    <row r="85" spans="1:16" ht="15.5" thickBot="1">
      <c r="B85" s="58" t="s">
        <v>84</v>
      </c>
      <c r="C85" s="64">
        <v>453789.92834999994</v>
      </c>
      <c r="D85" s="64">
        <v>498680.42410999991</v>
      </c>
      <c r="E85" s="64">
        <v>446296.78682000004</v>
      </c>
      <c r="F85" s="64">
        <v>458720.77010999998</v>
      </c>
      <c r="G85" s="64">
        <v>471491.97285999998</v>
      </c>
      <c r="H85" s="64">
        <v>485059.75955999998</v>
      </c>
      <c r="I85" s="64">
        <v>500680.04010999994</v>
      </c>
      <c r="J85" s="64">
        <v>446447.46354999999</v>
      </c>
      <c r="K85" s="64">
        <v>460962.01191999996</v>
      </c>
      <c r="L85" s="64">
        <v>477418.59275999991</v>
      </c>
      <c r="M85" s="64">
        <v>490929.23450999998</v>
      </c>
      <c r="N85" s="196">
        <v>440435.74289999995</v>
      </c>
      <c r="O85" s="196">
        <v>456955</v>
      </c>
      <c r="P85" s="588">
        <f>SUM(P79:P84)</f>
        <v>472403</v>
      </c>
    </row>
    <row r="86" spans="1:16" ht="15.5" thickBot="1">
      <c r="B86" s="74" t="s">
        <v>85</v>
      </c>
      <c r="C86" s="66">
        <v>1319737.9840326314</v>
      </c>
      <c r="D86" s="66">
        <v>1432530.7423199997</v>
      </c>
      <c r="E86" s="66">
        <v>1502815.58586</v>
      </c>
      <c r="F86" s="66">
        <v>1452407.6739899998</v>
      </c>
      <c r="G86" s="66">
        <v>1467536.77015</v>
      </c>
      <c r="H86" s="66">
        <v>1474473.41478</v>
      </c>
      <c r="I86" s="66">
        <v>1473079.1132399999</v>
      </c>
      <c r="J86" s="66">
        <v>1492996.5555600002</v>
      </c>
      <c r="K86" s="66">
        <v>1514574.4826899997</v>
      </c>
      <c r="L86" s="66">
        <v>1536323.9275199999</v>
      </c>
      <c r="M86" s="66">
        <v>1570209.3874900001</v>
      </c>
      <c r="N86" s="197">
        <v>1606894.4869599999</v>
      </c>
      <c r="O86" s="197">
        <v>1769814</v>
      </c>
      <c r="P86" s="589">
        <f>P76+P85</f>
        <v>1807805</v>
      </c>
    </row>
    <row r="87" spans="1:16">
      <c r="C87" s="169">
        <f>+C59-C76-C85</f>
        <v>1.3736833352595568E-4</v>
      </c>
      <c r="D87" s="169">
        <f t="shared" ref="D87:N87" si="21">+D59-D76-D85</f>
        <v>7.0000183768570423E-5</v>
      </c>
      <c r="E87" s="169">
        <f t="shared" si="21"/>
        <v>7.0000067353248596E-5</v>
      </c>
      <c r="F87" s="169">
        <f t="shared" si="21"/>
        <v>6.0000165831297636E-5</v>
      </c>
      <c r="G87" s="169">
        <f t="shared" si="21"/>
        <v>4.9999915063381195E-5</v>
      </c>
      <c r="H87" s="169">
        <f t="shared" si="21"/>
        <v>6.9999776314944029E-5</v>
      </c>
      <c r="I87" s="169">
        <f t="shared" si="21"/>
        <v>3.7999998312443495E-4</v>
      </c>
      <c r="J87" s="169">
        <f t="shared" si="21"/>
        <v>-2.5000015739351511E-4</v>
      </c>
      <c r="K87" s="169">
        <f t="shared" si="21"/>
        <v>4.6566128730773926E-10</v>
      </c>
      <c r="L87" s="169">
        <f t="shared" si="21"/>
        <v>3.5000033676624298E-4</v>
      </c>
      <c r="M87" s="169">
        <f t="shared" si="21"/>
        <v>-9.000010322779417E-5</v>
      </c>
      <c r="N87" s="169">
        <f t="shared" si="21"/>
        <v>3.9000017568469048E-4</v>
      </c>
      <c r="O87" s="169">
        <v>0</v>
      </c>
    </row>
    <row r="88" spans="1:16">
      <c r="C88" s="144">
        <f>+C28-C83</f>
        <v>-0.35034999999334104</v>
      </c>
      <c r="D88" s="144">
        <f>+D28-D83</f>
        <v>44573</v>
      </c>
      <c r="E88" s="144">
        <f>+E28-E83</f>
        <v>12617</v>
      </c>
      <c r="F88" s="144">
        <f>+E28+F28-F83</f>
        <v>25040</v>
      </c>
      <c r="G88" s="144">
        <f>+G28+F28+E28-G83</f>
        <v>37812</v>
      </c>
      <c r="H88" s="144">
        <f>+H28+G28+F28+E28-H83</f>
        <v>51697</v>
      </c>
      <c r="I88" s="144">
        <f>+I28-I83</f>
        <v>15620</v>
      </c>
      <c r="J88" s="144">
        <f>+I28+J28-J83</f>
        <v>26388</v>
      </c>
      <c r="K88" s="144">
        <f>+K28+J28+I28-K83</f>
        <v>40902</v>
      </c>
      <c r="L88" s="144">
        <f>+L28+K28+J28+I28-L83</f>
        <v>57359</v>
      </c>
      <c r="M88" s="144">
        <f>+M28-M83</f>
        <v>13511</v>
      </c>
      <c r="N88" s="144">
        <f>+M28+N28-N83</f>
        <v>28018</v>
      </c>
      <c r="O88" s="144">
        <v>31025</v>
      </c>
      <c r="P88" s="144"/>
    </row>
    <row r="89" spans="1:16">
      <c r="O89" s="185"/>
    </row>
    <row r="90" spans="1:16" ht="15">
      <c r="A90" s="225" t="s">
        <v>492</v>
      </c>
      <c r="B90" s="19" t="s">
        <v>488</v>
      </c>
      <c r="C90" s="1"/>
      <c r="D90" s="1"/>
      <c r="E90" s="1"/>
      <c r="F90" s="1"/>
      <c r="G90" s="1"/>
      <c r="H90" s="1"/>
      <c r="I90" s="1"/>
      <c r="J90" s="1"/>
      <c r="K90" s="1"/>
      <c r="L90" s="1"/>
      <c r="M90" s="1"/>
      <c r="N90" s="1"/>
      <c r="O90" s="185"/>
    </row>
    <row r="91" spans="1:16" ht="15">
      <c r="B91" s="21" t="s">
        <v>536</v>
      </c>
      <c r="C91" s="1"/>
      <c r="D91" s="1"/>
      <c r="E91" s="185"/>
      <c r="F91" s="185"/>
      <c r="G91" s="185"/>
      <c r="H91" s="160"/>
      <c r="I91" s="160"/>
      <c r="J91" s="160"/>
      <c r="K91" s="185"/>
      <c r="L91" s="160"/>
      <c r="M91" s="185"/>
      <c r="N91" s="185"/>
      <c r="O91" s="185"/>
    </row>
    <row r="92" spans="1:16">
      <c r="C92" s="185"/>
      <c r="D92" s="185"/>
      <c r="E92" s="160"/>
      <c r="F92" s="160"/>
      <c r="G92" s="160"/>
      <c r="H92" s="160"/>
      <c r="I92" s="185"/>
      <c r="J92" s="185"/>
      <c r="K92" s="185"/>
      <c r="L92" s="160"/>
      <c r="M92" s="185"/>
      <c r="N92" s="185"/>
      <c r="O92" s="185"/>
    </row>
    <row r="93" spans="1:16">
      <c r="B93" s="78"/>
      <c r="C93" s="79">
        <v>2016</v>
      </c>
      <c r="D93" s="79">
        <v>2017</v>
      </c>
      <c r="E93" s="79" t="s">
        <v>3</v>
      </c>
      <c r="F93" s="79" t="s">
        <v>4</v>
      </c>
      <c r="G93" s="79" t="s">
        <v>5</v>
      </c>
      <c r="H93" s="79" t="s">
        <v>6</v>
      </c>
      <c r="I93" s="79" t="s">
        <v>7</v>
      </c>
      <c r="J93" s="79" t="s">
        <v>8</v>
      </c>
      <c r="K93" s="79" t="s">
        <v>9</v>
      </c>
      <c r="L93" s="79" t="s">
        <v>10</v>
      </c>
      <c r="M93" s="79" t="s">
        <v>11</v>
      </c>
      <c r="N93" s="79" t="s">
        <v>12</v>
      </c>
      <c r="O93" s="79" t="s">
        <v>561</v>
      </c>
      <c r="P93" s="580" t="s">
        <v>1111</v>
      </c>
    </row>
    <row r="94" spans="1:16" ht="15.5">
      <c r="B94" s="80"/>
      <c r="C94" s="81"/>
      <c r="D94" s="81"/>
      <c r="E94" s="81"/>
      <c r="F94" s="81"/>
      <c r="G94" s="81"/>
      <c r="H94" s="81"/>
      <c r="I94" s="81"/>
      <c r="J94" s="81"/>
      <c r="K94" s="81"/>
      <c r="L94" s="81"/>
      <c r="M94" s="81"/>
      <c r="N94" s="81"/>
      <c r="O94" s="81"/>
      <c r="P94" s="583"/>
    </row>
    <row r="95" spans="1:16" s="183" customFormat="1" ht="15.5">
      <c r="B95" s="179" t="s">
        <v>13</v>
      </c>
      <c r="C95" s="13">
        <v>30837</v>
      </c>
      <c r="D95" s="13">
        <v>18651</v>
      </c>
      <c r="E95" s="13">
        <v>681</v>
      </c>
      <c r="F95" s="13">
        <v>847</v>
      </c>
      <c r="G95" s="13">
        <v>985</v>
      </c>
      <c r="H95" s="13">
        <v>10662</v>
      </c>
      <c r="I95" s="13">
        <v>3583</v>
      </c>
      <c r="J95" s="13">
        <v>1753</v>
      </c>
      <c r="K95" s="13">
        <v>287</v>
      </c>
      <c r="L95" s="13">
        <v>1795</v>
      </c>
      <c r="M95" s="13">
        <v>3646</v>
      </c>
      <c r="N95" s="13">
        <v>4418</v>
      </c>
      <c r="O95" s="13">
        <v>11173</v>
      </c>
      <c r="P95" s="581">
        <v>1779</v>
      </c>
    </row>
    <row r="96" spans="1:16" s="183" customFormat="1" ht="15.5">
      <c r="B96" s="179" t="s">
        <v>14</v>
      </c>
      <c r="C96" s="13">
        <v>30808</v>
      </c>
      <c r="D96" s="13">
        <v>18251</v>
      </c>
      <c r="E96" s="13">
        <v>504</v>
      </c>
      <c r="F96" s="13">
        <v>943</v>
      </c>
      <c r="G96" s="13">
        <v>949</v>
      </c>
      <c r="H96" s="13">
        <v>11129</v>
      </c>
      <c r="I96" s="13">
        <v>3593</v>
      </c>
      <c r="J96" s="13">
        <v>1742</v>
      </c>
      <c r="K96" s="13">
        <v>284</v>
      </c>
      <c r="L96" s="13">
        <v>1800</v>
      </c>
      <c r="M96" s="13">
        <v>3646</v>
      </c>
      <c r="N96" s="13">
        <v>4418</v>
      </c>
      <c r="O96" s="13">
        <v>11173</v>
      </c>
      <c r="P96" s="581">
        <v>1831</v>
      </c>
    </row>
    <row r="97" spans="2:18" s="183" customFormat="1" ht="15.5">
      <c r="B97" s="182" t="s">
        <v>15</v>
      </c>
      <c r="C97" s="15">
        <f>+C95-C96</f>
        <v>29</v>
      </c>
      <c r="D97" s="15">
        <f t="shared" ref="D97:H97" si="22">+D95-D96</f>
        <v>400</v>
      </c>
      <c r="E97" s="15">
        <f t="shared" si="22"/>
        <v>177</v>
      </c>
      <c r="F97" s="15">
        <f t="shared" si="22"/>
        <v>-96</v>
      </c>
      <c r="G97" s="15">
        <f t="shared" si="22"/>
        <v>36</v>
      </c>
      <c r="H97" s="15">
        <f t="shared" si="22"/>
        <v>-467</v>
      </c>
      <c r="I97" s="15">
        <f>+I95-I96</f>
        <v>-10</v>
      </c>
      <c r="J97" s="15">
        <f t="shared" ref="J97:N97" si="23">+J95-J96</f>
        <v>11</v>
      </c>
      <c r="K97" s="15">
        <f t="shared" si="23"/>
        <v>3</v>
      </c>
      <c r="L97" s="15">
        <f t="shared" si="23"/>
        <v>-5</v>
      </c>
      <c r="M97" s="15">
        <f t="shared" si="23"/>
        <v>0</v>
      </c>
      <c r="N97" s="15">
        <f t="shared" si="23"/>
        <v>0</v>
      </c>
      <c r="O97" s="15">
        <v>0</v>
      </c>
      <c r="P97" s="582">
        <f t="shared" ref="P97" si="24">+P95-P96</f>
        <v>-52</v>
      </c>
    </row>
    <row r="98" spans="2:18" s="183" customFormat="1" ht="15.5">
      <c r="B98" s="178"/>
      <c r="C98" s="181"/>
      <c r="D98" s="181"/>
      <c r="E98" s="181"/>
      <c r="F98" s="181"/>
      <c r="G98" s="181"/>
      <c r="H98" s="181"/>
      <c r="I98" s="181"/>
      <c r="J98" s="181"/>
      <c r="K98" s="181"/>
      <c r="L98" s="181"/>
      <c r="M98" s="181"/>
      <c r="N98" s="181"/>
      <c r="O98" s="181"/>
      <c r="P98" s="583"/>
    </row>
    <row r="99" spans="2:18" ht="15.5">
      <c r="B99" s="12" t="s">
        <v>88</v>
      </c>
      <c r="C99" s="13">
        <v>116591</v>
      </c>
      <c r="D99" s="13">
        <v>128337</v>
      </c>
      <c r="E99" s="13">
        <v>33702</v>
      </c>
      <c r="F99" s="13">
        <v>35790</v>
      </c>
      <c r="G99" s="13">
        <v>35784</v>
      </c>
      <c r="H99" s="13">
        <v>38494</v>
      </c>
      <c r="I99" s="13">
        <v>36262</v>
      </c>
      <c r="J99" s="13">
        <v>37670</v>
      </c>
      <c r="K99" s="13">
        <v>38176</v>
      </c>
      <c r="L99" s="13">
        <v>37354</v>
      </c>
      <c r="M99" s="13">
        <v>35845</v>
      </c>
      <c r="N99" s="13">
        <v>38423</v>
      </c>
      <c r="O99" s="13">
        <v>37404</v>
      </c>
      <c r="P99" s="581">
        <v>37287</v>
      </c>
    </row>
    <row r="100" spans="2:18" ht="15.5">
      <c r="B100" s="12" t="s">
        <v>558</v>
      </c>
      <c r="C100" s="13">
        <v>20342</v>
      </c>
      <c r="D100" s="13">
        <v>16295</v>
      </c>
      <c r="E100" s="13">
        <v>4469</v>
      </c>
      <c r="F100" s="13">
        <v>3864</v>
      </c>
      <c r="G100" s="13">
        <v>4195</v>
      </c>
      <c r="H100" s="13">
        <v>9449</v>
      </c>
      <c r="I100" s="13">
        <v>4704</v>
      </c>
      <c r="J100" s="13">
        <v>5108</v>
      </c>
      <c r="K100" s="13">
        <v>4686</v>
      </c>
      <c r="L100" s="13">
        <v>4629</v>
      </c>
      <c r="M100" s="13">
        <v>4859</v>
      </c>
      <c r="N100" s="13">
        <v>4684</v>
      </c>
      <c r="O100" s="13">
        <v>4392</v>
      </c>
      <c r="P100" s="581">
        <v>4767</v>
      </c>
    </row>
    <row r="101" spans="2:18" ht="15.5">
      <c r="B101" s="12" t="s">
        <v>22</v>
      </c>
      <c r="C101" s="13">
        <v>0</v>
      </c>
      <c r="D101" s="13">
        <v>0</v>
      </c>
      <c r="E101" s="13">
        <v>0</v>
      </c>
      <c r="F101" s="13">
        <v>0</v>
      </c>
      <c r="G101" s="13">
        <v>0</v>
      </c>
      <c r="H101" s="13">
        <v>0</v>
      </c>
      <c r="I101" s="13">
        <v>0</v>
      </c>
      <c r="J101" s="13">
        <v>0</v>
      </c>
      <c r="K101" s="13">
        <v>0</v>
      </c>
      <c r="L101" s="13">
        <v>0</v>
      </c>
      <c r="M101" s="13">
        <v>0</v>
      </c>
      <c r="N101" s="13">
        <v>0</v>
      </c>
      <c r="O101" s="13">
        <v>0</v>
      </c>
      <c r="P101" s="581">
        <v>110</v>
      </c>
    </row>
    <row r="102" spans="2:18" ht="15.5">
      <c r="B102" s="12" t="s">
        <v>23</v>
      </c>
      <c r="C102" s="13">
        <v>44261</v>
      </c>
      <c r="D102" s="13">
        <f>41857+2222</f>
        <v>44079</v>
      </c>
      <c r="E102" s="13">
        <v>11359</v>
      </c>
      <c r="F102" s="13">
        <v>11199</v>
      </c>
      <c r="G102" s="13">
        <v>11646</v>
      </c>
      <c r="H102" s="216">
        <v>12170</v>
      </c>
      <c r="I102" s="13">
        <v>11111</v>
      </c>
      <c r="J102" s="13">
        <v>11834</v>
      </c>
      <c r="K102" s="13">
        <v>10933</v>
      </c>
      <c r="L102" s="13">
        <v>9452</v>
      </c>
      <c r="M102" s="13">
        <v>10188</v>
      </c>
      <c r="N102" s="13">
        <v>10939</v>
      </c>
      <c r="O102" s="13">
        <v>11062</v>
      </c>
      <c r="P102" s="581">
        <v>13809</v>
      </c>
    </row>
    <row r="103" spans="2:18" s="183" customFormat="1" ht="15.5">
      <c r="B103" s="182" t="s">
        <v>24</v>
      </c>
      <c r="C103" s="15">
        <f>+SUM(C99:C101)-C102</f>
        <v>92672</v>
      </c>
      <c r="D103" s="15">
        <f t="shared" ref="D103" si="25">+SUM(D99:D101)-D102</f>
        <v>100553</v>
      </c>
      <c r="E103" s="15">
        <f t="shared" ref="E103" si="26">+SUM(E99:E101)-E102</f>
        <v>26812</v>
      </c>
      <c r="F103" s="15">
        <f t="shared" ref="F103" si="27">+SUM(F99:F101)-F102</f>
        <v>28455</v>
      </c>
      <c r="G103" s="15">
        <f t="shared" ref="G103" si="28">+SUM(G99:G101)-G102</f>
        <v>28333</v>
      </c>
      <c r="H103" s="15">
        <f t="shared" ref="H103" si="29">+SUM(H99:H101)-H102</f>
        <v>35773</v>
      </c>
      <c r="I103" s="15">
        <f t="shared" ref="I103" si="30">+SUM(I99:I101)-I102</f>
        <v>29855</v>
      </c>
      <c r="J103" s="15">
        <f t="shared" ref="J103" si="31">+SUM(J99:J101)-J102</f>
        <v>30944</v>
      </c>
      <c r="K103" s="15">
        <f t="shared" ref="K103" si="32">+SUM(K99:K101)-K102</f>
        <v>31929</v>
      </c>
      <c r="L103" s="15">
        <f t="shared" ref="L103" si="33">+SUM(L99:L101)-L102</f>
        <v>32531</v>
      </c>
      <c r="M103" s="15">
        <f t="shared" ref="M103" si="34">+SUM(M99:M101)-M102</f>
        <v>30516</v>
      </c>
      <c r="N103" s="15">
        <f t="shared" ref="N103" si="35">+SUM(N99:N101)-N102</f>
        <v>32168</v>
      </c>
      <c r="O103" s="15">
        <v>30734</v>
      </c>
      <c r="P103" s="582">
        <f t="shared" ref="P103" si="36">+SUM(P99:P101)-P102</f>
        <v>28355</v>
      </c>
    </row>
    <row r="104" spans="2:18" ht="15.5">
      <c r="B104" s="16" t="s">
        <v>92</v>
      </c>
      <c r="C104" s="17">
        <f>+C97+C103</f>
        <v>92701</v>
      </c>
      <c r="D104" s="17">
        <f t="shared" ref="D104:N104" si="37">+D97+D103</f>
        <v>100953</v>
      </c>
      <c r="E104" s="17">
        <f t="shared" si="37"/>
        <v>26989</v>
      </c>
      <c r="F104" s="17">
        <f t="shared" si="37"/>
        <v>28359</v>
      </c>
      <c r="G104" s="17">
        <f t="shared" si="37"/>
        <v>28369</v>
      </c>
      <c r="H104" s="17">
        <f t="shared" si="37"/>
        <v>35306</v>
      </c>
      <c r="I104" s="17">
        <f t="shared" si="37"/>
        <v>29845</v>
      </c>
      <c r="J104" s="17">
        <f t="shared" si="37"/>
        <v>30955</v>
      </c>
      <c r="K104" s="17">
        <f t="shared" si="37"/>
        <v>31932</v>
      </c>
      <c r="L104" s="17">
        <f t="shared" si="37"/>
        <v>32526</v>
      </c>
      <c r="M104" s="17">
        <f t="shared" si="37"/>
        <v>30516</v>
      </c>
      <c r="N104" s="17">
        <f t="shared" si="37"/>
        <v>32168</v>
      </c>
      <c r="O104" s="286">
        <v>30734</v>
      </c>
      <c r="P104" s="584">
        <f t="shared" ref="P104" si="38">+P97+P103</f>
        <v>28303</v>
      </c>
    </row>
    <row r="105" spans="2:18" ht="15.5">
      <c r="B105" s="10"/>
      <c r="C105" s="181"/>
      <c r="D105" s="181"/>
      <c r="E105" s="181"/>
      <c r="F105" s="181"/>
      <c r="G105" s="181"/>
      <c r="H105" s="181"/>
      <c r="I105" s="181"/>
      <c r="J105" s="181"/>
      <c r="K105" s="181"/>
      <c r="L105" s="181"/>
      <c r="M105" s="181"/>
      <c r="N105" s="181"/>
      <c r="O105" s="181"/>
      <c r="P105" s="583"/>
    </row>
    <row r="106" spans="2:18" ht="15.5">
      <c r="B106" s="12" t="s">
        <v>26</v>
      </c>
      <c r="C106" s="177">
        <v>39467</v>
      </c>
      <c r="D106" s="177">
        <v>42909</v>
      </c>
      <c r="E106" s="177">
        <v>10593</v>
      </c>
      <c r="F106" s="177">
        <v>10578</v>
      </c>
      <c r="G106" s="177">
        <v>10546</v>
      </c>
      <c r="H106" s="177">
        <v>10617</v>
      </c>
      <c r="I106" s="177">
        <v>10571</v>
      </c>
      <c r="J106" s="177">
        <v>10974</v>
      </c>
      <c r="K106" s="177">
        <v>10897</v>
      </c>
      <c r="L106" s="177">
        <v>-8660</v>
      </c>
      <c r="M106" s="177">
        <v>10418</v>
      </c>
      <c r="N106" s="177">
        <v>10487</v>
      </c>
      <c r="O106" s="177">
        <v>10439</v>
      </c>
      <c r="P106" s="594">
        <v>11202</v>
      </c>
    </row>
    <row r="107" spans="2:18" s="184" customFormat="1" ht="15.5">
      <c r="B107" s="179" t="s">
        <v>27</v>
      </c>
      <c r="C107" s="13">
        <v>0</v>
      </c>
      <c r="D107" s="13">
        <v>0</v>
      </c>
      <c r="E107" s="13">
        <v>0</v>
      </c>
      <c r="F107" s="13">
        <v>0</v>
      </c>
      <c r="G107" s="13">
        <v>0</v>
      </c>
      <c r="H107" s="13">
        <v>0</v>
      </c>
      <c r="I107" s="13">
        <v>0</v>
      </c>
      <c r="J107" s="13">
        <v>0</v>
      </c>
      <c r="K107" s="13">
        <v>0</v>
      </c>
      <c r="L107" s="13">
        <v>0</v>
      </c>
      <c r="M107" s="13">
        <v>0</v>
      </c>
      <c r="N107" s="13">
        <v>0</v>
      </c>
      <c r="O107" s="13">
        <v>0</v>
      </c>
      <c r="P107" s="581">
        <v>0</v>
      </c>
    </row>
    <row r="108" spans="2:18" s="184" customFormat="1" ht="15.5">
      <c r="B108" s="179" t="s">
        <v>28</v>
      </c>
      <c r="C108" s="13">
        <v>1312</v>
      </c>
      <c r="D108" s="13">
        <v>2222</v>
      </c>
      <c r="E108" s="13">
        <v>358</v>
      </c>
      <c r="F108" s="13">
        <v>192</v>
      </c>
      <c r="G108" s="13">
        <v>575</v>
      </c>
      <c r="H108" s="13">
        <f>1609-E108-F108-G108</f>
        <v>484</v>
      </c>
      <c r="I108" s="13">
        <v>-218</v>
      </c>
      <c r="J108" s="13">
        <v>-84</v>
      </c>
      <c r="K108" s="13">
        <v>-267</v>
      </c>
      <c r="L108" s="13">
        <v>-130</v>
      </c>
      <c r="M108" s="13">
        <f>-ROUND(161225.72/1000,0)</f>
        <v>-161</v>
      </c>
      <c r="N108" s="13">
        <f>-ROUND(110194.07/1000,0)</f>
        <v>-110</v>
      </c>
      <c r="O108" s="13">
        <v>271</v>
      </c>
      <c r="P108" s="581">
        <v>0</v>
      </c>
      <c r="Q108" s="214"/>
      <c r="R108" s="214"/>
    </row>
    <row r="109" spans="2:18" ht="15.5">
      <c r="B109" s="16" t="s">
        <v>29</v>
      </c>
      <c r="C109" s="17">
        <f>+C104-C106+C107+C108</f>
        <v>54546</v>
      </c>
      <c r="D109" s="17">
        <f t="shared" ref="D109:N109" si="39">+D104-D106+D107+D108</f>
        <v>60266</v>
      </c>
      <c r="E109" s="17">
        <f t="shared" si="39"/>
        <v>16754</v>
      </c>
      <c r="F109" s="17">
        <f t="shared" si="39"/>
        <v>17973</v>
      </c>
      <c r="G109" s="17">
        <f t="shared" si="39"/>
        <v>18398</v>
      </c>
      <c r="H109" s="17">
        <f t="shared" si="39"/>
        <v>25173</v>
      </c>
      <c r="I109" s="17">
        <f t="shared" si="39"/>
        <v>19056</v>
      </c>
      <c r="J109" s="17">
        <f t="shared" si="39"/>
        <v>19897</v>
      </c>
      <c r="K109" s="17">
        <f t="shared" si="39"/>
        <v>20768</v>
      </c>
      <c r="L109" s="17">
        <f t="shared" si="39"/>
        <v>41056</v>
      </c>
      <c r="M109" s="217">
        <f t="shared" si="39"/>
        <v>19937</v>
      </c>
      <c r="N109" s="17">
        <f t="shared" si="39"/>
        <v>21571</v>
      </c>
      <c r="O109" s="286">
        <v>20566</v>
      </c>
      <c r="P109" s="584">
        <f t="shared" ref="P109" si="40">+P104-P106+P107+P108</f>
        <v>17101</v>
      </c>
    </row>
    <row r="110" spans="2:18" ht="15.5">
      <c r="B110" s="12"/>
      <c r="C110" s="13"/>
      <c r="D110" s="13"/>
      <c r="E110" s="13"/>
      <c r="F110" s="13"/>
      <c r="G110" s="13"/>
      <c r="H110" s="13"/>
      <c r="I110" s="13"/>
      <c r="J110" s="13"/>
      <c r="K110" s="13"/>
      <c r="L110" s="13"/>
      <c r="M110" s="13"/>
      <c r="N110" s="13"/>
      <c r="O110" s="13"/>
      <c r="P110" s="581"/>
    </row>
    <row r="111" spans="2:18" ht="15.5">
      <c r="B111" s="12" t="s">
        <v>30</v>
      </c>
      <c r="C111" s="13">
        <v>-14091</v>
      </c>
      <c r="D111" s="13">
        <v>-11195</v>
      </c>
      <c r="E111" s="13">
        <v>-3430</v>
      </c>
      <c r="F111" s="13">
        <v>-2930</v>
      </c>
      <c r="G111" s="13">
        <v>-3295</v>
      </c>
      <c r="H111" s="13">
        <v>-3146</v>
      </c>
      <c r="I111" s="13">
        <v>-2574</v>
      </c>
      <c r="J111" s="13">
        <v>-3014</v>
      </c>
      <c r="K111" s="13">
        <v>-3347</v>
      </c>
      <c r="L111" s="13">
        <f>-10438-I111-J111-K111</f>
        <v>-1503</v>
      </c>
      <c r="M111" s="13">
        <v>-3889</v>
      </c>
      <c r="N111" s="13">
        <v>-4279</v>
      </c>
      <c r="O111" s="13">
        <v>-3844</v>
      </c>
      <c r="P111" s="581">
        <v>-2344</v>
      </c>
    </row>
    <row r="112" spans="2:18" ht="15.5">
      <c r="B112" s="16" t="s">
        <v>31</v>
      </c>
      <c r="C112" s="18">
        <f>+C109+C111</f>
        <v>40455</v>
      </c>
      <c r="D112" s="18">
        <f t="shared" ref="D112:N112" si="41">+D109+D111</f>
        <v>49071</v>
      </c>
      <c r="E112" s="18">
        <f t="shared" si="41"/>
        <v>13324</v>
      </c>
      <c r="F112" s="18">
        <f t="shared" si="41"/>
        <v>15043</v>
      </c>
      <c r="G112" s="18">
        <f t="shared" si="41"/>
        <v>15103</v>
      </c>
      <c r="H112" s="18">
        <f t="shared" si="41"/>
        <v>22027</v>
      </c>
      <c r="I112" s="18">
        <f t="shared" si="41"/>
        <v>16482</v>
      </c>
      <c r="J112" s="18">
        <f t="shared" si="41"/>
        <v>16883</v>
      </c>
      <c r="K112" s="18">
        <f t="shared" si="41"/>
        <v>17421</v>
      </c>
      <c r="L112" s="18">
        <f t="shared" si="41"/>
        <v>39553</v>
      </c>
      <c r="M112" s="18">
        <f t="shared" si="41"/>
        <v>16048</v>
      </c>
      <c r="N112" s="18">
        <f t="shared" si="41"/>
        <v>17292</v>
      </c>
      <c r="O112" s="287">
        <v>16722</v>
      </c>
      <c r="P112" s="585">
        <f t="shared" ref="P112" si="42">+P109+P111</f>
        <v>14757</v>
      </c>
    </row>
    <row r="113" spans="1:16" ht="15.5">
      <c r="B113" s="10"/>
      <c r="C113" s="181"/>
      <c r="D113" s="181"/>
      <c r="E113" s="181"/>
      <c r="F113" s="181"/>
      <c r="G113" s="181"/>
      <c r="H113" s="181"/>
      <c r="I113" s="186"/>
      <c r="J113" s="186"/>
      <c r="K113" s="181"/>
      <c r="L113" s="181"/>
      <c r="M113" s="181"/>
      <c r="N113" s="181"/>
      <c r="O113" s="181"/>
      <c r="P113" s="583"/>
    </row>
    <row r="114" spans="1:16" ht="15.5">
      <c r="B114" s="12" t="s">
        <v>32</v>
      </c>
      <c r="C114" s="13">
        <v>10419</v>
      </c>
      <c r="D114" s="13">
        <v>18827</v>
      </c>
      <c r="E114" s="13">
        <v>3617</v>
      </c>
      <c r="F114" s="13">
        <v>4519</v>
      </c>
      <c r="G114" s="13">
        <v>4188</v>
      </c>
      <c r="H114" s="13">
        <v>6136</v>
      </c>
      <c r="I114" s="13">
        <v>4530</v>
      </c>
      <c r="J114" s="13">
        <v>5066</v>
      </c>
      <c r="K114" s="13">
        <v>4601</v>
      </c>
      <c r="L114" s="13">
        <v>11208</v>
      </c>
      <c r="M114" s="13">
        <v>4337</v>
      </c>
      <c r="N114" s="13">
        <v>4700</v>
      </c>
      <c r="O114" s="13">
        <v>4539</v>
      </c>
      <c r="P114" s="581">
        <v>5036</v>
      </c>
    </row>
    <row r="115" spans="1:16" ht="15.5">
      <c r="B115" s="16" t="s">
        <v>35</v>
      </c>
      <c r="C115" s="18">
        <f>+C112-C114</f>
        <v>30036</v>
      </c>
      <c r="D115" s="18">
        <f t="shared" ref="D115:N115" si="43">+D112-D114</f>
        <v>30244</v>
      </c>
      <c r="E115" s="18">
        <f t="shared" si="43"/>
        <v>9707</v>
      </c>
      <c r="F115" s="18">
        <f t="shared" si="43"/>
        <v>10524</v>
      </c>
      <c r="G115" s="18">
        <f t="shared" si="43"/>
        <v>10915</v>
      </c>
      <c r="H115" s="18">
        <f t="shared" si="43"/>
        <v>15891</v>
      </c>
      <c r="I115" s="18">
        <f t="shared" si="43"/>
        <v>11952</v>
      </c>
      <c r="J115" s="18">
        <f t="shared" si="43"/>
        <v>11817</v>
      </c>
      <c r="K115" s="18">
        <f t="shared" si="43"/>
        <v>12820</v>
      </c>
      <c r="L115" s="18">
        <f t="shared" si="43"/>
        <v>28345</v>
      </c>
      <c r="M115" s="18">
        <f t="shared" si="43"/>
        <v>11711</v>
      </c>
      <c r="N115" s="18">
        <f t="shared" si="43"/>
        <v>12592</v>
      </c>
      <c r="O115" s="287">
        <v>12183</v>
      </c>
      <c r="P115" s="585">
        <f t="shared" ref="P115" si="44">+P112-P114</f>
        <v>9721</v>
      </c>
    </row>
    <row r="116" spans="1:16">
      <c r="B116" s="141"/>
      <c r="C116" s="185"/>
      <c r="D116" s="185"/>
      <c r="E116" s="185"/>
      <c r="F116" s="185"/>
      <c r="G116" s="185"/>
      <c r="H116" s="185"/>
      <c r="I116" s="185"/>
      <c r="J116" s="185"/>
      <c r="K116" s="185"/>
      <c r="L116" s="185"/>
      <c r="M116" s="185"/>
      <c r="N116" s="185"/>
      <c r="O116" s="185"/>
    </row>
    <row r="117" spans="1:16">
      <c r="B117" s="141"/>
      <c r="C117" s="185"/>
      <c r="D117" s="185"/>
      <c r="E117" s="185"/>
      <c r="F117" s="185"/>
      <c r="G117" s="185"/>
      <c r="H117" s="185"/>
      <c r="I117" s="185"/>
      <c r="J117" s="185"/>
      <c r="K117" s="185"/>
      <c r="L117" s="185"/>
      <c r="M117" s="185"/>
      <c r="N117" s="185"/>
      <c r="O117" s="185"/>
    </row>
    <row r="118" spans="1:16" ht="15.5">
      <c r="A118" s="225" t="s">
        <v>492</v>
      </c>
      <c r="B118" s="19" t="s">
        <v>490</v>
      </c>
      <c r="C118" s="75"/>
      <c r="D118" s="75"/>
      <c r="E118" s="76"/>
      <c r="F118" s="185"/>
      <c r="G118" s="75"/>
      <c r="H118" s="75"/>
      <c r="I118" s="76"/>
      <c r="J118" s="75"/>
      <c r="K118" s="75"/>
      <c r="L118" s="75"/>
      <c r="M118" s="76"/>
      <c r="N118" s="75"/>
      <c r="O118" s="75"/>
    </row>
    <row r="119" spans="1:16">
      <c r="B119" s="142" t="s">
        <v>559</v>
      </c>
      <c r="C119" s="5"/>
      <c r="D119" s="5"/>
      <c r="E119" s="5"/>
      <c r="F119" s="5"/>
      <c r="G119" s="5"/>
      <c r="H119" s="5"/>
      <c r="I119" s="5"/>
      <c r="J119" s="5"/>
      <c r="K119" s="5"/>
      <c r="L119" s="5"/>
      <c r="M119" s="5"/>
      <c r="N119" s="5"/>
      <c r="O119" s="5"/>
    </row>
    <row r="120" spans="1:16" ht="15" thickBot="1">
      <c r="B120" s="78"/>
      <c r="C120" s="79">
        <v>2016</v>
      </c>
      <c r="D120" s="79">
        <v>2017</v>
      </c>
      <c r="E120" s="79" t="s">
        <v>3</v>
      </c>
      <c r="F120" s="79" t="s">
        <v>4</v>
      </c>
      <c r="G120" s="79" t="s">
        <v>5</v>
      </c>
      <c r="H120" s="79" t="s">
        <v>6</v>
      </c>
      <c r="I120" s="79" t="s">
        <v>7</v>
      </c>
      <c r="J120" s="79" t="s">
        <v>8</v>
      </c>
      <c r="K120" s="79" t="s">
        <v>9</v>
      </c>
      <c r="L120" s="79" t="s">
        <v>10</v>
      </c>
      <c r="M120" s="79" t="s">
        <v>11</v>
      </c>
      <c r="N120" s="79" t="s">
        <v>12</v>
      </c>
      <c r="O120" s="79" t="s">
        <v>561</v>
      </c>
      <c r="P120" s="580" t="s">
        <v>1111</v>
      </c>
    </row>
    <row r="121" spans="1:16" ht="15" thickBot="1">
      <c r="B121" s="56" t="s">
        <v>37</v>
      </c>
      <c r="C121" s="57"/>
      <c r="D121" s="57"/>
      <c r="E121" s="57"/>
      <c r="F121" s="57"/>
      <c r="G121" s="57"/>
      <c r="H121" s="57"/>
      <c r="I121" s="57"/>
      <c r="J121" s="57"/>
      <c r="K121" s="57"/>
      <c r="L121" s="57"/>
      <c r="M121" s="57"/>
      <c r="N121" s="57"/>
      <c r="O121" s="57"/>
      <c r="P121" s="57"/>
    </row>
    <row r="122" spans="1:16" ht="15" thickBot="1">
      <c r="B122" s="58" t="s">
        <v>38</v>
      </c>
      <c r="C122" s="59"/>
      <c r="D122" s="59"/>
      <c r="E122" s="59"/>
      <c r="F122" s="59"/>
      <c r="G122" s="59"/>
      <c r="H122" s="59"/>
      <c r="I122" s="59"/>
      <c r="J122" s="59"/>
      <c r="K122" s="59"/>
      <c r="L122" s="59"/>
      <c r="M122" s="59"/>
      <c r="N122" s="194"/>
      <c r="O122" s="194"/>
      <c r="P122" s="194"/>
    </row>
    <row r="123" spans="1:16" s="1" customFormat="1" ht="15.5">
      <c r="B123" s="12" t="s">
        <v>537</v>
      </c>
      <c r="C123" s="13">
        <v>12954</v>
      </c>
      <c r="D123" s="13">
        <v>16516</v>
      </c>
      <c r="E123" s="13">
        <v>50094</v>
      </c>
      <c r="F123" s="13">
        <v>15029</v>
      </c>
      <c r="G123" s="13">
        <v>20655</v>
      </c>
      <c r="H123" s="13">
        <v>15110</v>
      </c>
      <c r="I123" s="13">
        <v>26636</v>
      </c>
      <c r="J123" s="13">
        <v>5281</v>
      </c>
      <c r="K123" s="13">
        <v>2631</v>
      </c>
      <c r="L123" s="13">
        <v>18809</v>
      </c>
      <c r="M123" s="13">
        <v>83848</v>
      </c>
      <c r="N123" s="13">
        <v>34398</v>
      </c>
      <c r="O123" s="13">
        <v>5725</v>
      </c>
      <c r="P123" s="581">
        <v>12617</v>
      </c>
    </row>
    <row r="124" spans="1:16" s="1" customFormat="1" ht="15.5">
      <c r="B124" s="12" t="s">
        <v>111</v>
      </c>
      <c r="C124" s="13">
        <v>17931</v>
      </c>
      <c r="D124" s="13">
        <v>17804</v>
      </c>
      <c r="E124" s="13">
        <v>19522</v>
      </c>
      <c r="F124" s="13">
        <v>20736</v>
      </c>
      <c r="G124" s="13">
        <v>20980</v>
      </c>
      <c r="H124" s="13">
        <v>27724</v>
      </c>
      <c r="I124" s="13">
        <v>26728</v>
      </c>
      <c r="J124" s="13">
        <v>26095</v>
      </c>
      <c r="K124" s="13">
        <v>24761</v>
      </c>
      <c r="L124" s="13">
        <v>23202</v>
      </c>
      <c r="M124" s="13">
        <v>19902</v>
      </c>
      <c r="N124" s="13">
        <v>19622</v>
      </c>
      <c r="O124" s="13">
        <v>20037</v>
      </c>
      <c r="P124" s="581">
        <v>19787</v>
      </c>
    </row>
    <row r="125" spans="1:16" s="1" customFormat="1" ht="15.5">
      <c r="B125" s="12" t="s">
        <v>115</v>
      </c>
      <c r="C125" s="13">
        <v>769</v>
      </c>
      <c r="D125" s="13">
        <v>1477</v>
      </c>
      <c r="E125" s="13">
        <v>1270</v>
      </c>
      <c r="F125" s="13">
        <v>931</v>
      </c>
      <c r="G125" s="13">
        <v>468</v>
      </c>
      <c r="H125" s="13">
        <v>970</v>
      </c>
      <c r="I125" s="13">
        <v>709</v>
      </c>
      <c r="J125" s="13">
        <v>1948</v>
      </c>
      <c r="K125" s="13">
        <v>1181</v>
      </c>
      <c r="L125" s="13">
        <v>1259</v>
      </c>
      <c r="M125" s="13">
        <v>1568</v>
      </c>
      <c r="N125" s="13">
        <v>1159</v>
      </c>
      <c r="O125" s="13">
        <v>1634</v>
      </c>
      <c r="P125" s="581">
        <v>854</v>
      </c>
    </row>
    <row r="126" spans="1:16" s="1" customFormat="1" ht="15.5">
      <c r="B126" s="12" t="s">
        <v>112</v>
      </c>
      <c r="C126" s="13">
        <v>4662</v>
      </c>
      <c r="D126" s="13">
        <v>2715</v>
      </c>
      <c r="E126" s="13">
        <v>3596</v>
      </c>
      <c r="F126" s="13">
        <v>4652</v>
      </c>
      <c r="G126" s="13">
        <v>4096</v>
      </c>
      <c r="H126" s="13">
        <v>2324</v>
      </c>
      <c r="I126" s="13">
        <v>1930</v>
      </c>
      <c r="J126" s="13">
        <v>1643</v>
      </c>
      <c r="K126" s="13">
        <v>3589</v>
      </c>
      <c r="L126" s="13">
        <v>5044</v>
      </c>
      <c r="M126" s="13">
        <v>4869</v>
      </c>
      <c r="N126" s="13">
        <v>4108</v>
      </c>
      <c r="O126" s="13">
        <v>2740</v>
      </c>
      <c r="P126" s="581">
        <v>3745</v>
      </c>
    </row>
    <row r="127" spans="1:16" s="1" customFormat="1" ht="15.5">
      <c r="B127" s="12" t="s">
        <v>128</v>
      </c>
      <c r="C127" s="13">
        <v>10198</v>
      </c>
      <c r="D127" s="13">
        <v>9221</v>
      </c>
      <c r="E127" s="13">
        <v>9241</v>
      </c>
      <c r="F127" s="13">
        <v>10129</v>
      </c>
      <c r="G127" s="13">
        <v>10316</v>
      </c>
      <c r="H127" s="13">
        <v>10836</v>
      </c>
      <c r="I127" s="13">
        <v>9527</v>
      </c>
      <c r="J127" s="13">
        <v>9316</v>
      </c>
      <c r="K127" s="13">
        <v>9487</v>
      </c>
      <c r="L127" s="13">
        <v>11562</v>
      </c>
      <c r="M127" s="13">
        <v>11626</v>
      </c>
      <c r="N127" s="13">
        <v>11004</v>
      </c>
      <c r="O127" s="13">
        <v>11001</v>
      </c>
      <c r="P127" s="581">
        <v>10698</v>
      </c>
    </row>
    <row r="128" spans="1:16" s="1" customFormat="1" ht="15.5">
      <c r="B128" s="12" t="s">
        <v>101</v>
      </c>
      <c r="C128" s="13">
        <v>0</v>
      </c>
      <c r="D128" s="13">
        <v>0</v>
      </c>
      <c r="E128" s="13">
        <v>0</v>
      </c>
      <c r="F128" s="13">
        <v>0</v>
      </c>
      <c r="G128" s="13">
        <v>0</v>
      </c>
      <c r="H128" s="13">
        <v>0</v>
      </c>
      <c r="I128" s="13">
        <v>0</v>
      </c>
      <c r="J128" s="13">
        <v>0</v>
      </c>
      <c r="K128" s="13">
        <v>0</v>
      </c>
      <c r="L128" s="13">
        <v>2900</v>
      </c>
      <c r="M128" s="13">
        <v>0</v>
      </c>
      <c r="N128" s="13">
        <v>0</v>
      </c>
      <c r="O128" s="13">
        <v>0</v>
      </c>
      <c r="P128" s="581">
        <v>8206</v>
      </c>
    </row>
    <row r="129" spans="2:16" s="1" customFormat="1" ht="16" thickBot="1">
      <c r="B129" s="12" t="s">
        <v>129</v>
      </c>
      <c r="C129" s="13">
        <v>93</v>
      </c>
      <c r="D129" s="13">
        <v>858</v>
      </c>
      <c r="E129" s="13">
        <v>583</v>
      </c>
      <c r="F129" s="13">
        <v>402</v>
      </c>
      <c r="G129" s="13">
        <v>2367</v>
      </c>
      <c r="H129" s="13">
        <v>1814</v>
      </c>
      <c r="I129" s="13">
        <v>1506</v>
      </c>
      <c r="J129" s="13">
        <v>1027</v>
      </c>
      <c r="K129" s="13">
        <v>541</v>
      </c>
      <c r="L129" s="13">
        <v>114</v>
      </c>
      <c r="M129" s="13">
        <v>2205</v>
      </c>
      <c r="N129" s="13">
        <v>1585</v>
      </c>
      <c r="O129" s="13">
        <v>1450</v>
      </c>
      <c r="P129" s="581">
        <v>913</v>
      </c>
    </row>
    <row r="130" spans="2:16" ht="15.5" thickBot="1">
      <c r="B130" s="62" t="s">
        <v>45</v>
      </c>
      <c r="C130" s="63">
        <v>46607</v>
      </c>
      <c r="D130" s="63">
        <v>48591</v>
      </c>
      <c r="E130" s="63">
        <v>84306</v>
      </c>
      <c r="F130" s="63">
        <v>51879</v>
      </c>
      <c r="G130" s="63">
        <v>58882</v>
      </c>
      <c r="H130" s="63">
        <v>58778</v>
      </c>
      <c r="I130" s="63">
        <v>67036</v>
      </c>
      <c r="J130" s="63">
        <v>45310</v>
      </c>
      <c r="K130" s="63">
        <v>42190</v>
      </c>
      <c r="L130" s="63">
        <v>62890</v>
      </c>
      <c r="M130" s="63">
        <v>124018</v>
      </c>
      <c r="N130" s="195">
        <v>71876</v>
      </c>
      <c r="O130" s="195">
        <v>42587</v>
      </c>
      <c r="P130" s="586">
        <f>SUM(P123:P129)</f>
        <v>56820</v>
      </c>
    </row>
    <row r="131" spans="2:16" ht="15.5" thickBot="1">
      <c r="B131" s="58" t="s">
        <v>46</v>
      </c>
      <c r="C131" s="59"/>
      <c r="D131" s="59"/>
      <c r="E131" s="59"/>
      <c r="F131" s="59"/>
      <c r="G131" s="59"/>
      <c r="H131" s="59"/>
      <c r="I131" s="59"/>
      <c r="J131" s="59"/>
      <c r="K131" s="59"/>
      <c r="L131" s="59"/>
      <c r="M131" s="59"/>
      <c r="N131" s="194"/>
      <c r="O131" s="194"/>
      <c r="P131" s="587"/>
    </row>
    <row r="132" spans="2:16" s="1" customFormat="1" ht="15.5">
      <c r="B132" s="12" t="s">
        <v>130</v>
      </c>
      <c r="C132" s="13">
        <v>0</v>
      </c>
      <c r="D132" s="13">
        <v>486</v>
      </c>
      <c r="E132" s="13">
        <v>0</v>
      </c>
      <c r="F132" s="13">
        <v>0</v>
      </c>
      <c r="G132" s="13">
        <v>0</v>
      </c>
      <c r="H132" s="13">
        <v>0</v>
      </c>
      <c r="I132" s="13">
        <v>0</v>
      </c>
      <c r="J132" s="13">
        <v>0</v>
      </c>
      <c r="K132" s="13">
        <v>0</v>
      </c>
      <c r="L132" s="13">
        <v>0</v>
      </c>
      <c r="M132" s="13">
        <v>0</v>
      </c>
      <c r="N132" s="13">
        <v>0</v>
      </c>
      <c r="O132" s="13">
        <v>0</v>
      </c>
      <c r="P132" s="581">
        <v>0</v>
      </c>
    </row>
    <row r="133" spans="2:16" s="1" customFormat="1" ht="15.5">
      <c r="B133" s="12" t="s">
        <v>131</v>
      </c>
      <c r="C133" s="13">
        <v>1051</v>
      </c>
      <c r="D133" s="13">
        <v>965</v>
      </c>
      <c r="E133" s="13">
        <v>951</v>
      </c>
      <c r="F133" s="13">
        <v>920</v>
      </c>
      <c r="G133" s="13">
        <v>897</v>
      </c>
      <c r="H133" s="13">
        <v>875</v>
      </c>
      <c r="I133" s="13">
        <v>853</v>
      </c>
      <c r="J133" s="13">
        <v>831</v>
      </c>
      <c r="K133" s="13">
        <v>807</v>
      </c>
      <c r="L133" s="13">
        <v>784</v>
      </c>
      <c r="M133" s="13">
        <v>769</v>
      </c>
      <c r="N133" s="13">
        <v>738</v>
      </c>
      <c r="O133" s="13">
        <v>645</v>
      </c>
      <c r="P133" s="581">
        <v>1047</v>
      </c>
    </row>
    <row r="134" spans="2:16" s="1" customFormat="1" ht="15.5">
      <c r="B134" s="12" t="s">
        <v>132</v>
      </c>
      <c r="C134" s="13">
        <v>5087</v>
      </c>
      <c r="D134" s="13">
        <v>4950</v>
      </c>
      <c r="E134" s="13">
        <v>4942</v>
      </c>
      <c r="F134" s="13">
        <v>4907</v>
      </c>
      <c r="G134" s="13">
        <v>4873</v>
      </c>
      <c r="H134" s="13">
        <v>4859</v>
      </c>
      <c r="I134" s="13">
        <v>4829</v>
      </c>
      <c r="J134" s="13">
        <v>4797</v>
      </c>
      <c r="K134" s="13">
        <v>4762</v>
      </c>
      <c r="L134" s="13">
        <v>4714</v>
      </c>
      <c r="M134" s="13">
        <v>4692</v>
      </c>
      <c r="N134" s="13">
        <v>4643</v>
      </c>
      <c r="O134" s="13">
        <v>4600</v>
      </c>
      <c r="P134" s="581">
        <v>4558</v>
      </c>
    </row>
    <row r="135" spans="2:16" s="1" customFormat="1" ht="15.5">
      <c r="B135" s="12" t="s">
        <v>133</v>
      </c>
      <c r="C135" s="13">
        <v>13915</v>
      </c>
      <c r="D135" s="13">
        <v>11392</v>
      </c>
      <c r="E135" s="13">
        <v>10908</v>
      </c>
      <c r="F135" s="13">
        <v>10443</v>
      </c>
      <c r="G135" s="13">
        <v>10194</v>
      </c>
      <c r="H135" s="13">
        <v>10130</v>
      </c>
      <c r="I135" s="13">
        <v>9757</v>
      </c>
      <c r="J135" s="13">
        <v>9412</v>
      </c>
      <c r="K135" s="13">
        <v>8981</v>
      </c>
      <c r="L135" s="13">
        <v>8688</v>
      </c>
      <c r="M135" s="13">
        <v>8547</v>
      </c>
      <c r="N135" s="13">
        <v>8619</v>
      </c>
      <c r="O135" s="13">
        <v>7495</v>
      </c>
      <c r="P135" s="581">
        <v>9982</v>
      </c>
    </row>
    <row r="136" spans="2:16" s="1" customFormat="1" ht="15.5">
      <c r="B136" s="12" t="s">
        <v>134</v>
      </c>
      <c r="C136" s="13">
        <v>0</v>
      </c>
      <c r="D136" s="13">
        <v>0</v>
      </c>
      <c r="E136" s="13">
        <v>0</v>
      </c>
      <c r="F136" s="13">
        <v>0</v>
      </c>
      <c r="G136" s="13">
        <v>0</v>
      </c>
      <c r="H136" s="13">
        <v>0</v>
      </c>
      <c r="I136" s="13">
        <v>0</v>
      </c>
      <c r="J136" s="13">
        <v>0</v>
      </c>
      <c r="K136" s="13">
        <v>0</v>
      </c>
      <c r="L136" s="13">
        <v>8178</v>
      </c>
      <c r="M136" s="13">
        <v>8021</v>
      </c>
      <c r="N136" s="13">
        <v>7863</v>
      </c>
      <c r="O136" s="13">
        <v>8673</v>
      </c>
      <c r="P136" s="581">
        <v>7851</v>
      </c>
    </row>
    <row r="137" spans="2:16" s="1" customFormat="1" ht="15.5">
      <c r="B137" s="12" t="s">
        <v>135</v>
      </c>
      <c r="C137" s="13">
        <v>460058</v>
      </c>
      <c r="D137" s="13">
        <v>449579</v>
      </c>
      <c r="E137" s="13">
        <v>442321</v>
      </c>
      <c r="F137" s="13">
        <v>435023</v>
      </c>
      <c r="G137" s="13">
        <v>428216</v>
      </c>
      <c r="H137" s="13">
        <v>431266</v>
      </c>
      <c r="I137" s="13">
        <v>427302</v>
      </c>
      <c r="J137" s="13">
        <v>421072</v>
      </c>
      <c r="K137" s="13">
        <v>413561</v>
      </c>
      <c r="L137" s="13">
        <v>427337</v>
      </c>
      <c r="M137" s="13">
        <v>424263</v>
      </c>
      <c r="N137" s="13">
        <v>421959</v>
      </c>
      <c r="O137" s="13">
        <v>426470</v>
      </c>
      <c r="P137" s="581">
        <v>421755</v>
      </c>
    </row>
    <row r="138" spans="2:16" ht="15.5" thickBot="1">
      <c r="B138" s="58" t="s">
        <v>59</v>
      </c>
      <c r="C138" s="64">
        <v>480111</v>
      </c>
      <c r="D138" s="64">
        <v>467372</v>
      </c>
      <c r="E138" s="64">
        <v>459122</v>
      </c>
      <c r="F138" s="64">
        <v>451293</v>
      </c>
      <c r="G138" s="64">
        <v>444180</v>
      </c>
      <c r="H138" s="64">
        <v>447130</v>
      </c>
      <c r="I138" s="64">
        <v>442741</v>
      </c>
      <c r="J138" s="64">
        <v>436112</v>
      </c>
      <c r="K138" s="64">
        <v>428111</v>
      </c>
      <c r="L138" s="64">
        <v>449701</v>
      </c>
      <c r="M138" s="64">
        <v>446292</v>
      </c>
      <c r="N138" s="196">
        <v>443822</v>
      </c>
      <c r="O138" s="196">
        <v>447883</v>
      </c>
      <c r="P138" s="588">
        <f>SUM(P132:P137)</f>
        <v>445193</v>
      </c>
    </row>
    <row r="139" spans="2:16" ht="15.5" thickBot="1">
      <c r="B139" s="65" t="s">
        <v>60</v>
      </c>
      <c r="C139" s="66">
        <v>526718</v>
      </c>
      <c r="D139" s="66">
        <v>515963</v>
      </c>
      <c r="E139" s="66">
        <v>543428</v>
      </c>
      <c r="F139" s="66">
        <v>503172</v>
      </c>
      <c r="G139" s="66">
        <v>503062</v>
      </c>
      <c r="H139" s="66">
        <v>505908</v>
      </c>
      <c r="I139" s="66">
        <v>509777</v>
      </c>
      <c r="J139" s="66">
        <v>481422</v>
      </c>
      <c r="K139" s="66">
        <v>470301</v>
      </c>
      <c r="L139" s="66">
        <v>512591</v>
      </c>
      <c r="M139" s="66">
        <v>570310</v>
      </c>
      <c r="N139" s="197">
        <v>515698</v>
      </c>
      <c r="O139" s="197">
        <v>490470</v>
      </c>
      <c r="P139" s="589">
        <f>P130+P138</f>
        <v>502013</v>
      </c>
    </row>
    <row r="140" spans="2:16" ht="15.5" thickBot="1">
      <c r="B140" s="67"/>
      <c r="C140" s="68"/>
      <c r="D140" s="68"/>
      <c r="E140" s="68"/>
      <c r="F140" s="68"/>
      <c r="G140" s="68"/>
      <c r="H140" s="68"/>
      <c r="I140" s="68"/>
      <c r="J140" s="68"/>
      <c r="K140" s="68"/>
      <c r="L140" s="68"/>
      <c r="M140" s="68"/>
      <c r="N140" s="198"/>
      <c r="O140" s="198"/>
      <c r="P140" s="590"/>
    </row>
    <row r="141" spans="2:16" ht="15.5" thickBot="1">
      <c r="B141" s="56" t="s">
        <v>61</v>
      </c>
      <c r="C141" s="69"/>
      <c r="D141" s="69"/>
      <c r="E141" s="69"/>
      <c r="F141" s="69"/>
      <c r="G141" s="69"/>
      <c r="H141" s="69"/>
      <c r="I141" s="69"/>
      <c r="J141" s="69"/>
      <c r="K141" s="69"/>
      <c r="L141" s="69"/>
      <c r="M141" s="69"/>
      <c r="N141" s="199"/>
      <c r="O141" s="199"/>
      <c r="P141" s="591"/>
    </row>
    <row r="142" spans="2:16" ht="15.5" thickBot="1">
      <c r="B142" s="58" t="s">
        <v>62</v>
      </c>
      <c r="C142" s="70"/>
      <c r="D142" s="70"/>
      <c r="E142" s="70"/>
      <c r="F142" s="70"/>
      <c r="G142" s="70"/>
      <c r="H142" s="70"/>
      <c r="I142" s="70"/>
      <c r="J142" s="70"/>
      <c r="K142" s="70"/>
      <c r="L142" s="70"/>
      <c r="M142" s="70"/>
      <c r="N142" s="200"/>
      <c r="O142" s="200"/>
      <c r="P142" s="592"/>
    </row>
    <row r="143" spans="2:16" s="1" customFormat="1" ht="15.5">
      <c r="B143" s="12" t="s">
        <v>117</v>
      </c>
      <c r="C143" s="13">
        <v>11450</v>
      </c>
      <c r="D143" s="13">
        <v>8714</v>
      </c>
      <c r="E143" s="13">
        <v>5921</v>
      </c>
      <c r="F143" s="13">
        <v>5349</v>
      </c>
      <c r="G143" s="13">
        <v>4755</v>
      </c>
      <c r="H143" s="13">
        <v>11309</v>
      </c>
      <c r="I143" s="13">
        <v>6822</v>
      </c>
      <c r="J143" s="13">
        <v>5120</v>
      </c>
      <c r="K143" s="13">
        <v>4322</v>
      </c>
      <c r="L143" s="13">
        <v>10451</v>
      </c>
      <c r="M143" s="13">
        <v>5498</v>
      </c>
      <c r="N143" s="13">
        <v>4317</v>
      </c>
      <c r="O143" s="13">
        <v>8840</v>
      </c>
      <c r="P143" s="581">
        <v>11085</v>
      </c>
    </row>
    <row r="144" spans="2:16" s="1" customFormat="1" ht="15.5">
      <c r="B144" s="12" t="s">
        <v>120</v>
      </c>
      <c r="C144" s="13">
        <v>1777</v>
      </c>
      <c r="D144" s="13">
        <v>1424</v>
      </c>
      <c r="E144" s="13">
        <v>41547</v>
      </c>
      <c r="F144" s="13">
        <v>773</v>
      </c>
      <c r="G144" s="13">
        <v>1262</v>
      </c>
      <c r="H144" s="13">
        <v>1778</v>
      </c>
      <c r="I144" s="13">
        <v>61817</v>
      </c>
      <c r="J144" s="13">
        <v>1019</v>
      </c>
      <c r="K144" s="13">
        <v>1583</v>
      </c>
      <c r="L144" s="13">
        <v>2065</v>
      </c>
      <c r="M144" s="13">
        <v>1028</v>
      </c>
      <c r="N144" s="13">
        <v>1295</v>
      </c>
      <c r="O144" s="13">
        <v>1827</v>
      </c>
      <c r="P144" s="581">
        <v>2205</v>
      </c>
    </row>
    <row r="145" spans="2:16" s="1" customFormat="1" ht="15.5">
      <c r="B145" s="12" t="s">
        <v>136</v>
      </c>
      <c r="C145" s="13">
        <v>1523</v>
      </c>
      <c r="D145" s="13">
        <v>3723</v>
      </c>
      <c r="E145" s="13">
        <v>2826</v>
      </c>
      <c r="F145" s="13">
        <v>3633</v>
      </c>
      <c r="G145" s="13">
        <v>5398</v>
      </c>
      <c r="H145" s="13">
        <v>7378</v>
      </c>
      <c r="I145" s="13">
        <v>5283</v>
      </c>
      <c r="J145" s="13">
        <v>2407</v>
      </c>
      <c r="K145" s="13">
        <v>2818</v>
      </c>
      <c r="L145" s="13">
        <v>3276</v>
      </c>
      <c r="M145" s="13">
        <v>1293</v>
      </c>
      <c r="N145" s="13">
        <v>2946</v>
      </c>
      <c r="O145" s="13">
        <v>1655</v>
      </c>
      <c r="P145" s="581">
        <v>3914</v>
      </c>
    </row>
    <row r="146" spans="2:16" s="1" customFormat="1" ht="15.5">
      <c r="B146" s="12" t="s">
        <v>118</v>
      </c>
      <c r="C146" s="13">
        <v>8344</v>
      </c>
      <c r="D146" s="13">
        <v>7385</v>
      </c>
      <c r="E146" s="13">
        <v>9019</v>
      </c>
      <c r="F146" s="13">
        <v>9011</v>
      </c>
      <c r="G146" s="13">
        <v>10392</v>
      </c>
      <c r="H146" s="13">
        <v>9223</v>
      </c>
      <c r="I146" s="13">
        <v>9244</v>
      </c>
      <c r="J146" s="13">
        <v>9188</v>
      </c>
      <c r="K146" s="13">
        <v>9847</v>
      </c>
      <c r="L146" s="13">
        <v>8502</v>
      </c>
      <c r="M146" s="13">
        <v>9283</v>
      </c>
      <c r="N146" s="13">
        <v>10035</v>
      </c>
      <c r="O146" s="13">
        <v>10974</v>
      </c>
      <c r="P146" s="581">
        <f>2875+6614</f>
        <v>9489</v>
      </c>
    </row>
    <row r="147" spans="2:16" s="1" customFormat="1" ht="15.5">
      <c r="B147" s="12" t="s">
        <v>550</v>
      </c>
      <c r="C147" s="13">
        <v>10683</v>
      </c>
      <c r="D147" s="13">
        <v>13110</v>
      </c>
      <c r="E147" s="13">
        <v>13044</v>
      </c>
      <c r="F147" s="13">
        <v>13128</v>
      </c>
      <c r="G147" s="13">
        <v>12915</v>
      </c>
      <c r="H147" s="13">
        <v>15206</v>
      </c>
      <c r="I147" s="13">
        <v>15377</v>
      </c>
      <c r="J147" s="13">
        <v>15206</v>
      </c>
      <c r="K147" s="13">
        <v>14860</v>
      </c>
      <c r="L147" s="13">
        <v>16876</v>
      </c>
      <c r="M147" s="13">
        <v>16844</v>
      </c>
      <c r="N147" s="13">
        <v>16909</v>
      </c>
      <c r="O147" s="13">
        <v>16909</v>
      </c>
      <c r="P147" s="581">
        <v>16382</v>
      </c>
    </row>
    <row r="148" spans="2:16" s="1" customFormat="1" ht="15.5">
      <c r="B148" s="12" t="s">
        <v>137</v>
      </c>
      <c r="C148" s="13">
        <v>45993</v>
      </c>
      <c r="D148" s="13">
        <v>75887</v>
      </c>
      <c r="E148" s="13">
        <v>45887</v>
      </c>
      <c r="F148" s="13">
        <v>45282</v>
      </c>
      <c r="G148" s="13">
        <v>72793</v>
      </c>
      <c r="H148" s="13">
        <v>72089</v>
      </c>
      <c r="I148" s="13">
        <v>71601</v>
      </c>
      <c r="J148" s="13">
        <v>71358</v>
      </c>
      <c r="K148" s="13">
        <v>3358</v>
      </c>
      <c r="L148" s="13">
        <v>3730</v>
      </c>
      <c r="M148" s="13">
        <v>58359</v>
      </c>
      <c r="N148" s="13">
        <v>58360</v>
      </c>
      <c r="O148" s="13">
        <v>18360</v>
      </c>
      <c r="P148" s="581">
        <v>19049</v>
      </c>
    </row>
    <row r="149" spans="2:16" ht="15.5" thickBot="1">
      <c r="B149" s="58" t="s">
        <v>70</v>
      </c>
      <c r="C149" s="64">
        <v>79770</v>
      </c>
      <c r="D149" s="64">
        <v>110243</v>
      </c>
      <c r="E149" s="64">
        <v>118244</v>
      </c>
      <c r="F149" s="64">
        <v>77176</v>
      </c>
      <c r="G149" s="64">
        <v>107515</v>
      </c>
      <c r="H149" s="64">
        <v>116983</v>
      </c>
      <c r="I149" s="64">
        <v>170144</v>
      </c>
      <c r="J149" s="64">
        <v>104298</v>
      </c>
      <c r="K149" s="64">
        <v>36788</v>
      </c>
      <c r="L149" s="64">
        <v>44900</v>
      </c>
      <c r="M149" s="64">
        <v>92305</v>
      </c>
      <c r="N149" s="196">
        <v>93862</v>
      </c>
      <c r="O149" s="196">
        <v>58565</v>
      </c>
      <c r="P149" s="588">
        <f>SUM(P143:P148)</f>
        <v>62124</v>
      </c>
    </row>
    <row r="150" spans="2:16" ht="15.5" thickBot="1">
      <c r="B150" s="71" t="s">
        <v>71</v>
      </c>
      <c r="C150" s="72"/>
      <c r="D150" s="72"/>
      <c r="E150" s="72"/>
      <c r="F150" s="72"/>
      <c r="G150" s="72"/>
      <c r="H150" s="72"/>
      <c r="I150" s="72"/>
      <c r="J150" s="72"/>
      <c r="K150" s="72"/>
      <c r="L150" s="72"/>
      <c r="M150" s="72"/>
      <c r="N150" s="201"/>
      <c r="O150" s="201"/>
      <c r="P150" s="593"/>
    </row>
    <row r="151" spans="2:16" s="1" customFormat="1" ht="15.5">
      <c r="B151" s="12" t="s">
        <v>138</v>
      </c>
      <c r="C151" s="13">
        <v>232</v>
      </c>
      <c r="D151" s="13">
        <v>105</v>
      </c>
      <c r="E151" s="13">
        <v>73</v>
      </c>
      <c r="F151" s="13">
        <v>32</v>
      </c>
      <c r="G151" s="13">
        <v>0</v>
      </c>
      <c r="H151" s="13">
        <v>0</v>
      </c>
      <c r="I151" s="13">
        <v>0</v>
      </c>
      <c r="J151" s="13">
        <v>0</v>
      </c>
      <c r="K151" s="13">
        <v>0</v>
      </c>
      <c r="L151" s="13">
        <v>0</v>
      </c>
      <c r="M151" s="13">
        <v>7983</v>
      </c>
      <c r="N151" s="13">
        <v>8139</v>
      </c>
      <c r="O151" s="13">
        <v>7998</v>
      </c>
      <c r="P151" s="581">
        <v>125</v>
      </c>
    </row>
    <row r="152" spans="2:16" s="1" customFormat="1" ht="15.5">
      <c r="B152" s="12" t="s">
        <v>139</v>
      </c>
      <c r="C152" s="13">
        <v>29340</v>
      </c>
      <c r="D152" s="13">
        <v>30048</v>
      </c>
      <c r="E152" s="13">
        <v>32825</v>
      </c>
      <c r="F152" s="13">
        <v>35334</v>
      </c>
      <c r="G152" s="13">
        <v>36492</v>
      </c>
      <c r="H152" s="13">
        <v>28464</v>
      </c>
      <c r="I152" s="13">
        <v>29539</v>
      </c>
      <c r="J152" s="13">
        <v>30928</v>
      </c>
      <c r="K152" s="13">
        <v>32270</v>
      </c>
      <c r="L152" s="13">
        <v>23534</v>
      </c>
      <c r="M152" s="13">
        <v>25061</v>
      </c>
      <c r="N152" s="13">
        <v>27403</v>
      </c>
      <c r="O152" s="13">
        <v>27069</v>
      </c>
      <c r="P152" s="581">
        <v>24170</v>
      </c>
    </row>
    <row r="153" spans="2:16" s="1" customFormat="1" ht="15.5">
      <c r="B153" s="12" t="s">
        <v>140</v>
      </c>
      <c r="C153" s="13">
        <v>178724</v>
      </c>
      <c r="D153" s="13">
        <v>144712</v>
      </c>
      <c r="E153" s="13">
        <v>192993</v>
      </c>
      <c r="F153" s="13">
        <v>181203</v>
      </c>
      <c r="G153" s="13">
        <v>139125</v>
      </c>
      <c r="H153" s="13">
        <v>138123</v>
      </c>
      <c r="I153" s="13">
        <v>137475</v>
      </c>
      <c r="J153" s="13">
        <v>162768</v>
      </c>
      <c r="K153" s="13">
        <v>205251</v>
      </c>
      <c r="L153" s="13">
        <v>213549</v>
      </c>
      <c r="M153" s="13">
        <v>202051</v>
      </c>
      <c r="N153" s="13">
        <v>200788</v>
      </c>
      <c r="O153" s="13">
        <v>198685</v>
      </c>
      <c r="P153" s="581">
        <v>206497</v>
      </c>
    </row>
    <row r="154" spans="2:16" s="1" customFormat="1" ht="15.5">
      <c r="B154" s="12" t="s">
        <v>141</v>
      </c>
      <c r="C154" s="13">
        <v>28448</v>
      </c>
      <c r="D154" s="13">
        <v>20542</v>
      </c>
      <c r="E154" s="13">
        <v>18860</v>
      </c>
      <c r="F154" s="13">
        <v>19362</v>
      </c>
      <c r="G154" s="13">
        <v>19762</v>
      </c>
      <c r="H154" s="13">
        <v>22055</v>
      </c>
      <c r="I154" s="13">
        <v>20530</v>
      </c>
      <c r="J154" s="13">
        <v>20908</v>
      </c>
      <c r="K154" s="13">
        <v>20870</v>
      </c>
      <c r="L154" s="13">
        <v>19267</v>
      </c>
      <c r="M154" s="13">
        <v>21844</v>
      </c>
      <c r="N154" s="13">
        <v>22330</v>
      </c>
      <c r="O154" s="13">
        <v>22624</v>
      </c>
      <c r="P154" s="581">
        <v>22357</v>
      </c>
    </row>
    <row r="155" spans="2:16" s="1" customFormat="1" ht="15.5">
      <c r="B155" s="12" t="s">
        <v>142</v>
      </c>
      <c r="C155" s="13">
        <v>10484</v>
      </c>
      <c r="D155" s="13">
        <v>15944</v>
      </c>
      <c r="E155" s="13">
        <v>15025</v>
      </c>
      <c r="F155" s="13">
        <v>13794</v>
      </c>
      <c r="G155" s="13">
        <v>12820</v>
      </c>
      <c r="H155" s="13">
        <v>13423</v>
      </c>
      <c r="I155" s="13">
        <v>12892</v>
      </c>
      <c r="J155" s="13">
        <v>11867</v>
      </c>
      <c r="K155" s="13">
        <v>10985</v>
      </c>
      <c r="L155" s="13">
        <v>18035</v>
      </c>
      <c r="M155" s="13">
        <v>16639</v>
      </c>
      <c r="N155" s="13">
        <v>15711</v>
      </c>
      <c r="O155" s="13">
        <v>15289</v>
      </c>
      <c r="P155" s="581">
        <v>16334</v>
      </c>
    </row>
    <row r="156" spans="2:16" ht="15.5" thickBot="1">
      <c r="B156" s="58" t="s">
        <v>73</v>
      </c>
      <c r="C156" s="64">
        <v>247228</v>
      </c>
      <c r="D156" s="64">
        <v>211351</v>
      </c>
      <c r="E156" s="64">
        <v>259776</v>
      </c>
      <c r="F156" s="64">
        <v>249725</v>
      </c>
      <c r="G156" s="64">
        <v>208199</v>
      </c>
      <c r="H156" s="64">
        <v>202065</v>
      </c>
      <c r="I156" s="64">
        <v>200436</v>
      </c>
      <c r="J156" s="64">
        <v>226471</v>
      </c>
      <c r="K156" s="64">
        <v>269376</v>
      </c>
      <c r="L156" s="64">
        <v>274385</v>
      </c>
      <c r="M156" s="64">
        <v>273578</v>
      </c>
      <c r="N156" s="196">
        <v>274371</v>
      </c>
      <c r="O156" s="196">
        <v>271665</v>
      </c>
      <c r="P156" s="588">
        <f>SUM(P151:P155)</f>
        <v>269483</v>
      </c>
    </row>
    <row r="157" spans="2:16" ht="15.5" thickBot="1">
      <c r="B157" s="65" t="s">
        <v>74</v>
      </c>
      <c r="C157" s="66">
        <v>326998</v>
      </c>
      <c r="D157" s="66">
        <v>321594</v>
      </c>
      <c r="E157" s="66">
        <v>378020</v>
      </c>
      <c r="F157" s="66">
        <v>326901</v>
      </c>
      <c r="G157" s="66">
        <v>315714</v>
      </c>
      <c r="H157" s="66">
        <v>319048</v>
      </c>
      <c r="I157" s="66">
        <v>370580</v>
      </c>
      <c r="J157" s="66">
        <v>330769</v>
      </c>
      <c r="K157" s="66">
        <v>306164</v>
      </c>
      <c r="L157" s="66">
        <v>319285</v>
      </c>
      <c r="M157" s="66">
        <v>365883</v>
      </c>
      <c r="N157" s="197">
        <v>368233</v>
      </c>
      <c r="O157" s="197">
        <v>330230</v>
      </c>
      <c r="P157" s="589">
        <f>P149+P156</f>
        <v>331607</v>
      </c>
    </row>
    <row r="158" spans="2:16" ht="15.5" thickBot="1">
      <c r="B158" s="67"/>
      <c r="C158" s="68"/>
      <c r="D158" s="68"/>
      <c r="E158" s="68"/>
      <c r="F158" s="68"/>
      <c r="G158" s="68"/>
      <c r="H158" s="68"/>
      <c r="I158" s="68"/>
      <c r="J158" s="68"/>
      <c r="K158" s="68"/>
      <c r="L158" s="68"/>
      <c r="M158" s="68"/>
      <c r="N158" s="198"/>
      <c r="O158" s="198"/>
      <c r="P158" s="590"/>
    </row>
    <row r="159" spans="2:16" ht="15.5" thickBot="1">
      <c r="B159" s="73" t="s">
        <v>75</v>
      </c>
      <c r="C159" s="72"/>
      <c r="D159" s="72"/>
      <c r="E159" s="72"/>
      <c r="F159" s="72"/>
      <c r="G159" s="72"/>
      <c r="H159" s="72"/>
      <c r="I159" s="72"/>
      <c r="J159" s="72"/>
      <c r="K159" s="72"/>
      <c r="L159" s="72"/>
      <c r="M159" s="72"/>
      <c r="N159" s="201"/>
      <c r="O159" s="201"/>
      <c r="P159" s="593"/>
    </row>
    <row r="160" spans="2:16" s="1" customFormat="1" ht="15.5">
      <c r="B160" s="12" t="s">
        <v>143</v>
      </c>
      <c r="C160" s="13">
        <v>23683</v>
      </c>
      <c r="D160" s="13">
        <v>23683</v>
      </c>
      <c r="E160" s="13">
        <v>23683</v>
      </c>
      <c r="F160" s="13">
        <v>23683</v>
      </c>
      <c r="G160" s="13">
        <v>23683</v>
      </c>
      <c r="H160" s="13">
        <v>23683</v>
      </c>
      <c r="I160" s="13">
        <v>23683</v>
      </c>
      <c r="J160" s="13">
        <v>23683</v>
      </c>
      <c r="K160" s="13">
        <v>23683</v>
      </c>
      <c r="L160" s="13">
        <v>23683</v>
      </c>
      <c r="M160" s="13">
        <v>23683</v>
      </c>
      <c r="N160" s="13">
        <v>23683</v>
      </c>
      <c r="O160" s="13">
        <v>23683</v>
      </c>
      <c r="P160" s="581">
        <v>23683</v>
      </c>
    </row>
    <row r="161" spans="1:16" s="1" customFormat="1" ht="15.5">
      <c r="B161" s="12" t="s">
        <v>144</v>
      </c>
      <c r="C161" s="13">
        <v>97571</v>
      </c>
      <c r="D161" s="13">
        <v>97571</v>
      </c>
      <c r="E161" s="13">
        <v>97571</v>
      </c>
      <c r="F161" s="13">
        <v>97571</v>
      </c>
      <c r="G161" s="13">
        <v>97571</v>
      </c>
      <c r="H161" s="13">
        <v>97571</v>
      </c>
      <c r="I161" s="13">
        <v>97571</v>
      </c>
      <c r="J161" s="13">
        <v>97571</v>
      </c>
      <c r="K161" s="13">
        <v>97571</v>
      </c>
      <c r="L161" s="13">
        <v>97571</v>
      </c>
      <c r="M161" s="13">
        <v>97571</v>
      </c>
      <c r="N161" s="13">
        <v>97571</v>
      </c>
      <c r="O161" s="13">
        <v>97571</v>
      </c>
      <c r="P161" s="581">
        <v>97571</v>
      </c>
    </row>
    <row r="162" spans="1:16" s="1" customFormat="1" ht="15.5">
      <c r="B162" s="12" t="s">
        <v>125</v>
      </c>
      <c r="C162" s="13">
        <v>4737</v>
      </c>
      <c r="D162" s="13">
        <v>4737</v>
      </c>
      <c r="E162" s="13">
        <v>4737</v>
      </c>
      <c r="F162" s="13">
        <v>4737</v>
      </c>
      <c r="G162" s="13">
        <v>4737</v>
      </c>
      <c r="H162" s="13">
        <v>4737</v>
      </c>
      <c r="I162" s="13">
        <v>4737</v>
      </c>
      <c r="J162" s="13">
        <v>4737</v>
      </c>
      <c r="K162" s="13">
        <v>4737</v>
      </c>
      <c r="L162" s="13">
        <v>4737</v>
      </c>
      <c r="M162" s="13">
        <v>4737</v>
      </c>
      <c r="N162" s="13">
        <v>4737</v>
      </c>
      <c r="O162" s="13">
        <v>4737</v>
      </c>
      <c r="P162" s="581">
        <v>4737</v>
      </c>
    </row>
    <row r="163" spans="1:16" s="1" customFormat="1" ht="15.5">
      <c r="B163" s="12" t="s">
        <v>145</v>
      </c>
      <c r="C163" s="13">
        <v>-9189</v>
      </c>
      <c r="D163" s="13">
        <v>-4784</v>
      </c>
      <c r="E163" s="13">
        <v>-3874</v>
      </c>
      <c r="F163" s="13">
        <v>-3534</v>
      </c>
      <c r="G163" s="13">
        <v>-3372</v>
      </c>
      <c r="H163" s="13">
        <v>-4330</v>
      </c>
      <c r="I163" s="13">
        <v>-3944</v>
      </c>
      <c r="J163" s="13">
        <v>-4306</v>
      </c>
      <c r="K163" s="13">
        <v>-3642</v>
      </c>
      <c r="L163" s="13">
        <v>-2817</v>
      </c>
      <c r="M163" s="13">
        <v>-3407</v>
      </c>
      <c r="N163" s="13">
        <v>-2829</v>
      </c>
      <c r="O163" s="13">
        <v>-2237</v>
      </c>
      <c r="P163" s="581">
        <v>-1793</v>
      </c>
    </row>
    <row r="164" spans="1:16" s="1" customFormat="1" ht="15.5">
      <c r="B164" s="12" t="s">
        <v>126</v>
      </c>
      <c r="C164" s="13">
        <v>82918</v>
      </c>
      <c r="D164" s="13">
        <v>73162</v>
      </c>
      <c r="E164" s="13">
        <v>43291</v>
      </c>
      <c r="F164" s="13">
        <v>53814</v>
      </c>
      <c r="G164" s="13">
        <v>64729</v>
      </c>
      <c r="H164" s="13">
        <v>65199</v>
      </c>
      <c r="I164" s="13">
        <v>17150</v>
      </c>
      <c r="J164" s="13">
        <v>28968</v>
      </c>
      <c r="K164" s="13">
        <v>41788</v>
      </c>
      <c r="L164" s="13">
        <v>70132</v>
      </c>
      <c r="M164" s="13">
        <v>81843</v>
      </c>
      <c r="N164" s="13">
        <v>24303</v>
      </c>
      <c r="O164" s="13">
        <v>36486</v>
      </c>
      <c r="P164" s="581">
        <v>46208</v>
      </c>
    </row>
    <row r="165" spans="1:16" ht="15.5" thickBot="1">
      <c r="B165" s="58" t="s">
        <v>84</v>
      </c>
      <c r="C165" s="64">
        <v>199720</v>
      </c>
      <c r="D165" s="64">
        <v>194369</v>
      </c>
      <c r="E165" s="64">
        <v>165408</v>
      </c>
      <c r="F165" s="64">
        <v>176271</v>
      </c>
      <c r="G165" s="64">
        <v>187348</v>
      </c>
      <c r="H165" s="64">
        <v>186860</v>
      </c>
      <c r="I165" s="64">
        <v>139197</v>
      </c>
      <c r="J165" s="64">
        <v>150653</v>
      </c>
      <c r="K165" s="64">
        <v>164137</v>
      </c>
      <c r="L165" s="64">
        <v>193306</v>
      </c>
      <c r="M165" s="64">
        <v>204427</v>
      </c>
      <c r="N165" s="196">
        <v>147465</v>
      </c>
      <c r="O165" s="196">
        <v>160240</v>
      </c>
      <c r="P165" s="588">
        <f>SUM(P160:P164)</f>
        <v>170406</v>
      </c>
    </row>
    <row r="166" spans="1:16" ht="15.5" thickBot="1">
      <c r="B166" s="74" t="s">
        <v>85</v>
      </c>
      <c r="C166" s="66">
        <v>526718</v>
      </c>
      <c r="D166" s="66">
        <v>515963</v>
      </c>
      <c r="E166" s="66">
        <v>543428</v>
      </c>
      <c r="F166" s="66">
        <v>503172</v>
      </c>
      <c r="G166" s="66">
        <v>503062</v>
      </c>
      <c r="H166" s="66">
        <v>505908</v>
      </c>
      <c r="I166" s="66">
        <v>509777</v>
      </c>
      <c r="J166" s="66">
        <v>481422</v>
      </c>
      <c r="K166" s="66">
        <v>470301</v>
      </c>
      <c r="L166" s="66">
        <v>512591</v>
      </c>
      <c r="M166" s="66">
        <v>570310</v>
      </c>
      <c r="N166" s="197">
        <v>515698</v>
      </c>
      <c r="O166" s="197">
        <v>490470</v>
      </c>
      <c r="P166" s="589">
        <f>P157+P165</f>
        <v>502013</v>
      </c>
    </row>
    <row r="167" spans="1:16">
      <c r="C167" s="160">
        <f>+C139-C157-C165</f>
        <v>0</v>
      </c>
      <c r="D167" s="160">
        <f t="shared" ref="D167:N167" si="45">+D139-D157-D165</f>
        <v>0</v>
      </c>
      <c r="E167" s="160">
        <f t="shared" si="45"/>
        <v>0</v>
      </c>
      <c r="F167" s="160">
        <f t="shared" si="45"/>
        <v>0</v>
      </c>
      <c r="G167" s="160">
        <f t="shared" si="45"/>
        <v>0</v>
      </c>
      <c r="H167" s="160">
        <f t="shared" si="45"/>
        <v>0</v>
      </c>
      <c r="I167" s="160">
        <f t="shared" si="45"/>
        <v>0</v>
      </c>
      <c r="J167" s="160">
        <f t="shared" si="45"/>
        <v>0</v>
      </c>
      <c r="K167" s="160">
        <f t="shared" si="45"/>
        <v>0</v>
      </c>
      <c r="L167" s="160">
        <f t="shared" si="45"/>
        <v>0</v>
      </c>
      <c r="M167" s="160">
        <f t="shared" si="45"/>
        <v>0</v>
      </c>
      <c r="N167" s="160">
        <f t="shared" si="45"/>
        <v>0</v>
      </c>
      <c r="O167" s="160">
        <v>0</v>
      </c>
    </row>
    <row r="168" spans="1:16">
      <c r="O168" s="185"/>
    </row>
    <row r="169" spans="1:16">
      <c r="O169" s="185"/>
    </row>
    <row r="170" spans="1:16" ht="15">
      <c r="A170" s="225" t="s">
        <v>492</v>
      </c>
      <c r="B170" s="19" t="s">
        <v>184</v>
      </c>
      <c r="C170" s="144"/>
      <c r="D170" s="144"/>
      <c r="E170" s="144"/>
      <c r="F170" s="144"/>
      <c r="G170" s="144"/>
      <c r="H170" s="144"/>
      <c r="I170" s="185"/>
      <c r="J170" s="185"/>
      <c r="K170" s="185"/>
      <c r="L170" s="185"/>
      <c r="M170" s="144"/>
      <c r="N170" s="144"/>
      <c r="O170" s="144"/>
    </row>
    <row r="171" spans="1:16" ht="15">
      <c r="B171" s="21" t="s">
        <v>109</v>
      </c>
      <c r="C171" s="144"/>
      <c r="D171" s="144"/>
      <c r="E171" s="185"/>
      <c r="F171" s="185"/>
      <c r="G171" s="185"/>
      <c r="H171" s="185"/>
      <c r="I171" s="185"/>
      <c r="J171" s="185"/>
      <c r="K171" s="185"/>
      <c r="L171" s="185"/>
      <c r="M171" s="185"/>
      <c r="N171" s="185"/>
      <c r="O171" s="185"/>
    </row>
    <row r="172" spans="1:16">
      <c r="C172" s="144">
        <f>8328-C189</f>
        <v>0</v>
      </c>
      <c r="D172" s="144">
        <f>9521-D189</f>
        <v>0</v>
      </c>
      <c r="E172" s="185"/>
      <c r="F172" s="185"/>
      <c r="G172" s="185"/>
      <c r="H172" s="185"/>
      <c r="I172" s="144"/>
      <c r="J172" s="144"/>
      <c r="K172" s="144"/>
      <c r="L172" s="144"/>
      <c r="M172" s="185"/>
      <c r="N172" s="185"/>
      <c r="O172" s="185"/>
    </row>
    <row r="173" spans="1:16">
      <c r="B173" s="78"/>
      <c r="C173" s="79">
        <v>2016</v>
      </c>
      <c r="D173" s="79">
        <v>2017</v>
      </c>
      <c r="E173" s="79" t="s">
        <v>3</v>
      </c>
      <c r="F173" s="79" t="s">
        <v>4</v>
      </c>
      <c r="G173" s="79" t="s">
        <v>5</v>
      </c>
      <c r="H173" s="79" t="s">
        <v>6</v>
      </c>
      <c r="I173" s="79" t="s">
        <v>7</v>
      </c>
      <c r="J173" s="79" t="s">
        <v>8</v>
      </c>
      <c r="K173" s="79" t="s">
        <v>9</v>
      </c>
      <c r="L173" s="79" t="s">
        <v>10</v>
      </c>
      <c r="M173" s="79" t="s">
        <v>11</v>
      </c>
      <c r="N173" s="79" t="s">
        <v>12</v>
      </c>
      <c r="O173" s="79" t="s">
        <v>561</v>
      </c>
      <c r="P173" s="580" t="s">
        <v>1111</v>
      </c>
    </row>
    <row r="174" spans="1:16" s="185" customFormat="1" ht="15.5">
      <c r="B174" s="218"/>
      <c r="C174" s="219"/>
      <c r="D174" s="219"/>
      <c r="E174" s="219"/>
      <c r="F174" s="219"/>
      <c r="G174" s="219"/>
      <c r="H174" s="219"/>
      <c r="I174" s="219"/>
      <c r="J174" s="219"/>
      <c r="K174" s="219"/>
      <c r="L174" s="219"/>
      <c r="M174" s="219"/>
      <c r="N174" s="219"/>
      <c r="O174" s="288"/>
      <c r="P174" s="583"/>
    </row>
    <row r="175" spans="1:16" s="185" customFormat="1" ht="15.5">
      <c r="B175" s="220" t="s">
        <v>13</v>
      </c>
      <c r="C175" s="215">
        <v>19784</v>
      </c>
      <c r="D175" s="215">
        <v>32</v>
      </c>
      <c r="E175" s="215">
        <v>0</v>
      </c>
      <c r="F175" s="215">
        <v>0</v>
      </c>
      <c r="G175" s="215">
        <v>0</v>
      </c>
      <c r="H175" s="215">
        <v>0</v>
      </c>
      <c r="I175" s="215">
        <v>0</v>
      </c>
      <c r="J175" s="215">
        <v>0</v>
      </c>
      <c r="K175" s="215">
        <v>0</v>
      </c>
      <c r="L175" s="215">
        <v>0</v>
      </c>
      <c r="M175" s="215">
        <v>0</v>
      </c>
      <c r="N175" s="215">
        <v>0</v>
      </c>
      <c r="O175" s="289">
        <v>0</v>
      </c>
      <c r="P175" s="581">
        <v>0</v>
      </c>
    </row>
    <row r="176" spans="1:16" s="185" customFormat="1" ht="15.5">
      <c r="B176" s="220" t="s">
        <v>14</v>
      </c>
      <c r="C176" s="215">
        <v>19784</v>
      </c>
      <c r="D176" s="215">
        <v>32</v>
      </c>
      <c r="E176" s="215">
        <v>0</v>
      </c>
      <c r="F176" s="215">
        <v>0</v>
      </c>
      <c r="G176" s="215">
        <v>0</v>
      </c>
      <c r="H176" s="215">
        <v>0</v>
      </c>
      <c r="I176" s="215">
        <v>0</v>
      </c>
      <c r="J176" s="215">
        <v>0</v>
      </c>
      <c r="K176" s="215">
        <v>0</v>
      </c>
      <c r="L176" s="215">
        <v>0</v>
      </c>
      <c r="M176" s="215">
        <v>0</v>
      </c>
      <c r="N176" s="215">
        <v>0</v>
      </c>
      <c r="O176" s="289">
        <v>0</v>
      </c>
      <c r="P176" s="581">
        <v>0</v>
      </c>
    </row>
    <row r="177" spans="2:16" s="185" customFormat="1" ht="15.5">
      <c r="B177" s="221" t="s">
        <v>15</v>
      </c>
      <c r="C177" s="222">
        <f t="shared" ref="C177:N177" si="46">+C175-C176</f>
        <v>0</v>
      </c>
      <c r="D177" s="222">
        <f t="shared" si="46"/>
        <v>0</v>
      </c>
      <c r="E177" s="222">
        <f t="shared" si="46"/>
        <v>0</v>
      </c>
      <c r="F177" s="222">
        <f t="shared" si="46"/>
        <v>0</v>
      </c>
      <c r="G177" s="222">
        <f t="shared" si="46"/>
        <v>0</v>
      </c>
      <c r="H177" s="222">
        <f t="shared" si="46"/>
        <v>0</v>
      </c>
      <c r="I177" s="222">
        <f t="shared" si="46"/>
        <v>0</v>
      </c>
      <c r="J177" s="222">
        <f t="shared" si="46"/>
        <v>0</v>
      </c>
      <c r="K177" s="222">
        <f t="shared" si="46"/>
        <v>0</v>
      </c>
      <c r="L177" s="222">
        <f t="shared" si="46"/>
        <v>0</v>
      </c>
      <c r="M177" s="222">
        <f t="shared" si="46"/>
        <v>0</v>
      </c>
      <c r="N177" s="222">
        <f t="shared" si="46"/>
        <v>0</v>
      </c>
      <c r="O177" s="290">
        <v>0</v>
      </c>
      <c r="P177" s="582">
        <v>0</v>
      </c>
    </row>
    <row r="178" spans="2:16" ht="15.5">
      <c r="B178" s="80"/>
      <c r="C178" s="81"/>
      <c r="D178" s="81"/>
      <c r="E178" s="81"/>
      <c r="F178" s="81"/>
      <c r="G178" s="81"/>
      <c r="H178" s="81"/>
      <c r="I178" s="81"/>
      <c r="J178" s="81"/>
      <c r="K178" s="81"/>
      <c r="L178" s="81"/>
      <c r="M178" s="81"/>
      <c r="N178" s="81"/>
      <c r="O178" s="81"/>
      <c r="P178" s="583"/>
    </row>
    <row r="179" spans="2:16" s="185" customFormat="1" ht="15.5">
      <c r="B179" s="179" t="s">
        <v>88</v>
      </c>
      <c r="C179" s="13">
        <v>13606</v>
      </c>
      <c r="D179" s="13">
        <v>15366</v>
      </c>
      <c r="E179" s="13">
        <v>3791</v>
      </c>
      <c r="F179" s="13">
        <v>4173</v>
      </c>
      <c r="G179" s="13">
        <v>4437</v>
      </c>
      <c r="H179" s="13">
        <v>4492</v>
      </c>
      <c r="I179" s="13">
        <v>4679</v>
      </c>
      <c r="J179" s="13">
        <v>4737</v>
      </c>
      <c r="K179" s="13">
        <v>4226</v>
      </c>
      <c r="L179" s="13">
        <v>4536</v>
      </c>
      <c r="M179" s="13">
        <v>4398</v>
      </c>
      <c r="N179" s="13">
        <v>4633</v>
      </c>
      <c r="O179" s="13">
        <v>4692</v>
      </c>
      <c r="P179" s="581">
        <v>4711</v>
      </c>
    </row>
    <row r="180" spans="2:16" s="185" customFormat="1" ht="15.5">
      <c r="B180" s="179" t="s">
        <v>127</v>
      </c>
      <c r="C180" s="13">
        <v>121</v>
      </c>
      <c r="D180" s="13">
        <v>163</v>
      </c>
      <c r="E180" s="13">
        <v>25</v>
      </c>
      <c r="F180" s="13">
        <v>25</v>
      </c>
      <c r="G180" s="13">
        <v>25</v>
      </c>
      <c r="H180" s="13">
        <v>30</v>
      </c>
      <c r="I180" s="13">
        <v>21</v>
      </c>
      <c r="J180" s="13">
        <v>30</v>
      </c>
      <c r="K180" s="13">
        <v>25</v>
      </c>
      <c r="L180" s="13">
        <v>30</v>
      </c>
      <c r="M180" s="13">
        <v>30</v>
      </c>
      <c r="N180" s="13">
        <v>27</v>
      </c>
      <c r="O180" s="13">
        <v>25</v>
      </c>
      <c r="P180" s="581">
        <v>36</v>
      </c>
    </row>
    <row r="181" spans="2:16" s="185" customFormat="1" ht="15.5">
      <c r="B181" s="220" t="s">
        <v>22</v>
      </c>
      <c r="C181" s="13">
        <v>0</v>
      </c>
      <c r="D181" s="13">
        <v>0</v>
      </c>
      <c r="E181" s="13">
        <v>0</v>
      </c>
      <c r="F181" s="13">
        <v>0</v>
      </c>
      <c r="G181" s="13">
        <v>0</v>
      </c>
      <c r="H181" s="13">
        <v>0</v>
      </c>
      <c r="I181" s="13">
        <v>0</v>
      </c>
      <c r="J181" s="13">
        <v>0</v>
      </c>
      <c r="K181" s="13">
        <v>0</v>
      </c>
      <c r="L181" s="13">
        <v>0</v>
      </c>
      <c r="M181" s="13">
        <v>0</v>
      </c>
      <c r="N181" s="13">
        <v>0</v>
      </c>
      <c r="O181" s="13">
        <v>0</v>
      </c>
      <c r="P181" s="581">
        <v>0</v>
      </c>
    </row>
    <row r="182" spans="2:16" s="1" customFormat="1" ht="15.5">
      <c r="B182" s="179" t="s">
        <v>23</v>
      </c>
      <c r="C182" s="13">
        <v>1637</v>
      </c>
      <c r="D182" s="13">
        <v>1842</v>
      </c>
      <c r="E182" s="13">
        <v>387</v>
      </c>
      <c r="F182" s="13">
        <v>462</v>
      </c>
      <c r="G182" s="13">
        <v>573</v>
      </c>
      <c r="H182" s="13">
        <v>591</v>
      </c>
      <c r="I182" s="13">
        <v>504</v>
      </c>
      <c r="J182" s="13">
        <v>493</v>
      </c>
      <c r="K182" s="13">
        <v>636</v>
      </c>
      <c r="L182" s="13">
        <v>701</v>
      </c>
      <c r="M182" s="13">
        <v>661</v>
      </c>
      <c r="N182" s="13">
        <v>695</v>
      </c>
      <c r="O182" s="13">
        <v>1758</v>
      </c>
      <c r="P182" s="581">
        <v>782</v>
      </c>
    </row>
    <row r="183" spans="2:16" s="185" customFormat="1" ht="15.5">
      <c r="B183" s="221" t="s">
        <v>24</v>
      </c>
      <c r="C183" s="222">
        <f t="shared" ref="C183:N183" si="47">+SUM(C179:C181)-C182</f>
        <v>12090</v>
      </c>
      <c r="D183" s="222">
        <f t="shared" si="47"/>
        <v>13687</v>
      </c>
      <c r="E183" s="222">
        <f t="shared" si="47"/>
        <v>3429</v>
      </c>
      <c r="F183" s="222">
        <f t="shared" si="47"/>
        <v>3736</v>
      </c>
      <c r="G183" s="222">
        <f t="shared" si="47"/>
        <v>3889</v>
      </c>
      <c r="H183" s="222">
        <f t="shared" si="47"/>
        <v>3931</v>
      </c>
      <c r="I183" s="222">
        <f t="shared" si="47"/>
        <v>4196</v>
      </c>
      <c r="J183" s="222">
        <f t="shared" si="47"/>
        <v>4274</v>
      </c>
      <c r="K183" s="222">
        <f t="shared" si="47"/>
        <v>3615</v>
      </c>
      <c r="L183" s="222">
        <f t="shared" si="47"/>
        <v>3865</v>
      </c>
      <c r="M183" s="222">
        <f t="shared" si="47"/>
        <v>3767</v>
      </c>
      <c r="N183" s="222">
        <f t="shared" si="47"/>
        <v>3965</v>
      </c>
      <c r="O183" s="290">
        <v>2959</v>
      </c>
      <c r="P183" s="582">
        <f>+SUM(P179:P181)-P182</f>
        <v>3965</v>
      </c>
    </row>
    <row r="184" spans="2:16" s="185" customFormat="1" ht="15.5">
      <c r="B184" s="223" t="s">
        <v>92</v>
      </c>
      <c r="C184" s="213">
        <f t="shared" ref="C184:N184" si="48">+C177+C183</f>
        <v>12090</v>
      </c>
      <c r="D184" s="213">
        <f t="shared" si="48"/>
        <v>13687</v>
      </c>
      <c r="E184" s="213">
        <f t="shared" si="48"/>
        <v>3429</v>
      </c>
      <c r="F184" s="213">
        <f t="shared" si="48"/>
        <v>3736</v>
      </c>
      <c r="G184" s="213">
        <f t="shared" si="48"/>
        <v>3889</v>
      </c>
      <c r="H184" s="213">
        <f t="shared" si="48"/>
        <v>3931</v>
      </c>
      <c r="I184" s="213">
        <f t="shared" si="48"/>
        <v>4196</v>
      </c>
      <c r="J184" s="213">
        <f t="shared" si="48"/>
        <v>4274</v>
      </c>
      <c r="K184" s="213">
        <f t="shared" si="48"/>
        <v>3615</v>
      </c>
      <c r="L184" s="213">
        <f t="shared" si="48"/>
        <v>3865</v>
      </c>
      <c r="M184" s="213">
        <f t="shared" si="48"/>
        <v>3767</v>
      </c>
      <c r="N184" s="213">
        <f t="shared" si="48"/>
        <v>3965</v>
      </c>
      <c r="O184" s="291">
        <v>2959</v>
      </c>
      <c r="P184" s="584">
        <f t="shared" ref="P184" si="49">+P177+P183</f>
        <v>3965</v>
      </c>
    </row>
    <row r="185" spans="2:16" s="185" customFormat="1" ht="15.5">
      <c r="B185" s="10"/>
      <c r="C185" s="181"/>
      <c r="D185" s="181"/>
      <c r="E185" s="181"/>
      <c r="F185" s="181"/>
      <c r="G185" s="181"/>
      <c r="H185" s="181"/>
      <c r="I185" s="181"/>
      <c r="J185" s="186"/>
      <c r="K185" s="186"/>
      <c r="L185" s="186"/>
      <c r="M185" s="181"/>
      <c r="N185" s="186"/>
      <c r="O185" s="186"/>
      <c r="P185" s="595"/>
    </row>
    <row r="186" spans="2:16" s="185" customFormat="1" ht="15.5">
      <c r="B186" s="179" t="s">
        <v>26</v>
      </c>
      <c r="C186" s="215">
        <v>3601</v>
      </c>
      <c r="D186" s="215">
        <v>4089</v>
      </c>
      <c r="E186" s="215">
        <v>975</v>
      </c>
      <c r="F186" s="215">
        <v>977</v>
      </c>
      <c r="G186" s="215">
        <v>975</v>
      </c>
      <c r="H186" s="215">
        <v>976</v>
      </c>
      <c r="I186" s="215">
        <v>901</v>
      </c>
      <c r="J186" s="215">
        <v>901</v>
      </c>
      <c r="K186" s="215">
        <v>900</v>
      </c>
      <c r="L186" s="215">
        <v>-596</v>
      </c>
      <c r="M186" s="215">
        <v>915</v>
      </c>
      <c r="N186" s="215">
        <v>915</v>
      </c>
      <c r="O186" s="289">
        <v>915</v>
      </c>
      <c r="P186" s="581">
        <v>972</v>
      </c>
    </row>
    <row r="187" spans="2:16" ht="15.5">
      <c r="B187" s="179" t="s">
        <v>27</v>
      </c>
      <c r="C187" s="13">
        <v>0</v>
      </c>
      <c r="D187" s="13">
        <v>0</v>
      </c>
      <c r="E187" s="13">
        <v>0</v>
      </c>
      <c r="F187" s="13">
        <v>0</v>
      </c>
      <c r="G187" s="13">
        <v>0</v>
      </c>
      <c r="H187" s="13">
        <v>0</v>
      </c>
      <c r="I187" s="13">
        <v>0</v>
      </c>
      <c r="J187" s="13">
        <v>0</v>
      </c>
      <c r="K187" s="13">
        <v>0</v>
      </c>
      <c r="L187" s="13">
        <v>0</v>
      </c>
      <c r="M187" s="13">
        <v>0</v>
      </c>
      <c r="N187" s="13">
        <v>0</v>
      </c>
      <c r="O187" s="13"/>
      <c r="P187" s="581">
        <v>0</v>
      </c>
    </row>
    <row r="188" spans="2:16" s="1" customFormat="1" ht="15.5">
      <c r="B188" s="179" t="s">
        <v>28</v>
      </c>
      <c r="C188" s="13">
        <v>-161</v>
      </c>
      <c r="D188" s="13">
        <v>-77</v>
      </c>
      <c r="E188" s="13">
        <v>-17</v>
      </c>
      <c r="F188" s="13">
        <v>-15</v>
      </c>
      <c r="G188" s="13">
        <v>0</v>
      </c>
      <c r="H188" s="13">
        <v>-22</v>
      </c>
      <c r="I188" s="13">
        <v>1</v>
      </c>
      <c r="J188" s="13">
        <v>0</v>
      </c>
      <c r="K188" s="13">
        <v>-1</v>
      </c>
      <c r="L188" s="13">
        <v>-3</v>
      </c>
      <c r="M188" s="13">
        <v>0</v>
      </c>
      <c r="N188" s="13">
        <v>-21</v>
      </c>
      <c r="O188" s="13">
        <v>54</v>
      </c>
      <c r="P188" s="581">
        <v>2</v>
      </c>
    </row>
    <row r="189" spans="2:16" s="1" customFormat="1" ht="15.5">
      <c r="B189" s="180" t="s">
        <v>29</v>
      </c>
      <c r="C189" s="18">
        <f t="shared" ref="C189:N189" si="50">C184-C186+C187+C188</f>
        <v>8328</v>
      </c>
      <c r="D189" s="18">
        <f t="shared" si="50"/>
        <v>9521</v>
      </c>
      <c r="E189" s="18">
        <f t="shared" si="50"/>
        <v>2437</v>
      </c>
      <c r="F189" s="18">
        <f t="shared" si="50"/>
        <v>2744</v>
      </c>
      <c r="G189" s="18">
        <f t="shared" si="50"/>
        <v>2914</v>
      </c>
      <c r="H189" s="18">
        <f t="shared" si="50"/>
        <v>2933</v>
      </c>
      <c r="I189" s="18">
        <f t="shared" si="50"/>
        <v>3296</v>
      </c>
      <c r="J189" s="18">
        <f t="shared" si="50"/>
        <v>3373</v>
      </c>
      <c r="K189" s="18">
        <f t="shared" si="50"/>
        <v>2714</v>
      </c>
      <c r="L189" s="18">
        <f t="shared" si="50"/>
        <v>4458</v>
      </c>
      <c r="M189" s="18">
        <f t="shared" si="50"/>
        <v>2852</v>
      </c>
      <c r="N189" s="18">
        <f t="shared" si="50"/>
        <v>3029</v>
      </c>
      <c r="O189" s="287">
        <v>2098</v>
      </c>
      <c r="P189" s="585">
        <f t="shared" ref="P189" si="51">P184-P186+P187+P188</f>
        <v>2995</v>
      </c>
    </row>
    <row r="190" spans="2:16" s="1" customFormat="1" ht="15.5">
      <c r="B190" s="179"/>
      <c r="C190" s="13"/>
      <c r="D190" s="13"/>
      <c r="E190" s="13"/>
      <c r="F190" s="13"/>
      <c r="G190" s="13"/>
      <c r="H190" s="13"/>
      <c r="I190" s="13"/>
      <c r="J190" s="13"/>
      <c r="K190" s="13"/>
      <c r="L190" s="13"/>
      <c r="M190" s="13"/>
      <c r="N190" s="13"/>
      <c r="O190" s="13"/>
      <c r="P190" s="581"/>
    </row>
    <row r="191" spans="2:16" ht="15.5">
      <c r="B191" s="179" t="s">
        <v>30</v>
      </c>
      <c r="C191" s="13">
        <v>-541</v>
      </c>
      <c r="D191" s="13">
        <v>-1453</v>
      </c>
      <c r="E191" s="13">
        <v>-355</v>
      </c>
      <c r="F191" s="13">
        <v>-399</v>
      </c>
      <c r="G191" s="13">
        <v>-365</v>
      </c>
      <c r="H191" s="13">
        <f>-1368-E191-F191+-G191</f>
        <v>-249</v>
      </c>
      <c r="I191" s="215">
        <v>-286</v>
      </c>
      <c r="J191" s="215">
        <v>-223</v>
      </c>
      <c r="K191" s="215">
        <v>-308</v>
      </c>
      <c r="L191" s="215">
        <v>-35</v>
      </c>
      <c r="M191" s="215">
        <v>-259</v>
      </c>
      <c r="N191" s="215">
        <v>-290</v>
      </c>
      <c r="O191" s="289">
        <v>-497</v>
      </c>
      <c r="P191" s="581">
        <v>863</v>
      </c>
    </row>
    <row r="192" spans="2:16" ht="15.5">
      <c r="B192" s="180" t="s">
        <v>31</v>
      </c>
      <c r="C192" s="18">
        <f>+C189+C191</f>
        <v>7787</v>
      </c>
      <c r="D192" s="18">
        <f t="shared" ref="D192:N192" si="52">+D189+D191</f>
        <v>8068</v>
      </c>
      <c r="E192" s="18">
        <f t="shared" si="52"/>
        <v>2082</v>
      </c>
      <c r="F192" s="18">
        <f t="shared" si="52"/>
        <v>2345</v>
      </c>
      <c r="G192" s="18">
        <f t="shared" si="52"/>
        <v>2549</v>
      </c>
      <c r="H192" s="18">
        <f t="shared" si="52"/>
        <v>2684</v>
      </c>
      <c r="I192" s="18">
        <f t="shared" si="52"/>
        <v>3010</v>
      </c>
      <c r="J192" s="18">
        <f t="shared" si="52"/>
        <v>3150</v>
      </c>
      <c r="K192" s="18">
        <f t="shared" si="52"/>
        <v>2406</v>
      </c>
      <c r="L192" s="18">
        <f t="shared" si="52"/>
        <v>4423</v>
      </c>
      <c r="M192" s="18">
        <f t="shared" si="52"/>
        <v>2593</v>
      </c>
      <c r="N192" s="18">
        <f t="shared" si="52"/>
        <v>2739</v>
      </c>
      <c r="O192" s="287">
        <v>1601</v>
      </c>
      <c r="P192" s="585">
        <f t="shared" ref="P192" si="53">+P189+P191</f>
        <v>3858</v>
      </c>
    </row>
    <row r="193" spans="1:16" s="1" customFormat="1" ht="15.5">
      <c r="B193" s="10"/>
      <c r="C193" s="181"/>
      <c r="D193" s="181"/>
      <c r="E193" s="181"/>
      <c r="F193" s="181"/>
      <c r="G193" s="181"/>
      <c r="H193" s="181"/>
      <c r="I193" s="181"/>
      <c r="J193" s="181"/>
      <c r="K193" s="181"/>
      <c r="L193" s="181"/>
      <c r="M193" s="181"/>
      <c r="N193" s="181"/>
      <c r="O193" s="181"/>
      <c r="P193" s="583"/>
    </row>
    <row r="194" spans="1:16" ht="15.5">
      <c r="B194" s="179" t="s">
        <v>32</v>
      </c>
      <c r="C194" s="13">
        <v>1728</v>
      </c>
      <c r="D194" s="13">
        <v>2015</v>
      </c>
      <c r="E194" s="215">
        <v>456</v>
      </c>
      <c r="F194" s="215">
        <v>517</v>
      </c>
      <c r="G194" s="215">
        <v>701</v>
      </c>
      <c r="H194" s="215">
        <v>558</v>
      </c>
      <c r="I194" s="13">
        <v>666</v>
      </c>
      <c r="J194" s="13">
        <v>742</v>
      </c>
      <c r="K194" s="13">
        <v>528</v>
      </c>
      <c r="L194" s="13">
        <v>959</v>
      </c>
      <c r="M194" s="215">
        <v>570</v>
      </c>
      <c r="N194" s="215">
        <v>679</v>
      </c>
      <c r="O194" s="289">
        <v>255</v>
      </c>
      <c r="P194" s="581">
        <v>449</v>
      </c>
    </row>
    <row r="195" spans="1:16" ht="15.5">
      <c r="B195" s="180" t="s">
        <v>35</v>
      </c>
      <c r="C195" s="18">
        <f>+C192-C194</f>
        <v>6059</v>
      </c>
      <c r="D195" s="18">
        <f t="shared" ref="D195:N195" si="54">+D192-D194</f>
        <v>6053</v>
      </c>
      <c r="E195" s="18">
        <f t="shared" si="54"/>
        <v>1626</v>
      </c>
      <c r="F195" s="18">
        <f t="shared" si="54"/>
        <v>1828</v>
      </c>
      <c r="G195" s="18">
        <f t="shared" si="54"/>
        <v>1848</v>
      </c>
      <c r="H195" s="18">
        <f t="shared" si="54"/>
        <v>2126</v>
      </c>
      <c r="I195" s="18">
        <f t="shared" si="54"/>
        <v>2344</v>
      </c>
      <c r="J195" s="18">
        <f t="shared" si="54"/>
        <v>2408</v>
      </c>
      <c r="K195" s="18">
        <f t="shared" si="54"/>
        <v>1878</v>
      </c>
      <c r="L195" s="18">
        <f t="shared" si="54"/>
        <v>3464</v>
      </c>
      <c r="M195" s="18">
        <f t="shared" si="54"/>
        <v>2023</v>
      </c>
      <c r="N195" s="18">
        <f t="shared" si="54"/>
        <v>2060</v>
      </c>
      <c r="O195" s="287">
        <v>1346</v>
      </c>
      <c r="P195" s="585">
        <f t="shared" ref="P195" si="55">+P192-P194</f>
        <v>3409</v>
      </c>
    </row>
    <row r="196" spans="1:16" s="1" customFormat="1">
      <c r="B196" s="182"/>
      <c r="C196" s="15"/>
      <c r="D196" s="15"/>
      <c r="E196" s="15"/>
      <c r="F196" s="15"/>
      <c r="G196" s="15"/>
      <c r="H196" s="15"/>
      <c r="I196" s="15"/>
      <c r="J196" s="15"/>
      <c r="K196" s="15"/>
      <c r="L196" s="15"/>
      <c r="M196" s="15"/>
      <c r="N196" s="15"/>
      <c r="O196" s="15"/>
    </row>
    <row r="197" spans="1:16">
      <c r="B197" s="5"/>
      <c r="C197" s="5"/>
      <c r="D197" s="5"/>
      <c r="E197" s="143"/>
      <c r="F197" s="224"/>
      <c r="G197" s="224"/>
      <c r="H197" s="224"/>
      <c r="I197" s="5"/>
      <c r="J197" s="5"/>
      <c r="K197" s="5"/>
      <c r="L197" s="5"/>
      <c r="M197" s="5"/>
      <c r="N197" s="5"/>
      <c r="O197" s="5"/>
    </row>
    <row r="198" spans="1:16" ht="15.5">
      <c r="A198" s="225" t="s">
        <v>492</v>
      </c>
      <c r="B198" s="212" t="s">
        <v>491</v>
      </c>
      <c r="C198" s="75"/>
      <c r="D198" s="75"/>
      <c r="E198" s="76"/>
      <c r="F198" s="75"/>
      <c r="G198" s="75"/>
      <c r="H198" s="75"/>
      <c r="I198" s="76"/>
      <c r="J198" s="75"/>
      <c r="K198" s="75"/>
      <c r="L198" s="75"/>
      <c r="M198" s="76"/>
      <c r="N198" s="75"/>
      <c r="O198" s="75"/>
    </row>
    <row r="199" spans="1:16">
      <c r="B199" s="142" t="s">
        <v>559</v>
      </c>
      <c r="C199" s="5"/>
      <c r="D199" s="5"/>
      <c r="E199" s="5"/>
      <c r="F199" s="5"/>
      <c r="G199" s="5"/>
      <c r="H199" s="5"/>
      <c r="I199" s="5"/>
      <c r="J199" s="5"/>
      <c r="K199" s="5"/>
      <c r="L199" s="5"/>
      <c r="M199" s="5"/>
      <c r="N199" s="5"/>
      <c r="O199" s="5"/>
    </row>
    <row r="200" spans="1:16" ht="15" thickBot="1">
      <c r="B200" s="78"/>
      <c r="C200" s="79">
        <v>2016</v>
      </c>
      <c r="D200" s="79">
        <v>2017</v>
      </c>
      <c r="E200" s="79" t="s">
        <v>3</v>
      </c>
      <c r="F200" s="79" t="s">
        <v>4</v>
      </c>
      <c r="G200" s="79" t="s">
        <v>5</v>
      </c>
      <c r="H200" s="79" t="s">
        <v>6</v>
      </c>
      <c r="I200" s="79" t="s">
        <v>7</v>
      </c>
      <c r="J200" s="79" t="s">
        <v>8</v>
      </c>
      <c r="K200" s="79" t="s">
        <v>9</v>
      </c>
      <c r="L200" s="79" t="s">
        <v>10</v>
      </c>
      <c r="M200" s="79" t="s">
        <v>11</v>
      </c>
      <c r="N200" s="79" t="s">
        <v>12</v>
      </c>
      <c r="O200" s="79" t="s">
        <v>531</v>
      </c>
      <c r="P200" s="580" t="s">
        <v>1111</v>
      </c>
    </row>
    <row r="201" spans="1:16" ht="15" thickBot="1">
      <c r="B201" s="56" t="s">
        <v>37</v>
      </c>
      <c r="C201" s="57"/>
      <c r="D201" s="57"/>
      <c r="E201" s="57"/>
      <c r="F201" s="57"/>
      <c r="G201" s="57"/>
      <c r="H201" s="57"/>
      <c r="I201" s="57"/>
      <c r="J201" s="57"/>
      <c r="K201" s="57"/>
      <c r="L201" s="57"/>
      <c r="M201" s="57"/>
      <c r="N201" s="57"/>
      <c r="O201" s="57"/>
      <c r="P201" s="57"/>
    </row>
    <row r="202" spans="1:16" s="1" customFormat="1" ht="15" thickBot="1">
      <c r="B202" s="58" t="s">
        <v>38</v>
      </c>
      <c r="C202" s="59"/>
      <c r="D202" s="59"/>
      <c r="E202" s="59"/>
      <c r="F202" s="59"/>
      <c r="G202" s="59"/>
      <c r="H202" s="59"/>
      <c r="I202" s="59"/>
      <c r="J202" s="59"/>
      <c r="K202" s="59"/>
      <c r="L202" s="59"/>
      <c r="M202" s="59"/>
      <c r="N202" s="194"/>
      <c r="O202" s="194"/>
      <c r="P202" s="194"/>
    </row>
    <row r="203" spans="1:16" ht="16" thickBot="1">
      <c r="B203" s="60" t="s">
        <v>39</v>
      </c>
      <c r="C203" s="61">
        <v>4811.0870000000004</v>
      </c>
      <c r="D203" s="61">
        <v>7632.4707900000003</v>
      </c>
      <c r="E203" s="61">
        <v>2960.3437300000001</v>
      </c>
      <c r="F203" s="61">
        <v>4209.6983300000002</v>
      </c>
      <c r="G203" s="61">
        <v>5845.4695499999998</v>
      </c>
      <c r="H203" s="61">
        <v>6241.0284299999994</v>
      </c>
      <c r="I203" s="61">
        <v>4340.3495800000001</v>
      </c>
      <c r="J203" s="61">
        <v>0</v>
      </c>
      <c r="K203" s="61">
        <v>820.54024000000004</v>
      </c>
      <c r="L203" s="61">
        <v>4524.85167</v>
      </c>
      <c r="M203" s="61">
        <v>6892.5769099999998</v>
      </c>
      <c r="N203" s="61">
        <v>2431.4656600000003</v>
      </c>
      <c r="O203" s="61">
        <v>2740</v>
      </c>
      <c r="P203" s="596">
        <v>1225</v>
      </c>
    </row>
    <row r="204" spans="1:16" ht="16" thickBot="1">
      <c r="B204" s="60" t="s">
        <v>185</v>
      </c>
      <c r="C204" s="61">
        <v>1794.2190000000001</v>
      </c>
      <c r="D204" s="61">
        <v>1689.6590000000001</v>
      </c>
      <c r="E204" s="61">
        <v>1757.05223</v>
      </c>
      <c r="F204" s="61">
        <v>2214.33592</v>
      </c>
      <c r="G204" s="61">
        <v>2150.4177799999998</v>
      </c>
      <c r="H204" s="61">
        <v>2119.5779400000001</v>
      </c>
      <c r="I204" s="61">
        <v>2170.3915000000002</v>
      </c>
      <c r="J204" s="61">
        <v>2461.7483900000002</v>
      </c>
      <c r="K204" s="61">
        <v>1860.9651399999998</v>
      </c>
      <c r="L204" s="61">
        <v>1303.0773200000001</v>
      </c>
      <c r="M204" s="61">
        <v>1222.0773200000001</v>
      </c>
      <c r="N204" s="61">
        <v>1601.5922399999999</v>
      </c>
      <c r="O204" s="61">
        <v>1589</v>
      </c>
      <c r="P204" s="596">
        <v>1419</v>
      </c>
    </row>
    <row r="205" spans="1:16" ht="16" thickBot="1">
      <c r="B205" s="60" t="s">
        <v>186</v>
      </c>
      <c r="C205" s="61">
        <v>1525.7124199999998</v>
      </c>
      <c r="D205" s="61">
        <v>26.759</v>
      </c>
      <c r="E205" s="61">
        <v>1407.26495</v>
      </c>
      <c r="F205" s="61">
        <v>26.091549999999998</v>
      </c>
      <c r="G205" s="61">
        <v>98.800350000000009</v>
      </c>
      <c r="H205" s="61">
        <v>94.047300000000007</v>
      </c>
      <c r="I205" s="61">
        <v>101.66050999999999</v>
      </c>
      <c r="J205" s="61">
        <v>85.848479999999995</v>
      </c>
      <c r="K205" s="61">
        <v>63.200269999999996</v>
      </c>
      <c r="L205" s="61">
        <v>74.429369999999992</v>
      </c>
      <c r="M205" s="61">
        <v>68.628219999999999</v>
      </c>
      <c r="N205" s="61">
        <v>147.84021999999999</v>
      </c>
      <c r="O205" s="61">
        <v>218</v>
      </c>
      <c r="P205" s="596">
        <v>204</v>
      </c>
    </row>
    <row r="206" spans="1:16" s="1" customFormat="1" ht="16" thickBot="1">
      <c r="B206" s="60" t="s">
        <v>187</v>
      </c>
      <c r="C206" s="61">
        <v>1.4590000000000001</v>
      </c>
      <c r="D206" s="61">
        <v>0</v>
      </c>
      <c r="E206" s="61">
        <v>0.50731000000000004</v>
      </c>
      <c r="F206" s="61">
        <v>0</v>
      </c>
      <c r="G206" s="61">
        <v>0</v>
      </c>
      <c r="H206" s="61">
        <v>0</v>
      </c>
      <c r="I206" s="61">
        <v>0</v>
      </c>
      <c r="J206" s="61">
        <v>5.6841999999999997</v>
      </c>
      <c r="K206" s="61">
        <v>5.1675300000000002</v>
      </c>
      <c r="L206" s="61">
        <v>14.872110000000001</v>
      </c>
      <c r="M206" s="61">
        <v>-3.1183400000000003</v>
      </c>
      <c r="N206" s="61">
        <v>7.8630800000000001</v>
      </c>
      <c r="O206" s="61">
        <v>10</v>
      </c>
      <c r="P206" s="596">
        <v>19</v>
      </c>
    </row>
    <row r="207" spans="1:16" s="1" customFormat="1" ht="16" thickBot="1">
      <c r="B207" s="60" t="s">
        <v>113</v>
      </c>
      <c r="C207" s="61">
        <v>1129.095</v>
      </c>
      <c r="D207" s="61">
        <v>1147.7450800000001</v>
      </c>
      <c r="E207" s="61">
        <v>1158.82708</v>
      </c>
      <c r="F207" s="61">
        <v>1204.0717099999999</v>
      </c>
      <c r="G207" s="61">
        <v>1224.7464299999999</v>
      </c>
      <c r="H207" s="61">
        <v>1335.0415600000001</v>
      </c>
      <c r="I207" s="61">
        <v>1327.07656</v>
      </c>
      <c r="J207" s="61">
        <v>1327.07656</v>
      </c>
      <c r="K207" s="61">
        <v>1323.5245300000001</v>
      </c>
      <c r="L207" s="61">
        <v>1204.7401599999998</v>
      </c>
      <c r="M207" s="61">
        <v>1204.7401599999998</v>
      </c>
      <c r="N207" s="61">
        <v>1194.7401599999998</v>
      </c>
      <c r="O207" s="61">
        <v>1195</v>
      </c>
      <c r="P207" s="596">
        <v>1169</v>
      </c>
    </row>
    <row r="208" spans="1:16" s="1" customFormat="1" ht="16" thickBot="1">
      <c r="B208" s="60" t="s">
        <v>188</v>
      </c>
      <c r="C208" s="61">
        <v>36.016580000000005</v>
      </c>
      <c r="D208" s="61">
        <v>0</v>
      </c>
      <c r="E208" s="61">
        <v>0</v>
      </c>
      <c r="F208" s="61">
        <v>0</v>
      </c>
      <c r="G208" s="61">
        <v>0</v>
      </c>
      <c r="H208" s="61">
        <v>0</v>
      </c>
      <c r="I208" s="61">
        <v>0</v>
      </c>
      <c r="J208" s="61">
        <v>0</v>
      </c>
      <c r="K208" s="61">
        <v>0</v>
      </c>
      <c r="L208" s="61">
        <v>0</v>
      </c>
      <c r="M208" s="61">
        <v>0</v>
      </c>
      <c r="N208" s="61">
        <v>0</v>
      </c>
      <c r="O208" s="61">
        <v>0</v>
      </c>
      <c r="P208" s="596">
        <v>0</v>
      </c>
    </row>
    <row r="209" spans="2:16" s="1" customFormat="1" ht="16" thickBot="1">
      <c r="B209" s="60" t="s">
        <v>189</v>
      </c>
      <c r="C209" s="61">
        <v>3.9380000000000002</v>
      </c>
      <c r="D209" s="61">
        <v>79.573170000000005</v>
      </c>
      <c r="E209" s="61">
        <v>18.140130000000003</v>
      </c>
      <c r="F209" s="61">
        <v>8.1252899999999997</v>
      </c>
      <c r="G209" s="61">
        <v>189.06744</v>
      </c>
      <c r="H209" s="61">
        <v>155.42836</v>
      </c>
      <c r="I209" s="61">
        <v>122.40894</v>
      </c>
      <c r="J209" s="61">
        <v>81.904800000000009</v>
      </c>
      <c r="K209" s="61">
        <v>42.55077</v>
      </c>
      <c r="L209" s="61">
        <v>35.402749999999997</v>
      </c>
      <c r="M209" s="61">
        <v>187.86411999999999</v>
      </c>
      <c r="N209" s="61">
        <v>145.20313000000002</v>
      </c>
      <c r="O209" s="61">
        <v>97</v>
      </c>
      <c r="P209" s="596">
        <v>117</v>
      </c>
    </row>
    <row r="210" spans="2:16" s="185" customFormat="1" ht="16" thickBot="1">
      <c r="B210" s="243" t="s">
        <v>1112</v>
      </c>
      <c r="C210" s="50"/>
      <c r="D210" s="50"/>
      <c r="E210" s="50"/>
      <c r="F210" s="50"/>
      <c r="G210" s="50"/>
      <c r="H210" s="50"/>
      <c r="I210" s="50"/>
      <c r="J210" s="50"/>
      <c r="K210" s="50"/>
      <c r="L210" s="50"/>
      <c r="M210" s="50"/>
      <c r="N210" s="50"/>
      <c r="O210" s="50"/>
      <c r="P210" s="597">
        <v>3342</v>
      </c>
    </row>
    <row r="211" spans="2:16" s="205" customFormat="1" ht="15.5" thickBot="1">
      <c r="B211" s="210" t="s">
        <v>45</v>
      </c>
      <c r="C211" s="195">
        <f t="shared" ref="C211:N211" si="56">SUM(C203:C209)</f>
        <v>9301.527</v>
      </c>
      <c r="D211" s="195">
        <f t="shared" si="56"/>
        <v>10576.207040000001</v>
      </c>
      <c r="E211" s="195">
        <f t="shared" si="56"/>
        <v>7302.1354299999994</v>
      </c>
      <c r="F211" s="195">
        <f t="shared" si="56"/>
        <v>7662.3228000000008</v>
      </c>
      <c r="G211" s="195">
        <f t="shared" si="56"/>
        <v>9508.5015500000009</v>
      </c>
      <c r="H211" s="195">
        <f t="shared" si="56"/>
        <v>9945.1235899999992</v>
      </c>
      <c r="I211" s="195">
        <f t="shared" si="56"/>
        <v>8061.8870899999993</v>
      </c>
      <c r="J211" s="195">
        <f t="shared" si="56"/>
        <v>3962.2624300000002</v>
      </c>
      <c r="K211" s="195">
        <f t="shared" si="56"/>
        <v>4115.94848</v>
      </c>
      <c r="L211" s="195">
        <f t="shared" si="56"/>
        <v>7157.37338</v>
      </c>
      <c r="M211" s="195">
        <f t="shared" si="56"/>
        <v>9572.7683899999993</v>
      </c>
      <c r="N211" s="195">
        <f t="shared" si="56"/>
        <v>5528.7044900000001</v>
      </c>
      <c r="O211" s="195">
        <v>5849</v>
      </c>
      <c r="P211" s="586">
        <f>SUM(P203:P210)</f>
        <v>7495</v>
      </c>
    </row>
    <row r="212" spans="2:16" s="205" customFormat="1" ht="15.5" thickBot="1">
      <c r="B212" s="211" t="s">
        <v>46</v>
      </c>
      <c r="C212" s="194"/>
      <c r="D212" s="194"/>
      <c r="E212" s="194"/>
      <c r="F212" s="194"/>
      <c r="G212" s="194"/>
      <c r="H212" s="194"/>
      <c r="I212" s="194"/>
      <c r="J212" s="194"/>
      <c r="K212" s="194"/>
      <c r="L212" s="194"/>
      <c r="M212" s="194"/>
      <c r="N212" s="194"/>
      <c r="O212" s="194"/>
      <c r="P212" s="587"/>
    </row>
    <row r="213" spans="2:16" s="1" customFormat="1" ht="16" thickBot="1">
      <c r="B213" s="60" t="s">
        <v>190</v>
      </c>
      <c r="C213" s="61"/>
      <c r="D213" s="61"/>
      <c r="E213" s="61"/>
      <c r="F213" s="61"/>
      <c r="G213" s="61"/>
      <c r="H213" s="61"/>
      <c r="I213" s="61"/>
      <c r="J213" s="61"/>
      <c r="K213" s="61"/>
      <c r="L213" s="61">
        <v>0</v>
      </c>
      <c r="M213" s="61">
        <v>0</v>
      </c>
      <c r="N213" s="202">
        <v>0</v>
      </c>
      <c r="O213" s="202">
        <v>0</v>
      </c>
      <c r="P213" s="598">
        <v>0</v>
      </c>
    </row>
    <row r="214" spans="2:16" ht="16" thickBot="1">
      <c r="B214" s="60" t="s">
        <v>191</v>
      </c>
      <c r="C214" s="61">
        <v>0.26</v>
      </c>
      <c r="D214" s="61">
        <v>0.20399999999999999</v>
      </c>
      <c r="E214" s="61">
        <v>0.19800000000000001</v>
      </c>
      <c r="F214" s="61">
        <v>0.16600000000000001</v>
      </c>
      <c r="G214" s="61">
        <v>0.17299999999999999</v>
      </c>
      <c r="H214" s="61">
        <v>0.17599999999999999</v>
      </c>
      <c r="I214" s="61">
        <v>4.8000000000000001E-2</v>
      </c>
      <c r="J214" s="61">
        <v>0.14599999999999999</v>
      </c>
      <c r="K214" s="61">
        <v>0.158</v>
      </c>
      <c r="L214" s="61">
        <v>0.224</v>
      </c>
      <c r="M214" s="61">
        <v>0.189</v>
      </c>
      <c r="N214" s="61">
        <v>0.14199999999999999</v>
      </c>
      <c r="O214" s="61">
        <v>158463</v>
      </c>
      <c r="P214" s="596">
        <v>160069</v>
      </c>
    </row>
    <row r="215" spans="2:16" ht="16" thickBot="1">
      <c r="B215" s="60" t="s">
        <v>192</v>
      </c>
      <c r="C215" s="61">
        <v>49.704000000000001</v>
      </c>
      <c r="D215" s="61">
        <v>47.05189</v>
      </c>
      <c r="E215" s="61">
        <v>46.38879</v>
      </c>
      <c r="F215" s="61">
        <v>45.725699999999996</v>
      </c>
      <c r="G215" s="61">
        <v>45.062609999999999</v>
      </c>
      <c r="H215" s="61">
        <v>44.399519999999995</v>
      </c>
      <c r="I215" s="61">
        <v>43.736419999999995</v>
      </c>
      <c r="J215" s="61">
        <v>43.073329999999999</v>
      </c>
      <c r="K215" s="61">
        <v>42.410239999999995</v>
      </c>
      <c r="L215" s="61">
        <v>52.997150000000005</v>
      </c>
      <c r="M215" s="61">
        <v>52.334050000000005</v>
      </c>
      <c r="N215" s="61">
        <v>51.670960000000001</v>
      </c>
      <c r="O215" s="61">
        <v>51</v>
      </c>
      <c r="P215" s="596">
        <v>58</v>
      </c>
    </row>
    <row r="216" spans="2:16" s="1" customFormat="1" ht="16" thickBot="1">
      <c r="B216" s="60" t="s">
        <v>193</v>
      </c>
      <c r="C216" s="61">
        <v>56040.737999999998</v>
      </c>
      <c r="D216" s="61">
        <v>52615.105539999997</v>
      </c>
      <c r="E216" s="61">
        <v>51750.887499999997</v>
      </c>
      <c r="F216" s="61">
        <v>50886.669439999998</v>
      </c>
      <c r="G216" s="61">
        <v>50022.451420000005</v>
      </c>
      <c r="H216" s="61">
        <v>49158.233390000001</v>
      </c>
      <c r="I216" s="61">
        <v>48294.015350000001</v>
      </c>
      <c r="J216" s="61">
        <v>47425.467840000005</v>
      </c>
      <c r="K216" s="61">
        <v>46561.30833</v>
      </c>
      <c r="L216" s="61">
        <v>47570.886610000001</v>
      </c>
      <c r="M216" s="61">
        <v>46841.211670000004</v>
      </c>
      <c r="N216" s="61">
        <v>46111.537020000003</v>
      </c>
      <c r="O216" s="61">
        <v>45382</v>
      </c>
      <c r="P216" s="596">
        <v>44652</v>
      </c>
    </row>
    <row r="217" spans="2:16" s="1" customFormat="1" ht="16" thickBot="1">
      <c r="B217" s="60" t="s">
        <v>194</v>
      </c>
      <c r="C217" s="61">
        <v>871.41300000000001</v>
      </c>
      <c r="D217" s="61">
        <v>535.50527</v>
      </c>
      <c r="E217" s="61">
        <v>565.4166899999999</v>
      </c>
      <c r="F217" s="61">
        <v>744.12060999999994</v>
      </c>
      <c r="G217" s="61">
        <v>636.98600999999996</v>
      </c>
      <c r="H217" s="61">
        <v>645.24162000000001</v>
      </c>
      <c r="I217" s="61">
        <v>652.8723</v>
      </c>
      <c r="J217" s="61">
        <v>653.57219999999995</v>
      </c>
      <c r="K217" s="61">
        <v>602.31506000000002</v>
      </c>
      <c r="L217" s="61">
        <v>228.29979999999998</v>
      </c>
      <c r="M217" s="61">
        <v>237.64404999999999</v>
      </c>
      <c r="N217" s="61">
        <v>233.39692000000002</v>
      </c>
      <c r="O217" s="61">
        <v>347</v>
      </c>
      <c r="P217" s="596">
        <v>278</v>
      </c>
    </row>
    <row r="218" spans="2:16" s="1" customFormat="1" ht="15.5" thickBot="1">
      <c r="B218" s="58" t="s">
        <v>59</v>
      </c>
      <c r="C218" s="64">
        <f t="shared" ref="C218" si="57">SUM(C213:C217)</f>
        <v>56962.114999999998</v>
      </c>
      <c r="D218" s="64">
        <f t="shared" ref="D218:N218" si="58">SUM(D213:D217)</f>
        <v>53197.866699999999</v>
      </c>
      <c r="E218" s="64">
        <f t="shared" si="58"/>
        <v>52362.890979999996</v>
      </c>
      <c r="F218" s="64">
        <f t="shared" si="58"/>
        <v>51676.681749999996</v>
      </c>
      <c r="G218" s="64">
        <f t="shared" si="58"/>
        <v>50704.673040000009</v>
      </c>
      <c r="H218" s="64">
        <f t="shared" si="58"/>
        <v>49848.05053</v>
      </c>
      <c r="I218" s="64">
        <f t="shared" si="58"/>
        <v>48990.672070000008</v>
      </c>
      <c r="J218" s="64">
        <f t="shared" si="58"/>
        <v>48122.259370000007</v>
      </c>
      <c r="K218" s="64">
        <f t="shared" si="58"/>
        <v>47206.191630000001</v>
      </c>
      <c r="L218" s="64">
        <f t="shared" si="58"/>
        <v>47852.40756</v>
      </c>
      <c r="M218" s="64">
        <f t="shared" si="58"/>
        <v>47131.37877000001</v>
      </c>
      <c r="N218" s="64">
        <f t="shared" si="58"/>
        <v>46396.746900000006</v>
      </c>
      <c r="O218" s="64">
        <v>204243</v>
      </c>
      <c r="P218" s="599">
        <f>SUM(P213:P217)</f>
        <v>205057</v>
      </c>
    </row>
    <row r="219" spans="2:16" s="1" customFormat="1" ht="15.5" thickBot="1">
      <c r="B219" s="65" t="s">
        <v>60</v>
      </c>
      <c r="C219" s="66">
        <f>+C211+C218</f>
        <v>66263.641999999993</v>
      </c>
      <c r="D219" s="66">
        <f t="shared" ref="D219:N219" si="59">+D211+D218</f>
        <v>63774.07374</v>
      </c>
      <c r="E219" s="66">
        <f t="shared" si="59"/>
        <v>59665.026409999999</v>
      </c>
      <c r="F219" s="66">
        <f t="shared" si="59"/>
        <v>59339.004549999998</v>
      </c>
      <c r="G219" s="66">
        <f t="shared" si="59"/>
        <v>60213.17459000001</v>
      </c>
      <c r="H219" s="66">
        <f t="shared" si="59"/>
        <v>59793.174119999996</v>
      </c>
      <c r="I219" s="66">
        <f t="shared" si="59"/>
        <v>57052.559160000004</v>
      </c>
      <c r="J219" s="66">
        <f t="shared" si="59"/>
        <v>52084.52180000001</v>
      </c>
      <c r="K219" s="66">
        <f t="shared" si="59"/>
        <v>51322.14011</v>
      </c>
      <c r="L219" s="66">
        <f t="shared" si="59"/>
        <v>55009.780939999997</v>
      </c>
      <c r="M219" s="66">
        <f t="shared" si="59"/>
        <v>56704.147160000008</v>
      </c>
      <c r="N219" s="66">
        <f t="shared" si="59"/>
        <v>51925.451390000002</v>
      </c>
      <c r="O219" s="66">
        <v>210092</v>
      </c>
      <c r="P219" s="600">
        <f t="shared" ref="P219" si="60">+P211+P218</f>
        <v>212552</v>
      </c>
    </row>
    <row r="220" spans="2:16" s="1" customFormat="1" ht="15.5" thickBot="1">
      <c r="B220" s="67"/>
      <c r="C220" s="68"/>
      <c r="D220" s="68"/>
      <c r="E220" s="68"/>
      <c r="F220" s="68"/>
      <c r="G220" s="68"/>
      <c r="H220" s="68"/>
      <c r="I220" s="68"/>
      <c r="J220" s="68"/>
      <c r="K220" s="68"/>
      <c r="L220" s="68"/>
      <c r="M220" s="68"/>
      <c r="N220" s="198"/>
      <c r="O220" s="198"/>
      <c r="P220" s="590"/>
    </row>
    <row r="221" spans="2:16" ht="15.5" thickBot="1">
      <c r="B221" s="56" t="s">
        <v>61</v>
      </c>
      <c r="C221" s="69"/>
      <c r="D221" s="69"/>
      <c r="E221" s="69"/>
      <c r="F221" s="69"/>
      <c r="G221" s="69"/>
      <c r="H221" s="69"/>
      <c r="I221" s="69"/>
      <c r="J221" s="69"/>
      <c r="K221" s="69"/>
      <c r="L221" s="69"/>
      <c r="M221" s="69"/>
      <c r="N221" s="199"/>
      <c r="O221" s="199"/>
      <c r="P221" s="601"/>
    </row>
    <row r="222" spans="2:16" ht="15.5" thickBot="1">
      <c r="B222" s="58" t="s">
        <v>62</v>
      </c>
      <c r="C222" s="70"/>
      <c r="D222" s="70"/>
      <c r="E222" s="70"/>
      <c r="F222" s="70"/>
      <c r="G222" s="70"/>
      <c r="H222" s="70"/>
      <c r="I222" s="70"/>
      <c r="J222" s="70"/>
      <c r="K222" s="70"/>
      <c r="L222" s="70"/>
      <c r="M222" s="70"/>
      <c r="N222" s="200"/>
      <c r="O222" s="200"/>
      <c r="P222" s="602"/>
    </row>
    <row r="223" spans="2:16" ht="16" thickBot="1">
      <c r="B223" s="60" t="s">
        <v>195</v>
      </c>
      <c r="C223" s="61">
        <v>0</v>
      </c>
      <c r="D223" s="61">
        <v>0</v>
      </c>
      <c r="E223" s="61">
        <v>0</v>
      </c>
      <c r="F223" s="61">
        <v>0</v>
      </c>
      <c r="G223" s="61">
        <v>0</v>
      </c>
      <c r="H223" s="61">
        <v>0</v>
      </c>
      <c r="I223" s="61">
        <v>0</v>
      </c>
      <c r="J223" s="61">
        <v>1240.6630500000001</v>
      </c>
      <c r="K223" s="61">
        <v>0</v>
      </c>
      <c r="L223" s="61">
        <v>0</v>
      </c>
      <c r="M223" s="61">
        <v>0</v>
      </c>
      <c r="N223" s="61">
        <v>0</v>
      </c>
      <c r="O223" s="61">
        <v>0</v>
      </c>
      <c r="P223" s="596">
        <v>0</v>
      </c>
    </row>
    <row r="224" spans="2:16" ht="16" thickBot="1">
      <c r="B224" s="60" t="s">
        <v>196</v>
      </c>
      <c r="C224" s="61">
        <v>2089.9720000000002</v>
      </c>
      <c r="D224" s="61">
        <v>262.15836999999999</v>
      </c>
      <c r="E224" s="61">
        <v>100.83333</v>
      </c>
      <c r="F224" s="61">
        <v>104.45219</v>
      </c>
      <c r="G224" s="61">
        <v>107.15575</v>
      </c>
      <c r="H224" s="61">
        <v>127.10474000000001</v>
      </c>
      <c r="I224" s="61">
        <v>115.89825999999999</v>
      </c>
      <c r="J224" s="61">
        <v>52.311879999999995</v>
      </c>
      <c r="K224" s="61">
        <v>111.28141000000001</v>
      </c>
      <c r="L224" s="61">
        <v>227.55151999999998</v>
      </c>
      <c r="M224" s="61">
        <v>247.11226000000002</v>
      </c>
      <c r="N224" s="61">
        <v>121.59957</v>
      </c>
      <c r="O224" s="61">
        <v>389</v>
      </c>
      <c r="P224" s="596">
        <v>479</v>
      </c>
    </row>
    <row r="225" spans="2:16" ht="16" thickBot="1">
      <c r="B225" s="60" t="s">
        <v>197</v>
      </c>
      <c r="C225" s="61">
        <v>40.892000000000003</v>
      </c>
      <c r="D225" s="61">
        <v>184.137</v>
      </c>
      <c r="E225" s="61">
        <v>1636.48748</v>
      </c>
      <c r="F225" s="61">
        <v>227.46798000000001</v>
      </c>
      <c r="G225" s="61">
        <v>236.20139</v>
      </c>
      <c r="H225" s="61">
        <v>230.71124000000006</v>
      </c>
      <c r="I225" s="61">
        <v>306.72906999999992</v>
      </c>
      <c r="J225" s="61">
        <v>271.56617</v>
      </c>
      <c r="K225" s="61">
        <v>259.90174000000002</v>
      </c>
      <c r="L225" s="61">
        <v>217.59421999999998</v>
      </c>
      <c r="M225" s="61">
        <v>224.76383000000001</v>
      </c>
      <c r="N225" s="61">
        <v>240.35527999999999</v>
      </c>
      <c r="O225" s="61">
        <v>235</v>
      </c>
      <c r="P225" s="596">
        <v>159</v>
      </c>
    </row>
    <row r="226" spans="2:16" s="1" customFormat="1" ht="16" thickBot="1">
      <c r="B226" s="60" t="s">
        <v>198</v>
      </c>
      <c r="C226" s="61">
        <v>11.651</v>
      </c>
      <c r="D226" s="61">
        <v>0</v>
      </c>
      <c r="E226" s="61">
        <v>17.333490000000001</v>
      </c>
      <c r="F226" s="61">
        <v>3.9153699999999998</v>
      </c>
      <c r="G226" s="61">
        <v>2.7907100000000002</v>
      </c>
      <c r="H226" s="61">
        <v>1.9128800000000001</v>
      </c>
      <c r="I226" s="61">
        <v>3.62263</v>
      </c>
      <c r="J226" s="61">
        <v>0</v>
      </c>
      <c r="K226" s="61">
        <v>0</v>
      </c>
      <c r="L226" s="61">
        <v>0</v>
      </c>
      <c r="M226" s="61">
        <v>0</v>
      </c>
      <c r="N226" s="61">
        <v>0</v>
      </c>
      <c r="O226" s="61">
        <v>0</v>
      </c>
      <c r="P226" s="596">
        <v>0</v>
      </c>
    </row>
    <row r="227" spans="2:16" s="1" customFormat="1" ht="16" thickBot="1">
      <c r="B227" s="60" t="s">
        <v>199</v>
      </c>
      <c r="C227" s="61">
        <v>483.81599999999997</v>
      </c>
      <c r="D227" s="61">
        <v>399.12099999999998</v>
      </c>
      <c r="E227" s="61">
        <v>325.68234999999999</v>
      </c>
      <c r="F227" s="61">
        <v>317.73381999999992</v>
      </c>
      <c r="G227" s="61">
        <v>310.14509999999996</v>
      </c>
      <c r="H227" s="61">
        <v>49.533729999999984</v>
      </c>
      <c r="I227" s="61">
        <v>20.591940000000061</v>
      </c>
      <c r="J227" s="61">
        <v>24.260960000000079</v>
      </c>
      <c r="K227" s="61">
        <v>27.394239999999932</v>
      </c>
      <c r="L227" s="61">
        <v>38.132859999999987</v>
      </c>
      <c r="M227" s="61">
        <v>38.321949999999951</v>
      </c>
      <c r="N227" s="61">
        <v>44.198779999999914</v>
      </c>
      <c r="O227" s="61">
        <v>-985</v>
      </c>
      <c r="P227" s="596">
        <v>275</v>
      </c>
    </row>
    <row r="228" spans="2:16" s="1" customFormat="1" ht="16" thickBot="1">
      <c r="B228" s="60" t="s">
        <v>200</v>
      </c>
      <c r="C228" s="61">
        <v>536.35900000000004</v>
      </c>
      <c r="D228" s="61">
        <v>583.25800000000004</v>
      </c>
      <c r="E228" s="61">
        <v>1979.5033199999998</v>
      </c>
      <c r="F228" s="61">
        <v>549.11716999999987</v>
      </c>
      <c r="G228" s="61">
        <v>549.13720000000001</v>
      </c>
      <c r="H228" s="61">
        <v>282.15785000000005</v>
      </c>
      <c r="I228" s="61">
        <v>330.94364000000002</v>
      </c>
      <c r="J228" s="61">
        <v>295.82713000000007</v>
      </c>
      <c r="K228" s="61">
        <v>287.29597999999999</v>
      </c>
      <c r="L228" s="61">
        <v>255.72707999999994</v>
      </c>
      <c r="M228" s="61">
        <v>263.08577999999994</v>
      </c>
      <c r="N228" s="61">
        <v>284.55405999999994</v>
      </c>
      <c r="O228" s="61">
        <v>-750</v>
      </c>
      <c r="P228" s="596">
        <v>435</v>
      </c>
    </row>
    <row r="229" spans="2:16" s="1" customFormat="1" ht="16" thickBot="1">
      <c r="B229" s="60" t="s">
        <v>201</v>
      </c>
      <c r="C229" s="61">
        <v>321.90899999999999</v>
      </c>
      <c r="D229" s="61">
        <v>117.44467</v>
      </c>
      <c r="E229" s="61">
        <v>135.73020000000002</v>
      </c>
      <c r="F229" s="61">
        <v>61.590290000000003</v>
      </c>
      <c r="G229" s="61">
        <v>10.50412</v>
      </c>
      <c r="H229" s="61">
        <v>77.913679999999999</v>
      </c>
      <c r="I229" s="61">
        <v>7436.6472800000001</v>
      </c>
      <c r="J229" s="61">
        <v>159.73886999999999</v>
      </c>
      <c r="K229" s="61">
        <v>95.959039999999987</v>
      </c>
      <c r="L229" s="61">
        <v>201.55891</v>
      </c>
      <c r="M229" s="61">
        <v>216.07115999999999</v>
      </c>
      <c r="N229" s="61">
        <v>-4.6391200000000001</v>
      </c>
      <c r="O229" s="61">
        <v>77</v>
      </c>
      <c r="P229" s="596">
        <v>89</v>
      </c>
    </row>
    <row r="230" spans="2:16" s="1" customFormat="1" ht="16" thickBot="1">
      <c r="B230" s="60" t="s">
        <v>202</v>
      </c>
      <c r="C230" s="61">
        <v>504.51900000000001</v>
      </c>
      <c r="D230" s="61">
        <v>6.6830600000000002</v>
      </c>
      <c r="E230" s="61">
        <v>-13.63313</v>
      </c>
      <c r="F230" s="61">
        <v>219.48492000000002</v>
      </c>
      <c r="G230" s="61">
        <v>288.99624</v>
      </c>
      <c r="H230" s="61">
        <v>348.58605999999997</v>
      </c>
      <c r="I230" s="61">
        <v>445.79001</v>
      </c>
      <c r="J230" s="61">
        <v>359.95370000000003</v>
      </c>
      <c r="K230" s="61">
        <v>251.30396999999999</v>
      </c>
      <c r="L230" s="61">
        <v>312.82451000000003</v>
      </c>
      <c r="M230" s="61">
        <v>311.09944000000002</v>
      </c>
      <c r="N230" s="61">
        <v>248.18477999999999</v>
      </c>
      <c r="O230" s="61">
        <v>50</v>
      </c>
      <c r="P230" s="596">
        <v>-220</v>
      </c>
    </row>
    <row r="231" spans="2:16" s="1" customFormat="1" ht="16" thickBot="1">
      <c r="B231" s="60" t="s">
        <v>560</v>
      </c>
      <c r="C231" s="61">
        <v>685.7</v>
      </c>
      <c r="D231" s="61">
        <v>210.16800000000001</v>
      </c>
      <c r="E231" s="61">
        <v>232.7165</v>
      </c>
      <c r="F231" s="61">
        <v>268.33249999999998</v>
      </c>
      <c r="G231" s="61">
        <v>250.88574</v>
      </c>
      <c r="H231" s="61">
        <v>627.00434999999993</v>
      </c>
      <c r="I231" s="61">
        <v>572.33484999999996</v>
      </c>
      <c r="J231" s="61">
        <v>560.98996</v>
      </c>
      <c r="K231" s="61">
        <v>519.61709000000008</v>
      </c>
      <c r="L231" s="61">
        <v>713.46316999999999</v>
      </c>
      <c r="M231" s="61">
        <v>720.11279000000002</v>
      </c>
      <c r="N231" s="61">
        <v>720.47079000000008</v>
      </c>
      <c r="O231" s="61">
        <v>728</v>
      </c>
      <c r="P231" s="596">
        <v>704</v>
      </c>
    </row>
    <row r="232" spans="2:16" s="1" customFormat="1" ht="16" thickBot="1">
      <c r="B232" s="60" t="s">
        <v>204</v>
      </c>
      <c r="C232" s="61">
        <v>0</v>
      </c>
      <c r="D232" s="61">
        <v>5688.2420000000002</v>
      </c>
      <c r="E232" s="61">
        <v>9758.3232100000005</v>
      </c>
      <c r="F232" s="61">
        <v>9829.2682599999989</v>
      </c>
      <c r="G232" s="61">
        <v>8691.7904999999992</v>
      </c>
      <c r="H232" s="61">
        <v>8808.1124799999998</v>
      </c>
      <c r="I232" s="61">
        <v>4867.3505100000002</v>
      </c>
      <c r="J232" s="61">
        <v>4927.3183799999997</v>
      </c>
      <c r="K232" s="61">
        <v>6273.6756599999999</v>
      </c>
      <c r="L232" s="61">
        <v>2378.6024900000002</v>
      </c>
      <c r="M232" s="61">
        <v>2402.5289199999997</v>
      </c>
      <c r="N232" s="61">
        <v>2425.5372400000001</v>
      </c>
      <c r="O232" s="61">
        <v>6449</v>
      </c>
      <c r="P232" s="596">
        <v>5828</v>
      </c>
    </row>
    <row r="233" spans="2:16" s="1" customFormat="1" ht="15.5" thickBot="1">
      <c r="B233" s="58" t="s">
        <v>70</v>
      </c>
      <c r="C233" s="64">
        <f>SUM(C223:C232)-SUM(C225:C227)</f>
        <v>4138.4589999999989</v>
      </c>
      <c r="D233" s="64">
        <f t="shared" ref="D233:N233" si="61">SUM(D223:D232)-SUM(D225:D227)</f>
        <v>6867.9541000000008</v>
      </c>
      <c r="E233" s="64">
        <f t="shared" si="61"/>
        <v>12193.47343</v>
      </c>
      <c r="F233" s="64">
        <f t="shared" si="61"/>
        <v>11032.24533</v>
      </c>
      <c r="G233" s="64">
        <f t="shared" si="61"/>
        <v>9898.4695499999998</v>
      </c>
      <c r="H233" s="64">
        <f t="shared" si="61"/>
        <v>10270.87916</v>
      </c>
      <c r="I233" s="64">
        <f t="shared" si="61"/>
        <v>13768.964550000001</v>
      </c>
      <c r="J233" s="64">
        <f t="shared" si="61"/>
        <v>7596.8029700000006</v>
      </c>
      <c r="K233" s="64">
        <f t="shared" si="61"/>
        <v>7539.1331500000006</v>
      </c>
      <c r="L233" s="64">
        <f t="shared" si="61"/>
        <v>4089.7276800000004</v>
      </c>
      <c r="M233" s="64">
        <f t="shared" si="61"/>
        <v>4160.0103499999996</v>
      </c>
      <c r="N233" s="64">
        <f t="shared" si="61"/>
        <v>3795.70732</v>
      </c>
      <c r="O233" s="64">
        <v>6943</v>
      </c>
      <c r="P233" s="599">
        <f>SUM(P223:P232)-SUM(P225:P227)</f>
        <v>7315</v>
      </c>
    </row>
    <row r="234" spans="2:16" s="1" customFormat="1" ht="15.5" thickBot="1">
      <c r="B234" s="71" t="s">
        <v>71</v>
      </c>
      <c r="C234" s="72"/>
      <c r="D234" s="72"/>
      <c r="E234" s="72"/>
      <c r="F234" s="72"/>
      <c r="G234" s="72"/>
      <c r="H234" s="72"/>
      <c r="I234" s="72"/>
      <c r="J234" s="72"/>
      <c r="K234" s="72"/>
      <c r="L234" s="72"/>
      <c r="M234" s="72"/>
      <c r="N234" s="201"/>
      <c r="O234" s="201"/>
      <c r="P234" s="593"/>
    </row>
    <row r="235" spans="2:16" s="1" customFormat="1" ht="16" thickBot="1">
      <c r="B235" s="60" t="s">
        <v>203</v>
      </c>
      <c r="C235" s="61">
        <v>1300.029</v>
      </c>
      <c r="D235" s="61">
        <v>1697244</v>
      </c>
      <c r="E235" s="61">
        <v>1844823.31</v>
      </c>
      <c r="F235" s="61">
        <v>2002434.56</v>
      </c>
      <c r="G235" s="61">
        <v>2135025.61</v>
      </c>
      <c r="H235" s="61">
        <v>1765047.2</v>
      </c>
      <c r="I235" s="61">
        <v>1831989.2</v>
      </c>
      <c r="J235" s="61">
        <v>1858996.2</v>
      </c>
      <c r="K235" s="61">
        <v>1813581.54</v>
      </c>
      <c r="L235" s="61">
        <v>1571280.44</v>
      </c>
      <c r="M235" s="61">
        <v>1766725.22</v>
      </c>
      <c r="N235" s="202">
        <v>1969445.18</v>
      </c>
      <c r="O235" s="202">
        <v>2146</v>
      </c>
      <c r="P235" s="598">
        <v>1921</v>
      </c>
    </row>
    <row r="236" spans="2:16" ht="16" thickBot="1">
      <c r="B236" s="60" t="s">
        <v>205</v>
      </c>
      <c r="C236" s="61">
        <v>28696.924999999999</v>
      </c>
      <c r="D236" s="61">
        <v>23087602</v>
      </c>
      <c r="E236" s="61">
        <v>17931891.300000001</v>
      </c>
      <c r="F236" s="61">
        <v>16782040.239999998</v>
      </c>
      <c r="G236" s="61">
        <v>16808582.620000001</v>
      </c>
      <c r="H236" s="61">
        <v>14287117.689999999</v>
      </c>
      <c r="I236" s="61">
        <v>13067882.34</v>
      </c>
      <c r="J236" s="61">
        <v>11840821.93</v>
      </c>
      <c r="K236" s="61">
        <v>9303641.8300000001</v>
      </c>
      <c r="L236" s="61">
        <v>13212562.65</v>
      </c>
      <c r="M236" s="61">
        <v>12618402.449999999</v>
      </c>
      <c r="N236" s="202">
        <v>16008483.66</v>
      </c>
      <c r="O236" s="202">
        <v>169504</v>
      </c>
      <c r="P236" s="598">
        <v>168408</v>
      </c>
    </row>
    <row r="237" spans="2:16" ht="19" customHeight="1" thickBot="1">
      <c r="B237" s="60" t="s">
        <v>206</v>
      </c>
      <c r="C237" s="61">
        <v>0</v>
      </c>
      <c r="D237" s="61">
        <v>0</v>
      </c>
      <c r="E237" s="61">
        <v>0</v>
      </c>
      <c r="F237" s="61">
        <v>0</v>
      </c>
      <c r="G237" s="61">
        <v>0</v>
      </c>
      <c r="H237" s="61">
        <v>0</v>
      </c>
      <c r="I237" s="61">
        <v>0</v>
      </c>
      <c r="J237" s="61">
        <v>0</v>
      </c>
      <c r="K237" s="61">
        <v>0</v>
      </c>
      <c r="L237" s="61">
        <v>0</v>
      </c>
      <c r="M237" s="61">
        <v>0</v>
      </c>
      <c r="N237" s="202">
        <v>0</v>
      </c>
      <c r="O237" s="202">
        <v>0</v>
      </c>
      <c r="P237" s="598">
        <v>0</v>
      </c>
    </row>
    <row r="238" spans="2:16" s="1" customFormat="1" ht="16" thickBot="1">
      <c r="B238" s="60" t="s">
        <v>207</v>
      </c>
      <c r="C238" s="61">
        <v>0</v>
      </c>
      <c r="D238" s="61">
        <v>0</v>
      </c>
      <c r="E238" s="61">
        <v>0</v>
      </c>
      <c r="F238" s="61">
        <v>0</v>
      </c>
      <c r="G238" s="61">
        <v>0</v>
      </c>
      <c r="H238" s="61">
        <v>0</v>
      </c>
      <c r="I238" s="61">
        <v>0</v>
      </c>
      <c r="J238" s="61">
        <v>0</v>
      </c>
      <c r="K238" s="61">
        <v>0</v>
      </c>
      <c r="L238" s="61">
        <v>0</v>
      </c>
      <c r="M238" s="61">
        <v>0</v>
      </c>
      <c r="N238" s="202">
        <v>0</v>
      </c>
      <c r="O238" s="202">
        <v>0</v>
      </c>
      <c r="P238" s="598">
        <v>0</v>
      </c>
    </row>
    <row r="239" spans="2:16" s="1" customFormat="1" ht="15.5" thickBot="1">
      <c r="B239" s="58" t="s">
        <v>73</v>
      </c>
      <c r="C239" s="64">
        <f>SUM(C235:C238)</f>
        <v>29996.953999999998</v>
      </c>
      <c r="D239" s="64">
        <v>24784846</v>
      </c>
      <c r="E239" s="64">
        <v>19776714.609999999</v>
      </c>
      <c r="F239" s="64">
        <v>18784474.799999997</v>
      </c>
      <c r="G239" s="64">
        <v>18943608.23</v>
      </c>
      <c r="H239" s="64">
        <v>16052164.889999999</v>
      </c>
      <c r="I239" s="64">
        <v>14899871.539999999</v>
      </c>
      <c r="J239" s="64">
        <v>13699818.129999999</v>
      </c>
      <c r="K239" s="64">
        <v>11117223.370000001</v>
      </c>
      <c r="L239" s="64">
        <v>14783843.09</v>
      </c>
      <c r="M239" s="64">
        <v>14385127.67</v>
      </c>
      <c r="N239" s="196">
        <v>17977928.84</v>
      </c>
      <c r="O239" s="196">
        <v>171650</v>
      </c>
      <c r="P239" s="588">
        <f>SUM(P235:P238)</f>
        <v>170329</v>
      </c>
    </row>
    <row r="240" spans="2:16" s="1" customFormat="1" ht="15.5" thickBot="1">
      <c r="B240" s="65" t="s">
        <v>74</v>
      </c>
      <c r="C240" s="66">
        <f>+C233+C239</f>
        <v>34135.413</v>
      </c>
      <c r="D240" s="66">
        <v>31652800.100000001</v>
      </c>
      <c r="E240" s="66">
        <v>31970188.039999999</v>
      </c>
      <c r="F240" s="66">
        <v>29816720.129999995</v>
      </c>
      <c r="G240" s="66">
        <v>28842077.780000001</v>
      </c>
      <c r="H240" s="66">
        <v>26323044.050000001</v>
      </c>
      <c r="I240" s="66">
        <v>28668836.089999996</v>
      </c>
      <c r="J240" s="66">
        <v>21296621.099999998</v>
      </c>
      <c r="K240" s="66">
        <v>18656356.520000003</v>
      </c>
      <c r="L240" s="66">
        <v>18873570.77</v>
      </c>
      <c r="M240" s="66">
        <v>18545138.02</v>
      </c>
      <c r="N240" s="197">
        <v>21773636.16</v>
      </c>
      <c r="O240" s="197">
        <v>178593</v>
      </c>
      <c r="P240" s="589">
        <f>P233+P239</f>
        <v>177644</v>
      </c>
    </row>
    <row r="241" spans="1:16" s="1" customFormat="1" ht="15.5" thickBot="1">
      <c r="B241" s="67"/>
      <c r="C241" s="68"/>
      <c r="D241" s="68"/>
      <c r="E241" s="68"/>
      <c r="F241" s="68"/>
      <c r="G241" s="68"/>
      <c r="H241" s="68"/>
      <c r="I241" s="68"/>
      <c r="J241" s="68"/>
      <c r="K241" s="68"/>
      <c r="L241" s="68"/>
      <c r="M241" s="68"/>
      <c r="N241" s="198"/>
      <c r="O241" s="198"/>
      <c r="P241" s="590"/>
    </row>
    <row r="242" spans="1:16" ht="15.5" thickBot="1">
      <c r="B242" s="73" t="s">
        <v>75</v>
      </c>
      <c r="C242" s="72"/>
      <c r="D242" s="72"/>
      <c r="E242" s="72"/>
      <c r="F242" s="72"/>
      <c r="G242" s="72"/>
      <c r="H242" s="72"/>
      <c r="I242" s="72"/>
      <c r="J242" s="72"/>
      <c r="K242" s="72"/>
      <c r="L242" s="72"/>
      <c r="M242" s="72"/>
      <c r="N242" s="201"/>
      <c r="O242" s="201"/>
      <c r="P242" s="593"/>
    </row>
    <row r="243" spans="1:16" ht="16" thickBot="1">
      <c r="B243" s="60" t="s">
        <v>208</v>
      </c>
      <c r="C243" s="61">
        <v>21658947.609999999</v>
      </c>
      <c r="D243" s="61">
        <v>21658947.609999999</v>
      </c>
      <c r="E243" s="61">
        <v>21658947.609999999</v>
      </c>
      <c r="F243" s="61">
        <v>21658947.609999999</v>
      </c>
      <c r="G243" s="61">
        <v>21658947.609999999</v>
      </c>
      <c r="H243" s="61">
        <v>21658947.609999999</v>
      </c>
      <c r="I243" s="61">
        <v>21658947.609999999</v>
      </c>
      <c r="J243" s="61">
        <v>21658947.609999999</v>
      </c>
      <c r="K243" s="61">
        <v>21658947.609999999</v>
      </c>
      <c r="L243" s="61">
        <v>21658947.609999999</v>
      </c>
      <c r="M243" s="61">
        <v>21658947.609999999</v>
      </c>
      <c r="N243" s="202">
        <v>21658947.609999999</v>
      </c>
      <c r="O243" s="202">
        <v>21659</v>
      </c>
      <c r="P243" s="598">
        <v>21659</v>
      </c>
    </row>
    <row r="244" spans="1:16" ht="16" thickBot="1">
      <c r="B244" s="60" t="s">
        <v>209</v>
      </c>
      <c r="C244" s="61">
        <v>78092.53</v>
      </c>
      <c r="D244" s="61">
        <v>78092.53</v>
      </c>
      <c r="E244" s="61">
        <v>78092.53</v>
      </c>
      <c r="F244" s="61">
        <v>78092.53</v>
      </c>
      <c r="G244" s="61">
        <v>78092.53</v>
      </c>
      <c r="H244" s="61">
        <v>78092.53</v>
      </c>
      <c r="I244" s="61">
        <v>78092.53</v>
      </c>
      <c r="J244" s="61">
        <v>78092.53</v>
      </c>
      <c r="K244" s="61">
        <v>78092.53</v>
      </c>
      <c r="L244" s="61">
        <v>78092.53</v>
      </c>
      <c r="M244" s="61">
        <v>78092.53</v>
      </c>
      <c r="N244" s="202">
        <v>78092.53</v>
      </c>
      <c r="O244" s="202">
        <v>78</v>
      </c>
      <c r="P244" s="598">
        <v>78</v>
      </c>
    </row>
    <row r="245" spans="1:16" ht="16" thickBot="1">
      <c r="B245" s="60" t="s">
        <v>210</v>
      </c>
      <c r="C245" s="61">
        <v>4331789.9800000004</v>
      </c>
      <c r="D245" s="61">
        <v>4331789.9800000004</v>
      </c>
      <c r="E245" s="61">
        <v>4331789.9800000004</v>
      </c>
      <c r="F245" s="61">
        <v>4331789.9800000004</v>
      </c>
      <c r="G245" s="61">
        <v>4331789.9800000004</v>
      </c>
      <c r="H245" s="61">
        <v>4331789.9800000004</v>
      </c>
      <c r="I245" s="61">
        <v>4331789.9800000004</v>
      </c>
      <c r="J245" s="61">
        <v>4331789.9800000004</v>
      </c>
      <c r="K245" s="61">
        <v>4331789.9800000004</v>
      </c>
      <c r="L245" s="61">
        <v>4331789.9800000004</v>
      </c>
      <c r="M245" s="61">
        <v>4331789.9800000004</v>
      </c>
      <c r="N245" s="202">
        <v>4331789.9800000004</v>
      </c>
      <c r="O245" s="202">
        <v>4332</v>
      </c>
      <c r="P245" s="598">
        <v>4332</v>
      </c>
    </row>
    <row r="246" spans="1:16" s="1" customFormat="1" ht="16" thickBot="1">
      <c r="B246" s="60" t="s">
        <v>211</v>
      </c>
      <c r="C246" s="61">
        <v>6059399</v>
      </c>
      <c r="D246" s="61">
        <v>6052443</v>
      </c>
      <c r="E246" s="61">
        <v>1626156.25</v>
      </c>
      <c r="F246" s="61">
        <v>3453654.3</v>
      </c>
      <c r="G246" s="61">
        <v>5302483.6900000004</v>
      </c>
      <c r="H246" s="61">
        <v>7401530.9500000002</v>
      </c>
      <c r="I246" s="61">
        <v>2315274.9499999997</v>
      </c>
      <c r="J246" s="61">
        <v>4719361.58</v>
      </c>
      <c r="K246" s="61">
        <v>6597255.4700000007</v>
      </c>
      <c r="L246" s="61">
        <v>10067654.049999999</v>
      </c>
      <c r="M246" s="61">
        <v>12090499.020000001</v>
      </c>
      <c r="N246" s="202">
        <v>4083221.11</v>
      </c>
      <c r="O246" s="202">
        <v>5430</v>
      </c>
      <c r="P246" s="598">
        <v>8839</v>
      </c>
    </row>
    <row r="247" spans="1:16" s="1" customFormat="1" ht="16" thickBot="1">
      <c r="B247" s="60" t="s">
        <v>212</v>
      </c>
      <c r="C247" s="61"/>
      <c r="D247" s="61"/>
      <c r="E247" s="61">
        <v>-148</v>
      </c>
      <c r="F247" s="61">
        <v>-200</v>
      </c>
      <c r="G247" s="61">
        <v>-217</v>
      </c>
      <c r="H247" s="61">
        <v>-231</v>
      </c>
      <c r="I247" s="61">
        <v>-382</v>
      </c>
      <c r="J247" s="61">
        <v>-291</v>
      </c>
      <c r="K247" s="61">
        <v>-302</v>
      </c>
      <c r="L247" s="61">
        <v>-274</v>
      </c>
      <c r="M247" s="61">
        <v>-320</v>
      </c>
      <c r="N247" s="202">
        <v>-236</v>
      </c>
      <c r="O247" s="202">
        <v>0</v>
      </c>
      <c r="P247" s="598">
        <v>0</v>
      </c>
    </row>
    <row r="248" spans="1:16" s="1" customFormat="1" ht="15.5" thickBot="1">
      <c r="B248" s="58" t="s">
        <v>84</v>
      </c>
      <c r="C248" s="64">
        <v>32128229.120000001</v>
      </c>
      <c r="D248" s="64">
        <v>32121273.120000001</v>
      </c>
      <c r="E248" s="64">
        <v>27694838.370000001</v>
      </c>
      <c r="F248" s="64">
        <v>29522284.420000002</v>
      </c>
      <c r="G248" s="64">
        <v>31371096.810000002</v>
      </c>
      <c r="H248" s="64">
        <v>33470130.07</v>
      </c>
      <c r="I248" s="64">
        <v>28383723.07</v>
      </c>
      <c r="J248" s="64">
        <v>30787900.700000003</v>
      </c>
      <c r="K248" s="64">
        <v>32665783.590000004</v>
      </c>
      <c r="L248" s="64">
        <v>36136210.170000002</v>
      </c>
      <c r="M248" s="64">
        <v>38159009.140000001</v>
      </c>
      <c r="N248" s="196">
        <v>30151815.23</v>
      </c>
      <c r="O248" s="196">
        <v>31499</v>
      </c>
      <c r="P248" s="588">
        <f>SUM(P243:P247)</f>
        <v>34908</v>
      </c>
    </row>
    <row r="249" spans="1:16" s="1" customFormat="1" ht="15.5" thickBot="1">
      <c r="A249" s="225" t="s">
        <v>492</v>
      </c>
      <c r="B249" s="74" t="s">
        <v>85</v>
      </c>
      <c r="C249" s="66">
        <v>66263642.120000005</v>
      </c>
      <c r="D249" s="66">
        <v>63774073.219999999</v>
      </c>
      <c r="E249" s="66">
        <v>59665026.409999996</v>
      </c>
      <c r="F249" s="66">
        <v>59339004.549999997</v>
      </c>
      <c r="G249" s="66">
        <v>60213174.590000004</v>
      </c>
      <c r="H249" s="66">
        <v>59793174.120000005</v>
      </c>
      <c r="I249" s="66">
        <v>57052559.159999996</v>
      </c>
      <c r="J249" s="66">
        <v>52084521.799999997</v>
      </c>
      <c r="K249" s="66">
        <v>51322140.110000007</v>
      </c>
      <c r="L249" s="66">
        <v>55009780.939999998</v>
      </c>
      <c r="M249" s="66">
        <v>56704147.159999996</v>
      </c>
      <c r="N249" s="197">
        <v>51925451.390000001</v>
      </c>
      <c r="O249" s="197">
        <v>210092</v>
      </c>
      <c r="P249" s="589">
        <f>P240+P248</f>
        <v>212552</v>
      </c>
    </row>
    <row r="250" spans="1:16" s="166" customFormat="1">
      <c r="B250" s="187"/>
      <c r="C250" s="188"/>
      <c r="D250" s="188"/>
      <c r="E250" s="188"/>
      <c r="F250" s="188"/>
      <c r="G250" s="188"/>
      <c r="H250" s="188"/>
      <c r="I250" s="188"/>
      <c r="J250" s="188"/>
      <c r="K250" s="188"/>
      <c r="L250" s="188"/>
      <c r="M250" s="188"/>
      <c r="N250" s="188"/>
      <c r="O250" s="188">
        <v>0</v>
      </c>
    </row>
    <row r="251" spans="1:16" s="166" customFormat="1" ht="15" thickBot="1">
      <c r="B251" s="189"/>
      <c r="C251" s="190"/>
      <c r="D251" s="190"/>
      <c r="E251" s="190"/>
      <c r="F251" s="190"/>
      <c r="G251" s="190"/>
      <c r="H251" s="190"/>
      <c r="I251" s="190"/>
      <c r="J251" s="190"/>
      <c r="K251" s="190"/>
      <c r="L251" s="190"/>
      <c r="M251" s="190"/>
      <c r="N251" s="203"/>
      <c r="O251" s="207"/>
    </row>
    <row r="252" spans="1:16" s="166" customFormat="1" ht="15" thickBot="1">
      <c r="B252" s="191"/>
      <c r="C252" s="192"/>
      <c r="D252" s="192"/>
      <c r="E252" s="192"/>
      <c r="F252" s="192"/>
      <c r="G252" s="192"/>
      <c r="H252" s="192"/>
      <c r="I252" s="192"/>
      <c r="J252" s="192"/>
      <c r="K252" s="192"/>
      <c r="L252" s="192"/>
      <c r="M252" s="192"/>
      <c r="N252" s="204"/>
      <c r="O252" s="207"/>
    </row>
    <row r="253" spans="1:16" s="166" customFormat="1">
      <c r="B253" s="193"/>
      <c r="C253" s="193"/>
      <c r="D253" s="193"/>
      <c r="E253" s="193"/>
      <c r="F253" s="193"/>
      <c r="G253" s="193"/>
      <c r="H253" s="193"/>
      <c r="I253" s="193"/>
      <c r="J253" s="193"/>
      <c r="K253" s="193"/>
      <c r="L253" s="193"/>
      <c r="M253" s="193"/>
      <c r="N253" s="193"/>
      <c r="O253" s="207"/>
    </row>
    <row r="254" spans="1:16">
      <c r="B254" s="5"/>
      <c r="C254" s="5"/>
      <c r="D254" s="5"/>
      <c r="E254" s="5"/>
      <c r="F254" s="5"/>
      <c r="G254" s="5"/>
      <c r="H254" s="5"/>
      <c r="I254" s="5"/>
      <c r="J254" s="5"/>
      <c r="K254" s="5"/>
      <c r="L254" s="5"/>
      <c r="M254" s="5"/>
      <c r="N254" s="5"/>
    </row>
    <row r="255" spans="1:16">
      <c r="B255" s="5"/>
      <c r="C255" s="5"/>
      <c r="D255" s="5"/>
      <c r="E255" s="5"/>
      <c r="F255" s="5"/>
      <c r="G255" s="5"/>
      <c r="H255" s="5"/>
      <c r="I255" s="5"/>
      <c r="J255" s="5"/>
      <c r="K255" s="5"/>
      <c r="L255" s="5"/>
      <c r="M255" s="5"/>
      <c r="N255" s="5"/>
    </row>
    <row r="256" spans="1:16">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sheetData>
  <hyperlinks>
    <hyperlink ref="A1" location="'Table of Contents'!A1" display="Return to Table of Contents" xr:uid="{00000000-0004-0000-0600-000000000000}"/>
  </hyperlinks>
  <pageMargins left="0.7" right="0.7" top="0.75" bottom="0.75" header="0.3" footer="0.3"/>
  <pageSetup orientation="portrait" r:id="rId1"/>
  <customProperties>
    <customPr name="_pios_id" r:id="rId2"/>
    <customPr name="EpmWorksheetKeyString_GUID" r:id="rId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Q86"/>
  <sheetViews>
    <sheetView showGridLines="0" zoomScale="85" zoomScaleNormal="85" workbookViewId="0">
      <pane xSplit="2" ySplit="7" topLeftCell="G8" activePane="bottomRight" state="frozen"/>
      <selection pane="topRight" activeCell="C1" sqref="C1"/>
      <selection pane="bottomLeft" activeCell="A8" sqref="A8"/>
      <selection pane="bottomRight" activeCell="P90" sqref="P90"/>
    </sheetView>
  </sheetViews>
  <sheetFormatPr baseColWidth="10" defaultColWidth="11.453125" defaultRowHeight="14.5"/>
  <cols>
    <col min="1" max="1" width="4.81640625" customWidth="1"/>
    <col min="2" max="2" width="85.7265625" customWidth="1"/>
    <col min="3" max="17" width="11.453125" customWidth="1"/>
  </cols>
  <sheetData>
    <row r="1" spans="1:17">
      <c r="A1" s="3" t="s">
        <v>686</v>
      </c>
    </row>
    <row r="3" spans="1:17" ht="15.5">
      <c r="B3" s="236" t="s">
        <v>494</v>
      </c>
      <c r="C3" s="75"/>
      <c r="D3" s="75"/>
      <c r="E3" s="76"/>
      <c r="F3" s="75"/>
      <c r="G3" s="75"/>
      <c r="H3" s="75"/>
      <c r="I3" s="75"/>
      <c r="J3" s="76"/>
      <c r="K3" s="75"/>
      <c r="L3" s="75"/>
      <c r="M3" s="75"/>
      <c r="N3" s="75"/>
      <c r="O3" s="76"/>
      <c r="P3" s="75"/>
      <c r="Q3" s="75"/>
    </row>
    <row r="4" spans="1:17" ht="15.65" customHeight="1">
      <c r="B4" s="142" t="s">
        <v>562</v>
      </c>
      <c r="C4" s="5"/>
      <c r="D4" s="5"/>
      <c r="E4" s="5"/>
      <c r="F4" s="5"/>
      <c r="G4" s="5"/>
      <c r="H4" s="5"/>
      <c r="I4" s="5"/>
      <c r="J4" s="5"/>
      <c r="K4" s="5"/>
      <c r="L4" s="5"/>
      <c r="M4" s="5"/>
      <c r="N4" s="5"/>
      <c r="O4" s="5"/>
      <c r="P4" s="5"/>
      <c r="Q4" s="5"/>
    </row>
    <row r="5" spans="1:17" ht="15.5">
      <c r="B5" s="77"/>
      <c r="C5" s="77"/>
      <c r="D5" s="77"/>
      <c r="E5" s="77"/>
      <c r="F5" s="77"/>
      <c r="G5" s="77"/>
      <c r="H5" s="77"/>
      <c r="I5" s="77"/>
      <c r="J5" s="77"/>
      <c r="K5" s="77"/>
      <c r="L5" s="77"/>
      <c r="M5" s="77"/>
      <c r="N5" s="77"/>
      <c r="O5" s="77"/>
      <c r="P5" s="77"/>
      <c r="Q5" s="77"/>
    </row>
    <row r="6" spans="1:17">
      <c r="B6" s="78"/>
      <c r="C6" s="79">
        <v>2016</v>
      </c>
      <c r="D6" s="79">
        <v>2017</v>
      </c>
      <c r="E6" s="79" t="s">
        <v>3</v>
      </c>
      <c r="F6" s="79" t="s">
        <v>4</v>
      </c>
      <c r="G6" s="79" t="s">
        <v>5</v>
      </c>
      <c r="H6" s="79" t="s">
        <v>6</v>
      </c>
      <c r="I6" s="79" t="s">
        <v>7</v>
      </c>
      <c r="J6" s="79" t="s">
        <v>8</v>
      </c>
      <c r="K6" s="79" t="s">
        <v>9</v>
      </c>
      <c r="L6" s="79" t="s">
        <v>10</v>
      </c>
      <c r="M6" s="79" t="s">
        <v>11</v>
      </c>
      <c r="N6" s="79" t="s">
        <v>12</v>
      </c>
      <c r="O6" s="306" t="s">
        <v>685</v>
      </c>
      <c r="P6" s="580" t="s">
        <v>1111</v>
      </c>
    </row>
    <row r="7" spans="1:17" ht="6" customHeight="1">
      <c r="B7" s="178"/>
      <c r="C7" s="81"/>
      <c r="D7" s="81"/>
      <c r="E7" s="81"/>
      <c r="F7" s="81"/>
      <c r="G7" s="81"/>
      <c r="H7" s="81"/>
      <c r="I7" s="81"/>
      <c r="J7" s="81"/>
      <c r="K7" s="81"/>
      <c r="L7" s="81"/>
      <c r="M7" s="81"/>
      <c r="N7" s="81"/>
      <c r="O7" s="81"/>
      <c r="P7" s="81"/>
    </row>
    <row r="8" spans="1:17" ht="15.5">
      <c r="B8" s="179" t="s">
        <v>16</v>
      </c>
      <c r="C8" s="13">
        <v>0</v>
      </c>
      <c r="D8" s="13">
        <v>5</v>
      </c>
      <c r="E8" s="13">
        <v>6</v>
      </c>
      <c r="F8" s="13">
        <v>1</v>
      </c>
      <c r="G8" s="13">
        <v>20</v>
      </c>
      <c r="H8" s="13">
        <v>8</v>
      </c>
      <c r="I8" s="13">
        <v>11</v>
      </c>
      <c r="J8" s="13">
        <v>21</v>
      </c>
      <c r="K8" s="13">
        <v>21</v>
      </c>
      <c r="L8" s="13">
        <v>19</v>
      </c>
      <c r="M8" s="13">
        <v>19</v>
      </c>
      <c r="N8" s="13">
        <v>21</v>
      </c>
      <c r="O8" s="380">
        <v>19</v>
      </c>
      <c r="P8" s="380">
        <v>20</v>
      </c>
    </row>
    <row r="9" spans="1:17" ht="15.5">
      <c r="B9" s="179" t="s">
        <v>17</v>
      </c>
      <c r="C9" s="13">
        <v>0</v>
      </c>
      <c r="D9" s="13">
        <v>0</v>
      </c>
      <c r="E9" s="13">
        <v>0</v>
      </c>
      <c r="F9" s="13">
        <v>0</v>
      </c>
      <c r="G9" s="13">
        <v>0</v>
      </c>
      <c r="H9" s="13">
        <v>0</v>
      </c>
      <c r="I9" s="13">
        <v>0</v>
      </c>
      <c r="J9" s="13">
        <v>0</v>
      </c>
      <c r="K9" s="13">
        <v>0</v>
      </c>
      <c r="L9" s="13">
        <v>0</v>
      </c>
      <c r="M9" s="13">
        <v>0</v>
      </c>
      <c r="N9" s="13">
        <v>0</v>
      </c>
      <c r="O9" s="380">
        <v>0</v>
      </c>
      <c r="P9" s="380">
        <v>0</v>
      </c>
    </row>
    <row r="10" spans="1:17" ht="15.5">
      <c r="B10" s="179" t="s">
        <v>22</v>
      </c>
      <c r="C10" s="13">
        <v>0</v>
      </c>
      <c r="D10" s="13">
        <v>0</v>
      </c>
      <c r="E10" s="13">
        <v>0</v>
      </c>
      <c r="F10" s="13">
        <v>0</v>
      </c>
      <c r="G10" s="13">
        <v>0</v>
      </c>
      <c r="H10" s="13">
        <v>0</v>
      </c>
      <c r="I10" s="13">
        <v>0</v>
      </c>
      <c r="J10" s="13">
        <v>0</v>
      </c>
      <c r="K10" s="13">
        <v>0</v>
      </c>
      <c r="L10" s="13">
        <v>0</v>
      </c>
      <c r="M10" s="13">
        <v>0</v>
      </c>
      <c r="N10" s="13">
        <v>0</v>
      </c>
      <c r="O10" s="380">
        <v>0</v>
      </c>
      <c r="P10" s="380">
        <v>0</v>
      </c>
    </row>
    <row r="11" spans="1:17" ht="15.5">
      <c r="B11" s="179" t="s">
        <v>23</v>
      </c>
      <c r="C11" s="13">
        <v>3</v>
      </c>
      <c r="D11" s="13">
        <v>6</v>
      </c>
      <c r="E11" s="13">
        <v>1</v>
      </c>
      <c r="F11" s="13">
        <v>1</v>
      </c>
      <c r="G11" s="13">
        <v>3</v>
      </c>
      <c r="H11" s="13">
        <v>3</v>
      </c>
      <c r="I11" s="13">
        <v>7</v>
      </c>
      <c r="J11" s="13">
        <v>-2</v>
      </c>
      <c r="K11" s="13">
        <v>2</v>
      </c>
      <c r="L11" s="13">
        <v>3</v>
      </c>
      <c r="M11" s="13">
        <v>2</v>
      </c>
      <c r="N11" s="13">
        <v>2</v>
      </c>
      <c r="O11" s="380">
        <v>3</v>
      </c>
      <c r="P11" s="380">
        <v>3</v>
      </c>
    </row>
    <row r="12" spans="1:17" ht="15.5">
      <c r="B12" s="180" t="s">
        <v>92</v>
      </c>
      <c r="C12" s="17">
        <v>-3</v>
      </c>
      <c r="D12" s="17">
        <v>-1</v>
      </c>
      <c r="E12" s="17">
        <v>5</v>
      </c>
      <c r="F12" s="17">
        <v>0</v>
      </c>
      <c r="G12" s="17">
        <v>17</v>
      </c>
      <c r="H12" s="17">
        <v>5</v>
      </c>
      <c r="I12" s="17">
        <v>4</v>
      </c>
      <c r="J12" s="17">
        <v>23</v>
      </c>
      <c r="K12" s="17">
        <v>19</v>
      </c>
      <c r="L12" s="17">
        <v>16</v>
      </c>
      <c r="M12" s="17">
        <v>17</v>
      </c>
      <c r="N12" s="17">
        <v>19</v>
      </c>
      <c r="O12" s="381">
        <v>16</v>
      </c>
      <c r="P12" s="381">
        <v>17</v>
      </c>
    </row>
    <row r="13" spans="1:17" ht="15.5">
      <c r="B13" s="10"/>
      <c r="C13" s="181"/>
      <c r="D13" s="181"/>
      <c r="E13" s="181"/>
      <c r="F13" s="237"/>
      <c r="G13" s="181"/>
      <c r="H13" s="181"/>
      <c r="I13" s="181"/>
      <c r="J13" s="181"/>
      <c r="K13" s="181"/>
      <c r="L13" s="181"/>
      <c r="M13" s="181"/>
      <c r="N13" s="181"/>
      <c r="O13" s="9"/>
      <c r="P13" s="9"/>
    </row>
    <row r="14" spans="1:17" ht="15.5">
      <c r="B14" s="179" t="s">
        <v>26</v>
      </c>
      <c r="C14" s="13">
        <v>0</v>
      </c>
      <c r="D14" s="13">
        <v>1</v>
      </c>
      <c r="E14" s="13">
        <v>1</v>
      </c>
      <c r="F14" s="13">
        <v>0</v>
      </c>
      <c r="G14" s="13">
        <v>1</v>
      </c>
      <c r="H14" s="13">
        <v>7</v>
      </c>
      <c r="I14" s="13">
        <v>3</v>
      </c>
      <c r="J14" s="13">
        <v>3</v>
      </c>
      <c r="K14" s="13">
        <v>7</v>
      </c>
      <c r="L14" s="13">
        <v>7</v>
      </c>
      <c r="M14" s="13">
        <v>7</v>
      </c>
      <c r="N14" s="13">
        <v>9</v>
      </c>
      <c r="O14" s="380">
        <v>6</v>
      </c>
      <c r="P14" s="380">
        <v>7</v>
      </c>
    </row>
    <row r="15" spans="1:17" ht="15.5">
      <c r="B15" s="179" t="s">
        <v>27</v>
      </c>
      <c r="C15" s="13">
        <v>0</v>
      </c>
      <c r="D15" s="13">
        <v>0</v>
      </c>
      <c r="E15" s="13">
        <v>0</v>
      </c>
      <c r="F15" s="13">
        <v>0</v>
      </c>
      <c r="G15" s="13">
        <v>0</v>
      </c>
      <c r="H15" s="13">
        <v>0</v>
      </c>
      <c r="I15" s="13">
        <v>0</v>
      </c>
      <c r="J15" s="13">
        <v>0</v>
      </c>
      <c r="K15" s="13">
        <v>0</v>
      </c>
      <c r="L15" s="13">
        <v>0</v>
      </c>
      <c r="M15" s="13">
        <v>0</v>
      </c>
      <c r="N15" s="13">
        <v>0</v>
      </c>
      <c r="O15" s="380">
        <v>0</v>
      </c>
      <c r="P15" s="380">
        <v>0</v>
      </c>
    </row>
    <row r="16" spans="1:17" ht="15.5">
      <c r="B16" s="179" t="s">
        <v>28</v>
      </c>
      <c r="C16" s="13">
        <v>0</v>
      </c>
      <c r="D16" s="13">
        <v>0</v>
      </c>
      <c r="E16" s="13">
        <v>0</v>
      </c>
      <c r="F16" s="13">
        <v>0</v>
      </c>
      <c r="G16" s="13">
        <v>0</v>
      </c>
      <c r="H16" s="13">
        <v>1</v>
      </c>
      <c r="I16" s="13">
        <v>0</v>
      </c>
      <c r="J16" s="13">
        <v>0</v>
      </c>
      <c r="K16" s="13">
        <v>0</v>
      </c>
      <c r="L16" s="13">
        <v>0</v>
      </c>
      <c r="M16" s="13">
        <v>0</v>
      </c>
      <c r="N16" s="13">
        <v>0</v>
      </c>
      <c r="O16" s="380">
        <v>0</v>
      </c>
      <c r="P16" s="380">
        <v>0</v>
      </c>
    </row>
    <row r="17" spans="2:16" ht="15.5">
      <c r="B17" s="180" t="s">
        <v>29</v>
      </c>
      <c r="C17" s="18">
        <v>-3</v>
      </c>
      <c r="D17" s="18">
        <v>-2</v>
      </c>
      <c r="E17" s="18">
        <v>4</v>
      </c>
      <c r="F17" s="18">
        <v>0</v>
      </c>
      <c r="G17" s="18">
        <v>16</v>
      </c>
      <c r="H17" s="18">
        <v>-1</v>
      </c>
      <c r="I17" s="18">
        <v>1</v>
      </c>
      <c r="J17" s="18">
        <v>20</v>
      </c>
      <c r="K17" s="18">
        <v>12</v>
      </c>
      <c r="L17" s="18">
        <v>9</v>
      </c>
      <c r="M17" s="18">
        <v>10</v>
      </c>
      <c r="N17" s="18">
        <v>10</v>
      </c>
      <c r="O17" s="382">
        <v>10</v>
      </c>
      <c r="P17" s="382">
        <v>10</v>
      </c>
    </row>
    <row r="18" spans="2:16" ht="15.5">
      <c r="B18" s="179"/>
      <c r="C18" s="13"/>
      <c r="D18" s="13"/>
      <c r="E18" s="13"/>
      <c r="F18" s="13"/>
      <c r="G18" s="13"/>
      <c r="H18" s="13"/>
      <c r="I18" s="13"/>
      <c r="J18" s="13"/>
      <c r="K18" s="13"/>
      <c r="L18" s="13"/>
      <c r="M18" s="13"/>
      <c r="N18" s="13"/>
      <c r="O18" s="380"/>
      <c r="P18" s="380"/>
    </row>
    <row r="19" spans="2:16" ht="15.5">
      <c r="B19" s="179" t="s">
        <v>30</v>
      </c>
      <c r="C19" s="13">
        <v>6</v>
      </c>
      <c r="D19" s="13">
        <v>-3</v>
      </c>
      <c r="E19" s="13">
        <v>0</v>
      </c>
      <c r="F19" s="13">
        <v>-4</v>
      </c>
      <c r="G19" s="13">
        <v>-2</v>
      </c>
      <c r="H19" s="13">
        <v>-6</v>
      </c>
      <c r="I19" s="13">
        <v>-4</v>
      </c>
      <c r="J19" s="13">
        <v>-7</v>
      </c>
      <c r="K19" s="13">
        <v>-10</v>
      </c>
      <c r="L19" s="13">
        <v>-6</v>
      </c>
      <c r="M19" s="13">
        <v>-12</v>
      </c>
      <c r="N19" s="13">
        <v>-9</v>
      </c>
      <c r="O19" s="380">
        <v>-9</v>
      </c>
      <c r="P19" s="380">
        <v>-6</v>
      </c>
    </row>
    <row r="20" spans="2:16" ht="15.5">
      <c r="B20" s="180" t="s">
        <v>31</v>
      </c>
      <c r="C20" s="18">
        <v>3</v>
      </c>
      <c r="D20" s="18">
        <v>-5</v>
      </c>
      <c r="E20" s="18">
        <v>4</v>
      </c>
      <c r="F20" s="18">
        <v>-4</v>
      </c>
      <c r="G20" s="18">
        <v>14</v>
      </c>
      <c r="H20" s="18">
        <v>-7</v>
      </c>
      <c r="I20" s="18">
        <v>-3</v>
      </c>
      <c r="J20" s="18">
        <v>13</v>
      </c>
      <c r="K20" s="18">
        <v>2</v>
      </c>
      <c r="L20" s="18">
        <v>3</v>
      </c>
      <c r="M20" s="18">
        <v>-2</v>
      </c>
      <c r="N20" s="18">
        <v>1</v>
      </c>
      <c r="O20" s="382">
        <v>1</v>
      </c>
      <c r="P20" s="382">
        <v>4</v>
      </c>
    </row>
    <row r="21" spans="2:16" ht="15.5">
      <c r="B21" s="10"/>
      <c r="C21" s="181"/>
      <c r="D21" s="181"/>
      <c r="E21" s="181"/>
      <c r="F21" s="181"/>
      <c r="G21" s="181"/>
      <c r="H21" s="181"/>
      <c r="I21" s="181"/>
      <c r="J21" s="181"/>
      <c r="K21" s="181"/>
      <c r="L21" s="181"/>
      <c r="M21" s="181"/>
      <c r="N21" s="181"/>
      <c r="O21" s="9"/>
      <c r="P21" s="9"/>
    </row>
    <row r="22" spans="2:16" ht="15.5">
      <c r="B22" s="179" t="s">
        <v>32</v>
      </c>
      <c r="C22" s="13">
        <v>1</v>
      </c>
      <c r="D22" s="13">
        <v>-1</v>
      </c>
      <c r="E22" s="13">
        <v>4</v>
      </c>
      <c r="F22" s="13">
        <v>-1</v>
      </c>
      <c r="G22" s="13">
        <v>6</v>
      </c>
      <c r="H22" s="13">
        <v>-13</v>
      </c>
      <c r="I22" s="13">
        <v>-5</v>
      </c>
      <c r="J22" s="13">
        <v>-6</v>
      </c>
      <c r="K22" s="13">
        <v>-5</v>
      </c>
      <c r="L22" s="13">
        <v>19</v>
      </c>
      <c r="M22" s="13">
        <v>0</v>
      </c>
      <c r="N22" s="13">
        <v>0</v>
      </c>
      <c r="O22" s="380">
        <v>0</v>
      </c>
      <c r="P22" s="380">
        <v>0</v>
      </c>
    </row>
    <row r="23" spans="2:16" ht="15.5">
      <c r="B23" s="180" t="s">
        <v>35</v>
      </c>
      <c r="C23" s="18">
        <v>2</v>
      </c>
      <c r="D23" s="18">
        <v>-4</v>
      </c>
      <c r="E23" s="18">
        <v>0</v>
      </c>
      <c r="F23" s="18">
        <v>-3</v>
      </c>
      <c r="G23" s="18">
        <v>8</v>
      </c>
      <c r="H23" s="18">
        <v>6</v>
      </c>
      <c r="I23" s="18">
        <v>2</v>
      </c>
      <c r="J23" s="18">
        <v>19</v>
      </c>
      <c r="K23" s="18">
        <v>7</v>
      </c>
      <c r="L23" s="18">
        <v>-16</v>
      </c>
      <c r="M23" s="18">
        <v>-2</v>
      </c>
      <c r="N23" s="18">
        <v>1</v>
      </c>
      <c r="O23" s="382">
        <v>1</v>
      </c>
      <c r="P23" s="382">
        <v>4</v>
      </c>
    </row>
    <row r="26" spans="2:16" ht="15">
      <c r="B26" s="19" t="s">
        <v>496</v>
      </c>
      <c r="C26" s="5"/>
      <c r="D26" s="5"/>
      <c r="E26" s="5"/>
      <c r="F26" s="5"/>
      <c r="G26" s="5"/>
      <c r="H26" s="238"/>
      <c r="I26" s="238"/>
      <c r="J26" s="238"/>
      <c r="K26" s="238"/>
      <c r="L26" s="238"/>
      <c r="M26" s="238"/>
      <c r="N26" s="238"/>
    </row>
    <row r="27" spans="2:16">
      <c r="B27" s="142" t="s">
        <v>495</v>
      </c>
      <c r="C27" s="5"/>
      <c r="D27" s="5"/>
      <c r="E27" s="5"/>
      <c r="F27" s="5"/>
      <c r="G27" s="5"/>
      <c r="H27" s="20"/>
      <c r="I27" s="20"/>
      <c r="J27" s="20"/>
      <c r="K27" s="20"/>
      <c r="L27" s="20"/>
      <c r="M27" s="20"/>
      <c r="N27" s="20"/>
    </row>
    <row r="28" spans="2:16" ht="13" customHeight="1">
      <c r="B28" s="23"/>
      <c r="C28" s="5"/>
      <c r="D28" s="5"/>
      <c r="E28" s="5"/>
      <c r="F28" s="5"/>
      <c r="G28" s="5"/>
      <c r="H28" s="23"/>
      <c r="I28" s="23"/>
      <c r="J28" s="23"/>
      <c r="K28" s="23"/>
      <c r="L28" s="23"/>
      <c r="M28" s="23"/>
      <c r="N28" s="23"/>
    </row>
    <row r="29" spans="2:16" s="185" customFormat="1" ht="15.5" thickBot="1">
      <c r="B29" s="78"/>
      <c r="C29" s="79">
        <v>2016</v>
      </c>
      <c r="D29" s="79">
        <v>2017</v>
      </c>
      <c r="E29" s="79" t="s">
        <v>3</v>
      </c>
      <c r="F29" s="79" t="s">
        <v>4</v>
      </c>
      <c r="G29" s="79" t="s">
        <v>5</v>
      </c>
      <c r="H29" s="79" t="s">
        <v>6</v>
      </c>
      <c r="I29" s="79" t="s">
        <v>7</v>
      </c>
      <c r="J29" s="79" t="s">
        <v>8</v>
      </c>
      <c r="K29" s="79" t="s">
        <v>9</v>
      </c>
      <c r="L29" s="79" t="s">
        <v>10</v>
      </c>
      <c r="M29" s="79" t="s">
        <v>11</v>
      </c>
      <c r="N29" s="79" t="s">
        <v>12</v>
      </c>
      <c r="O29" s="296" t="s">
        <v>685</v>
      </c>
      <c r="P29" s="580" t="s">
        <v>1111</v>
      </c>
    </row>
    <row r="30" spans="2:16" ht="15">
      <c r="B30" s="239" t="s">
        <v>37</v>
      </c>
      <c r="C30" s="240"/>
      <c r="D30" s="240"/>
      <c r="E30" s="240"/>
      <c r="F30" s="240"/>
      <c r="G30" s="240"/>
      <c r="H30" s="240"/>
      <c r="I30" s="240"/>
      <c r="J30" s="240"/>
      <c r="K30" s="240"/>
      <c r="L30" s="240"/>
      <c r="M30" s="240"/>
      <c r="N30" s="239"/>
      <c r="O30" s="297"/>
      <c r="P30" s="297"/>
    </row>
    <row r="31" spans="2:16" ht="15">
      <c r="B31" s="241" t="s">
        <v>38</v>
      </c>
      <c r="C31" s="242"/>
      <c r="D31" s="242"/>
      <c r="E31" s="242"/>
      <c r="F31" s="242"/>
      <c r="G31" s="242"/>
      <c r="H31" s="242"/>
      <c r="I31" s="242"/>
      <c r="J31" s="242"/>
      <c r="K31" s="242"/>
      <c r="L31" s="242"/>
      <c r="M31" s="242"/>
      <c r="N31" s="242"/>
      <c r="O31" s="298"/>
      <c r="P31" s="298"/>
    </row>
    <row r="32" spans="2:16" s="166" customFormat="1" ht="15.5">
      <c r="B32" s="252" t="s">
        <v>39</v>
      </c>
      <c r="C32" s="209">
        <v>35</v>
      </c>
      <c r="D32" s="209">
        <v>0</v>
      </c>
      <c r="E32" s="209">
        <v>20</v>
      </c>
      <c r="F32" s="209">
        <v>6</v>
      </c>
      <c r="G32" s="209">
        <v>1</v>
      </c>
      <c r="H32" s="209">
        <v>1</v>
      </c>
      <c r="I32" s="209">
        <v>2</v>
      </c>
      <c r="J32" s="209">
        <v>1</v>
      </c>
      <c r="K32" s="209">
        <v>1</v>
      </c>
      <c r="L32" s="209">
        <v>1</v>
      </c>
      <c r="M32" s="209">
        <v>1</v>
      </c>
      <c r="N32" s="209">
        <v>1</v>
      </c>
      <c r="O32" s="299">
        <v>1.284</v>
      </c>
      <c r="P32" s="299">
        <v>1</v>
      </c>
    </row>
    <row r="33" spans="2:16" s="166" customFormat="1" ht="15.5">
      <c r="B33" s="252" t="s">
        <v>40</v>
      </c>
      <c r="C33" s="209">
        <v>8</v>
      </c>
      <c r="D33" s="209">
        <v>0</v>
      </c>
      <c r="E33" s="209">
        <v>0</v>
      </c>
      <c r="F33" s="209">
        <v>0</v>
      </c>
      <c r="G33" s="209">
        <v>0</v>
      </c>
      <c r="H33" s="209">
        <v>1</v>
      </c>
      <c r="I33" s="209">
        <v>2</v>
      </c>
      <c r="J33" s="209">
        <v>1</v>
      </c>
      <c r="K33" s="209">
        <v>1</v>
      </c>
      <c r="L33" s="209">
        <v>2</v>
      </c>
      <c r="M33" s="209">
        <v>1</v>
      </c>
      <c r="N33" s="209">
        <v>1</v>
      </c>
      <c r="O33" s="299">
        <v>1.0669999999999999</v>
      </c>
      <c r="P33" s="299">
        <v>12</v>
      </c>
    </row>
    <row r="34" spans="2:16" s="166" customFormat="1" ht="15.5">
      <c r="B34" s="252" t="s">
        <v>41</v>
      </c>
      <c r="C34" s="209">
        <v>53</v>
      </c>
      <c r="D34" s="209">
        <v>16</v>
      </c>
      <c r="E34" s="209">
        <v>21</v>
      </c>
      <c r="F34" s="209">
        <v>30</v>
      </c>
      <c r="G34" s="209">
        <v>28</v>
      </c>
      <c r="H34" s="209">
        <v>29</v>
      </c>
      <c r="I34" s="209">
        <v>7</v>
      </c>
      <c r="J34" s="209">
        <v>8</v>
      </c>
      <c r="K34" s="209">
        <v>7</v>
      </c>
      <c r="L34" s="209">
        <v>4</v>
      </c>
      <c r="M34" s="209">
        <v>1</v>
      </c>
      <c r="N34" s="209">
        <v>2</v>
      </c>
      <c r="O34" s="299">
        <v>1.1859999999999999</v>
      </c>
      <c r="P34" s="299">
        <v>0</v>
      </c>
    </row>
    <row r="35" spans="2:16" s="166" customFormat="1" ht="15.5">
      <c r="B35" s="252" t="s">
        <v>43</v>
      </c>
      <c r="C35" s="209">
        <v>1</v>
      </c>
      <c r="D35" s="209">
        <v>3</v>
      </c>
      <c r="E35" s="209">
        <v>1</v>
      </c>
      <c r="F35" s="209">
        <v>2</v>
      </c>
      <c r="G35" s="209">
        <v>2</v>
      </c>
      <c r="H35" s="209">
        <v>2</v>
      </c>
      <c r="I35" s="209">
        <v>3</v>
      </c>
      <c r="J35" s="209">
        <v>2</v>
      </c>
      <c r="K35" s="209">
        <v>3</v>
      </c>
      <c r="L35" s="209">
        <v>1</v>
      </c>
      <c r="M35" s="209">
        <v>2</v>
      </c>
      <c r="N35" s="209">
        <v>2</v>
      </c>
      <c r="O35" s="299">
        <v>0.59299999999999997</v>
      </c>
      <c r="P35" s="299">
        <v>1</v>
      </c>
    </row>
    <row r="36" spans="2:16" s="166" customFormat="1" ht="15.5">
      <c r="B36" s="252" t="s">
        <v>113</v>
      </c>
      <c r="C36" s="209">
        <v>0</v>
      </c>
      <c r="D36" s="209">
        <v>0</v>
      </c>
      <c r="E36" s="209">
        <v>0</v>
      </c>
      <c r="F36" s="209">
        <v>0</v>
      </c>
      <c r="G36" s="209">
        <v>0</v>
      </c>
      <c r="H36" s="209">
        <v>0</v>
      </c>
      <c r="I36" s="209">
        <v>0</v>
      </c>
      <c r="J36" s="209">
        <v>0</v>
      </c>
      <c r="K36" s="209">
        <v>0</v>
      </c>
      <c r="L36" s="209">
        <v>0</v>
      </c>
      <c r="M36" s="209">
        <v>0</v>
      </c>
      <c r="N36" s="209">
        <v>0</v>
      </c>
      <c r="O36" s="299">
        <v>0</v>
      </c>
      <c r="P36" s="299"/>
    </row>
    <row r="37" spans="2:16" s="166" customFormat="1" ht="15.5">
      <c r="B37" s="252" t="s">
        <v>44</v>
      </c>
      <c r="C37" s="209">
        <v>0</v>
      </c>
      <c r="D37" s="209">
        <v>0</v>
      </c>
      <c r="E37" s="209">
        <v>0</v>
      </c>
      <c r="F37" s="209">
        <v>0</v>
      </c>
      <c r="G37" s="209">
        <v>0</v>
      </c>
      <c r="H37" s="209">
        <v>0</v>
      </c>
      <c r="I37" s="209">
        <v>0</v>
      </c>
      <c r="J37" s="209">
        <v>0</v>
      </c>
      <c r="K37" s="209">
        <v>0</v>
      </c>
      <c r="L37" s="209">
        <v>0</v>
      </c>
      <c r="M37" s="209">
        <v>0</v>
      </c>
      <c r="N37" s="209">
        <v>0</v>
      </c>
      <c r="O37" s="299">
        <v>0</v>
      </c>
      <c r="P37" s="299"/>
    </row>
    <row r="38" spans="2:16" ht="15">
      <c r="B38" s="244" t="s">
        <v>45</v>
      </c>
      <c r="C38" s="245">
        <f t="shared" ref="C38:N38" si="0">SUM(C32:C37)</f>
        <v>97</v>
      </c>
      <c r="D38" s="245">
        <f t="shared" si="0"/>
        <v>19</v>
      </c>
      <c r="E38" s="245">
        <f t="shared" si="0"/>
        <v>42</v>
      </c>
      <c r="F38" s="245">
        <f t="shared" si="0"/>
        <v>38</v>
      </c>
      <c r="G38" s="245">
        <f t="shared" si="0"/>
        <v>31</v>
      </c>
      <c r="H38" s="245">
        <f t="shared" si="0"/>
        <v>33</v>
      </c>
      <c r="I38" s="245">
        <f t="shared" si="0"/>
        <v>14</v>
      </c>
      <c r="J38" s="245">
        <f t="shared" si="0"/>
        <v>12</v>
      </c>
      <c r="K38" s="245">
        <f t="shared" si="0"/>
        <v>12</v>
      </c>
      <c r="L38" s="245">
        <f t="shared" si="0"/>
        <v>8</v>
      </c>
      <c r="M38" s="245">
        <f t="shared" si="0"/>
        <v>5</v>
      </c>
      <c r="N38" s="245">
        <f t="shared" si="0"/>
        <v>6</v>
      </c>
      <c r="O38" s="300">
        <v>4.13</v>
      </c>
      <c r="P38" s="300">
        <f>SUM(P32:P37)</f>
        <v>14</v>
      </c>
    </row>
    <row r="39" spans="2:16" ht="15">
      <c r="B39" s="241" t="s">
        <v>46</v>
      </c>
      <c r="C39" s="242"/>
      <c r="D39" s="242"/>
      <c r="E39" s="242"/>
      <c r="F39" s="242"/>
      <c r="G39" s="242"/>
      <c r="H39" s="242"/>
      <c r="I39" s="242"/>
      <c r="J39" s="242"/>
      <c r="K39" s="242"/>
      <c r="L39" s="242"/>
      <c r="M39" s="242"/>
      <c r="N39" s="242"/>
      <c r="O39" s="298">
        <v>0</v>
      </c>
      <c r="P39" s="298"/>
    </row>
    <row r="40" spans="2:16" s="166" customFormat="1" ht="15.5">
      <c r="B40" s="252" t="s">
        <v>47</v>
      </c>
      <c r="C40" s="209">
        <v>4</v>
      </c>
      <c r="D40" s="209">
        <v>3</v>
      </c>
      <c r="E40" s="209">
        <v>9</v>
      </c>
      <c r="F40" s="209">
        <v>22</v>
      </c>
      <c r="G40" s="209">
        <v>11</v>
      </c>
      <c r="H40" s="209">
        <v>86</v>
      </c>
      <c r="I40" s="209">
        <v>64</v>
      </c>
      <c r="J40" s="209">
        <v>44</v>
      </c>
      <c r="K40" s="209">
        <v>19</v>
      </c>
      <c r="L40" s="209">
        <v>15</v>
      </c>
      <c r="M40" s="209">
        <v>8</v>
      </c>
      <c r="N40" s="209">
        <v>85</v>
      </c>
      <c r="O40" s="299">
        <v>49.622</v>
      </c>
      <c r="P40" s="299">
        <v>52</v>
      </c>
    </row>
    <row r="41" spans="2:16" s="166" customFormat="1" ht="15.5">
      <c r="B41" s="252" t="s">
        <v>48</v>
      </c>
      <c r="C41" s="209">
        <v>0</v>
      </c>
      <c r="D41" s="209">
        <v>0</v>
      </c>
      <c r="E41" s="209">
        <v>0</v>
      </c>
      <c r="F41" s="209">
        <v>0</v>
      </c>
      <c r="G41" s="209">
        <v>0</v>
      </c>
      <c r="H41" s="209">
        <v>0</v>
      </c>
      <c r="I41" s="209">
        <v>0</v>
      </c>
      <c r="J41" s="209">
        <v>0</v>
      </c>
      <c r="K41" s="209">
        <v>0</v>
      </c>
      <c r="L41" s="209">
        <v>0</v>
      </c>
      <c r="M41" s="209">
        <v>0</v>
      </c>
      <c r="N41" s="209">
        <v>0</v>
      </c>
      <c r="O41" s="299">
        <v>0</v>
      </c>
      <c r="P41" s="299"/>
    </row>
    <row r="42" spans="2:16" s="166" customFormat="1" ht="15.5">
      <c r="B42" s="252" t="s">
        <v>94</v>
      </c>
      <c r="C42" s="209">
        <v>0</v>
      </c>
      <c r="D42" s="209">
        <v>0</v>
      </c>
      <c r="E42" s="209">
        <v>0</v>
      </c>
      <c r="F42" s="209">
        <v>0</v>
      </c>
      <c r="G42" s="209">
        <v>0</v>
      </c>
      <c r="H42" s="209">
        <v>0</v>
      </c>
      <c r="I42" s="209">
        <v>0</v>
      </c>
      <c r="J42" s="209">
        <v>0</v>
      </c>
      <c r="K42" s="209">
        <v>0</v>
      </c>
      <c r="L42" s="209">
        <v>0</v>
      </c>
      <c r="M42" s="209">
        <v>0</v>
      </c>
      <c r="N42" s="209">
        <v>0</v>
      </c>
      <c r="O42" s="299">
        <v>0</v>
      </c>
      <c r="P42" s="299"/>
    </row>
    <row r="43" spans="2:16" s="166" customFormat="1" ht="15.5">
      <c r="B43" s="252" t="s">
        <v>95</v>
      </c>
      <c r="C43" s="209">
        <v>0</v>
      </c>
      <c r="D43" s="209">
        <v>0</v>
      </c>
      <c r="E43" s="209">
        <v>0</v>
      </c>
      <c r="F43" s="209">
        <v>0</v>
      </c>
      <c r="G43" s="209">
        <v>0</v>
      </c>
      <c r="H43" s="209">
        <v>0</v>
      </c>
      <c r="I43" s="209">
        <v>0</v>
      </c>
      <c r="J43" s="209">
        <v>0</v>
      </c>
      <c r="K43" s="209">
        <v>0</v>
      </c>
      <c r="L43" s="209">
        <v>0</v>
      </c>
      <c r="M43" s="209">
        <v>0</v>
      </c>
      <c r="N43" s="209">
        <v>0</v>
      </c>
      <c r="O43" s="299">
        <v>0</v>
      </c>
      <c r="P43" s="299"/>
    </row>
    <row r="44" spans="2:16" s="166" customFormat="1" ht="15.5">
      <c r="B44" s="252" t="s">
        <v>40</v>
      </c>
      <c r="C44" s="209">
        <v>0</v>
      </c>
      <c r="D44" s="209">
        <v>1</v>
      </c>
      <c r="E44" s="209">
        <v>2</v>
      </c>
      <c r="F44" s="209">
        <v>1</v>
      </c>
      <c r="G44" s="209">
        <v>14</v>
      </c>
      <c r="H44" s="209">
        <v>8</v>
      </c>
      <c r="I44" s="209">
        <v>4</v>
      </c>
      <c r="J44" s="209">
        <v>10</v>
      </c>
      <c r="K44" s="209">
        <v>11</v>
      </c>
      <c r="L44" s="209">
        <v>14</v>
      </c>
      <c r="M44" s="209">
        <v>21</v>
      </c>
      <c r="N44" s="209">
        <v>28</v>
      </c>
      <c r="O44" s="299">
        <v>30.213000000000001</v>
      </c>
      <c r="P44" s="299">
        <v>34</v>
      </c>
    </row>
    <row r="45" spans="2:16" s="166" customFormat="1" ht="15.5">
      <c r="B45" s="252" t="s">
        <v>51</v>
      </c>
      <c r="C45" s="209">
        <v>0</v>
      </c>
      <c r="D45" s="209">
        <v>0</v>
      </c>
      <c r="E45" s="209">
        <v>0</v>
      </c>
      <c r="F45" s="209">
        <v>0</v>
      </c>
      <c r="G45" s="209">
        <v>0</v>
      </c>
      <c r="H45" s="209">
        <v>0</v>
      </c>
      <c r="I45" s="209">
        <v>0</v>
      </c>
      <c r="J45" s="209">
        <v>0</v>
      </c>
      <c r="K45" s="209">
        <v>0</v>
      </c>
      <c r="L45" s="209">
        <v>0</v>
      </c>
      <c r="M45" s="209">
        <v>0</v>
      </c>
      <c r="N45" s="209">
        <v>0</v>
      </c>
      <c r="O45" s="299">
        <v>0</v>
      </c>
      <c r="P45" s="299"/>
    </row>
    <row r="46" spans="2:16" s="166" customFormat="1" ht="15.5">
      <c r="B46" s="252" t="s">
        <v>52</v>
      </c>
      <c r="C46" s="209">
        <v>484</v>
      </c>
      <c r="D46" s="209">
        <v>740</v>
      </c>
      <c r="E46" s="209">
        <v>784</v>
      </c>
      <c r="F46" s="209">
        <v>854</v>
      </c>
      <c r="G46" s="209">
        <v>878</v>
      </c>
      <c r="H46" s="209">
        <v>880</v>
      </c>
      <c r="I46" s="209">
        <v>917</v>
      </c>
      <c r="J46" s="209">
        <v>862</v>
      </c>
      <c r="K46" s="209">
        <v>891</v>
      </c>
      <c r="L46" s="209">
        <v>1018</v>
      </c>
      <c r="M46" s="209">
        <v>1013</v>
      </c>
      <c r="N46" s="209">
        <v>1006</v>
      </c>
      <c r="O46" s="299">
        <v>1034.9549999999999</v>
      </c>
      <c r="P46" s="299">
        <v>1050</v>
      </c>
    </row>
    <row r="47" spans="2:16" s="166" customFormat="1" ht="15.5">
      <c r="B47" s="252" t="s">
        <v>53</v>
      </c>
      <c r="C47" s="209">
        <v>0</v>
      </c>
      <c r="D47" s="209">
        <v>0</v>
      </c>
      <c r="E47" s="209">
        <v>0</v>
      </c>
      <c r="F47" s="209">
        <v>0</v>
      </c>
      <c r="G47" s="209">
        <v>0</v>
      </c>
      <c r="H47" s="209">
        <v>0</v>
      </c>
      <c r="I47" s="209">
        <v>0</v>
      </c>
      <c r="J47" s="209">
        <v>0</v>
      </c>
      <c r="K47" s="209">
        <v>0</v>
      </c>
      <c r="L47" s="209">
        <v>0</v>
      </c>
      <c r="M47" s="209">
        <v>0</v>
      </c>
      <c r="N47" s="209">
        <v>0</v>
      </c>
      <c r="O47" s="299">
        <v>0</v>
      </c>
      <c r="P47" s="299"/>
    </row>
    <row r="48" spans="2:16" s="166" customFormat="1" ht="15.5">
      <c r="B48" s="252" t="s">
        <v>55</v>
      </c>
      <c r="C48" s="209">
        <v>0</v>
      </c>
      <c r="D48" s="209">
        <v>2</v>
      </c>
      <c r="E48" s="209">
        <v>2</v>
      </c>
      <c r="F48" s="209">
        <v>2</v>
      </c>
      <c r="G48" s="209">
        <v>2</v>
      </c>
      <c r="H48" s="209">
        <v>25</v>
      </c>
      <c r="I48" s="209">
        <v>25</v>
      </c>
      <c r="J48" s="209">
        <v>101</v>
      </c>
      <c r="K48" s="209">
        <v>101</v>
      </c>
      <c r="L48" s="209">
        <v>109</v>
      </c>
      <c r="M48" s="209">
        <v>109</v>
      </c>
      <c r="N48" s="209">
        <v>109</v>
      </c>
      <c r="O48" s="299">
        <v>109.471</v>
      </c>
      <c r="P48" s="299">
        <v>109</v>
      </c>
    </row>
    <row r="49" spans="2:16" s="166" customFormat="1" ht="15.5">
      <c r="B49" s="252" t="s">
        <v>43</v>
      </c>
      <c r="C49" s="209">
        <v>0</v>
      </c>
      <c r="D49" s="209">
        <v>0</v>
      </c>
      <c r="E49" s="209">
        <v>0</v>
      </c>
      <c r="F49" s="209">
        <v>0</v>
      </c>
      <c r="G49" s="209">
        <v>0</v>
      </c>
      <c r="H49" s="209">
        <v>0</v>
      </c>
      <c r="I49" s="209">
        <v>0</v>
      </c>
      <c r="J49" s="209">
        <v>0</v>
      </c>
      <c r="K49" s="209">
        <v>0</v>
      </c>
      <c r="L49" s="209">
        <v>0</v>
      </c>
      <c r="M49" s="209">
        <v>0</v>
      </c>
      <c r="N49" s="209">
        <v>0</v>
      </c>
      <c r="O49" s="299">
        <v>0.41699999999999998</v>
      </c>
      <c r="P49" s="299"/>
    </row>
    <row r="50" spans="2:16" s="166" customFormat="1" ht="15.5">
      <c r="B50" s="252" t="s">
        <v>56</v>
      </c>
      <c r="C50" s="209">
        <v>10</v>
      </c>
      <c r="D50" s="209">
        <v>21</v>
      </c>
      <c r="E50" s="209">
        <v>18</v>
      </c>
      <c r="F50" s="209">
        <v>19</v>
      </c>
      <c r="G50" s="209">
        <v>14</v>
      </c>
      <c r="H50" s="209">
        <v>43</v>
      </c>
      <c r="I50" s="209">
        <v>60</v>
      </c>
      <c r="J50" s="209">
        <v>75</v>
      </c>
      <c r="K50" s="209">
        <v>98</v>
      </c>
      <c r="L50" s="209">
        <v>92</v>
      </c>
      <c r="M50" s="209">
        <v>122</v>
      </c>
      <c r="N50" s="209">
        <v>132</v>
      </c>
      <c r="O50" s="299">
        <v>141.44399999999999</v>
      </c>
      <c r="P50" s="299">
        <v>150</v>
      </c>
    </row>
    <row r="51" spans="2:16" s="166" customFormat="1" ht="15.5">
      <c r="B51" s="252" t="s">
        <v>57</v>
      </c>
      <c r="C51" s="209">
        <v>0</v>
      </c>
      <c r="D51" s="209">
        <v>0</v>
      </c>
      <c r="E51" s="209">
        <v>0</v>
      </c>
      <c r="F51" s="209">
        <v>0</v>
      </c>
      <c r="G51" s="209">
        <v>0</v>
      </c>
      <c r="H51" s="209">
        <v>0</v>
      </c>
      <c r="I51" s="209">
        <v>0</v>
      </c>
      <c r="J51" s="209">
        <v>0</v>
      </c>
      <c r="K51" s="209">
        <v>1</v>
      </c>
      <c r="L51" s="209">
        <v>1</v>
      </c>
      <c r="M51" s="209">
        <v>1</v>
      </c>
      <c r="N51" s="209">
        <v>1</v>
      </c>
      <c r="O51" s="299">
        <v>0.96299999999999997</v>
      </c>
      <c r="P51" s="299">
        <v>1</v>
      </c>
    </row>
    <row r="52" spans="2:16" s="166" customFormat="1" ht="15.5">
      <c r="B52" s="252" t="s">
        <v>44</v>
      </c>
      <c r="C52" s="209">
        <v>0</v>
      </c>
      <c r="D52" s="209">
        <v>0</v>
      </c>
      <c r="E52" s="209">
        <v>0</v>
      </c>
      <c r="F52" s="209">
        <v>0</v>
      </c>
      <c r="G52" s="209">
        <v>0</v>
      </c>
      <c r="H52" s="209">
        <v>0</v>
      </c>
      <c r="I52" s="209">
        <v>0</v>
      </c>
      <c r="J52" s="209">
        <v>0</v>
      </c>
      <c r="K52" s="209">
        <v>0</v>
      </c>
      <c r="L52" s="209">
        <v>0</v>
      </c>
      <c r="M52" s="209">
        <v>0</v>
      </c>
      <c r="N52" s="209">
        <v>0</v>
      </c>
      <c r="O52" s="299">
        <v>0</v>
      </c>
      <c r="P52" s="299"/>
    </row>
    <row r="53" spans="2:16" ht="15">
      <c r="B53" s="241" t="s">
        <v>59</v>
      </c>
      <c r="C53" s="246">
        <f t="shared" ref="C53:N53" si="1">SUM(C40:C52)</f>
        <v>498</v>
      </c>
      <c r="D53" s="246">
        <f t="shared" si="1"/>
        <v>767</v>
      </c>
      <c r="E53" s="246">
        <f t="shared" si="1"/>
        <v>815</v>
      </c>
      <c r="F53" s="246">
        <f t="shared" si="1"/>
        <v>898</v>
      </c>
      <c r="G53" s="246">
        <f t="shared" si="1"/>
        <v>919</v>
      </c>
      <c r="H53" s="246">
        <f t="shared" si="1"/>
        <v>1042</v>
      </c>
      <c r="I53" s="246">
        <f t="shared" si="1"/>
        <v>1070</v>
      </c>
      <c r="J53" s="246">
        <f t="shared" si="1"/>
        <v>1092</v>
      </c>
      <c r="K53" s="246">
        <f t="shared" si="1"/>
        <v>1121</v>
      </c>
      <c r="L53" s="246">
        <f t="shared" si="1"/>
        <v>1249</v>
      </c>
      <c r="M53" s="246">
        <f t="shared" si="1"/>
        <v>1274</v>
      </c>
      <c r="N53" s="246">
        <f t="shared" si="1"/>
        <v>1361</v>
      </c>
      <c r="O53" s="301">
        <v>1367.085</v>
      </c>
      <c r="P53" s="301">
        <f>SUM(P40:P52)</f>
        <v>1396</v>
      </c>
    </row>
    <row r="54" spans="2:16" ht="15">
      <c r="B54" s="244" t="s">
        <v>60</v>
      </c>
      <c r="C54" s="245">
        <f t="shared" ref="C54:N54" si="2">+C38+C53</f>
        <v>595</v>
      </c>
      <c r="D54" s="245">
        <f t="shared" si="2"/>
        <v>786</v>
      </c>
      <c r="E54" s="245">
        <f t="shared" si="2"/>
        <v>857</v>
      </c>
      <c r="F54" s="245">
        <f t="shared" si="2"/>
        <v>936</v>
      </c>
      <c r="G54" s="245">
        <f t="shared" si="2"/>
        <v>950</v>
      </c>
      <c r="H54" s="245">
        <f t="shared" si="2"/>
        <v>1075</v>
      </c>
      <c r="I54" s="245">
        <f t="shared" si="2"/>
        <v>1084</v>
      </c>
      <c r="J54" s="245">
        <f t="shared" si="2"/>
        <v>1104</v>
      </c>
      <c r="K54" s="245">
        <f t="shared" si="2"/>
        <v>1133</v>
      </c>
      <c r="L54" s="245">
        <f t="shared" si="2"/>
        <v>1257</v>
      </c>
      <c r="M54" s="245">
        <f t="shared" si="2"/>
        <v>1279</v>
      </c>
      <c r="N54" s="245">
        <f t="shared" si="2"/>
        <v>1367</v>
      </c>
      <c r="O54" s="300">
        <v>1371.2149999999999</v>
      </c>
      <c r="P54" s="300">
        <f>+P53+P38</f>
        <v>1410</v>
      </c>
    </row>
    <row r="55" spans="2:16" ht="15">
      <c r="B55" s="208"/>
      <c r="C55" s="206"/>
      <c r="D55" s="206"/>
      <c r="E55" s="206"/>
      <c r="F55" s="206"/>
      <c r="G55" s="206"/>
      <c r="H55" s="206"/>
      <c r="I55" s="206"/>
      <c r="J55" s="206"/>
      <c r="K55" s="206"/>
      <c r="L55" s="206"/>
      <c r="M55" s="206"/>
      <c r="N55" s="206"/>
      <c r="O55" s="302">
        <v>0</v>
      </c>
      <c r="P55" s="185"/>
    </row>
    <row r="56" spans="2:16" ht="15">
      <c r="B56" s="247" t="s">
        <v>61</v>
      </c>
      <c r="C56" s="248"/>
      <c r="D56" s="248"/>
      <c r="E56" s="248"/>
      <c r="F56" s="248"/>
      <c r="G56" s="248"/>
      <c r="H56" s="248"/>
      <c r="I56" s="248"/>
      <c r="J56" s="248"/>
      <c r="K56" s="248"/>
      <c r="L56" s="248"/>
      <c r="M56" s="248"/>
      <c r="N56" s="248"/>
      <c r="O56" s="303">
        <v>0</v>
      </c>
      <c r="P56" s="303"/>
    </row>
    <row r="57" spans="2:16" ht="15">
      <c r="B57" s="241" t="s">
        <v>62</v>
      </c>
      <c r="C57" s="249"/>
      <c r="D57" s="249"/>
      <c r="E57" s="249"/>
      <c r="F57" s="249"/>
      <c r="G57" s="249"/>
      <c r="H57" s="249"/>
      <c r="I57" s="249"/>
      <c r="J57" s="249"/>
      <c r="K57" s="249"/>
      <c r="L57" s="249"/>
      <c r="M57" s="249"/>
      <c r="N57" s="249"/>
      <c r="O57" s="304">
        <v>0</v>
      </c>
      <c r="P57" s="304"/>
    </row>
    <row r="58" spans="2:16" s="166" customFormat="1" ht="15.5">
      <c r="B58" s="252" t="s">
        <v>63</v>
      </c>
      <c r="C58" s="209">
        <v>0</v>
      </c>
      <c r="D58" s="209">
        <v>0</v>
      </c>
      <c r="E58" s="209">
        <v>-18</v>
      </c>
      <c r="F58" s="209">
        <v>0</v>
      </c>
      <c r="G58" s="209">
        <v>0</v>
      </c>
      <c r="H58" s="209">
        <v>0</v>
      </c>
      <c r="I58" s="209">
        <v>0</v>
      </c>
      <c r="J58" s="209">
        <v>0</v>
      </c>
      <c r="K58" s="209">
        <v>0</v>
      </c>
      <c r="L58" s="209">
        <v>0</v>
      </c>
      <c r="M58" s="209">
        <v>0</v>
      </c>
      <c r="N58" s="209">
        <v>0</v>
      </c>
      <c r="O58" s="299">
        <v>0</v>
      </c>
      <c r="P58" s="299">
        <v>-8</v>
      </c>
    </row>
    <row r="59" spans="2:16" s="166" customFormat="1" ht="15.5">
      <c r="B59" s="252" t="s">
        <v>64</v>
      </c>
      <c r="C59" s="209">
        <v>5</v>
      </c>
      <c r="D59" s="209">
        <v>17</v>
      </c>
      <c r="E59" s="209">
        <v>14</v>
      </c>
      <c r="F59" s="209">
        <v>12</v>
      </c>
      <c r="G59" s="209">
        <v>9</v>
      </c>
      <c r="H59" s="209">
        <v>7</v>
      </c>
      <c r="I59" s="209">
        <v>3</v>
      </c>
      <c r="J59" s="209">
        <v>3</v>
      </c>
      <c r="K59" s="209">
        <v>10</v>
      </c>
      <c r="L59" s="209">
        <v>1</v>
      </c>
      <c r="M59" s="209">
        <v>2</v>
      </c>
      <c r="N59" s="209">
        <v>3</v>
      </c>
      <c r="O59" s="299">
        <v>8.4450000000000003</v>
      </c>
      <c r="P59" s="299">
        <v>4</v>
      </c>
    </row>
    <row r="60" spans="2:16" s="166" customFormat="1" ht="15.5">
      <c r="B60" s="252" t="s">
        <v>66</v>
      </c>
      <c r="C60" s="209">
        <v>0</v>
      </c>
      <c r="D60" s="209">
        <v>1</v>
      </c>
      <c r="E60" s="209">
        <v>0</v>
      </c>
      <c r="F60" s="209">
        <v>0</v>
      </c>
      <c r="G60" s="209">
        <v>0</v>
      </c>
      <c r="H60" s="209">
        <v>0</v>
      </c>
      <c r="I60" s="209">
        <v>1</v>
      </c>
      <c r="J60" s="209">
        <v>1</v>
      </c>
      <c r="K60" s="209">
        <v>2</v>
      </c>
      <c r="L60" s="209">
        <v>0</v>
      </c>
      <c r="M60" s="209">
        <v>1</v>
      </c>
      <c r="N60" s="209">
        <v>1</v>
      </c>
      <c r="O60" s="299">
        <v>0.216</v>
      </c>
      <c r="P60" s="299">
        <v>0</v>
      </c>
    </row>
    <row r="61" spans="2:16" s="166" customFormat="1" ht="15.5">
      <c r="B61" s="252" t="s">
        <v>41</v>
      </c>
      <c r="C61" s="209">
        <v>23</v>
      </c>
      <c r="D61" s="209">
        <v>3</v>
      </c>
      <c r="E61" s="209">
        <v>0</v>
      </c>
      <c r="F61" s="209">
        <v>1</v>
      </c>
      <c r="G61" s="209">
        <v>1</v>
      </c>
      <c r="H61" s="209">
        <v>1</v>
      </c>
      <c r="I61" s="209">
        <v>2</v>
      </c>
      <c r="J61" s="209">
        <v>1</v>
      </c>
      <c r="K61" s="209">
        <v>1</v>
      </c>
      <c r="L61" s="209">
        <v>1</v>
      </c>
      <c r="M61" s="209">
        <v>1</v>
      </c>
      <c r="N61" s="209">
        <v>1</v>
      </c>
      <c r="O61" s="299">
        <v>1.099</v>
      </c>
      <c r="P61" s="299">
        <v>3</v>
      </c>
    </row>
    <row r="62" spans="2:16" s="166" customFormat="1" ht="15.5">
      <c r="B62" s="252" t="s">
        <v>67</v>
      </c>
      <c r="C62" s="209">
        <v>0</v>
      </c>
      <c r="D62" s="209">
        <v>0</v>
      </c>
      <c r="E62" s="209">
        <v>0</v>
      </c>
      <c r="F62" s="209">
        <v>0</v>
      </c>
      <c r="G62" s="209">
        <v>0</v>
      </c>
      <c r="H62" s="209">
        <v>6</v>
      </c>
      <c r="I62" s="209">
        <v>9</v>
      </c>
      <c r="J62" s="209">
        <v>3</v>
      </c>
      <c r="K62" s="209">
        <v>2</v>
      </c>
      <c r="L62" s="209">
        <v>125</v>
      </c>
      <c r="M62" s="209">
        <v>44</v>
      </c>
      <c r="N62" s="209">
        <v>31</v>
      </c>
      <c r="O62" s="299">
        <v>24.690999999999999</v>
      </c>
      <c r="P62" s="299">
        <v>59</v>
      </c>
    </row>
    <row r="63" spans="2:16" s="166" customFormat="1" ht="15.5">
      <c r="B63" s="252" t="s">
        <v>65</v>
      </c>
      <c r="C63" s="209">
        <v>0</v>
      </c>
      <c r="D63" s="209">
        <v>0</v>
      </c>
      <c r="E63" s="209">
        <v>0</v>
      </c>
      <c r="F63" s="209">
        <v>0</v>
      </c>
      <c r="G63" s="209">
        <v>0</v>
      </c>
      <c r="H63" s="209">
        <v>1</v>
      </c>
      <c r="I63" s="209">
        <v>1</v>
      </c>
      <c r="J63" s="209">
        <v>1</v>
      </c>
      <c r="K63" s="209">
        <v>1</v>
      </c>
      <c r="L63" s="209">
        <v>0</v>
      </c>
      <c r="M63" s="209">
        <v>79</v>
      </c>
      <c r="N63" s="209">
        <v>78</v>
      </c>
      <c r="O63" s="299">
        <v>78.554000000000002</v>
      </c>
      <c r="P63" s="299">
        <v>79</v>
      </c>
    </row>
    <row r="64" spans="2:16" s="166" customFormat="1" ht="15.5">
      <c r="B64" s="252" t="s">
        <v>68</v>
      </c>
      <c r="C64" s="209">
        <v>0</v>
      </c>
      <c r="D64" s="209">
        <v>0</v>
      </c>
      <c r="E64" s="209">
        <v>0</v>
      </c>
      <c r="F64" s="209">
        <v>0</v>
      </c>
      <c r="G64" s="209">
        <v>0</v>
      </c>
      <c r="H64" s="209">
        <v>0</v>
      </c>
      <c r="I64" s="209">
        <v>0</v>
      </c>
      <c r="J64" s="209">
        <v>0</v>
      </c>
      <c r="K64" s="209">
        <v>0</v>
      </c>
      <c r="L64" s="209">
        <v>0</v>
      </c>
      <c r="M64" s="209">
        <v>0</v>
      </c>
      <c r="N64" s="209">
        <v>0</v>
      </c>
      <c r="O64" s="299">
        <v>0</v>
      </c>
      <c r="P64" s="299"/>
    </row>
    <row r="65" spans="2:16" s="166" customFormat="1" ht="15.5">
      <c r="B65" s="252" t="s">
        <v>96</v>
      </c>
      <c r="C65" s="209">
        <v>0</v>
      </c>
      <c r="D65" s="209">
        <v>0</v>
      </c>
      <c r="E65" s="209">
        <v>0</v>
      </c>
      <c r="F65" s="209">
        <v>0</v>
      </c>
      <c r="G65" s="209">
        <v>0</v>
      </c>
      <c r="H65" s="209">
        <v>0</v>
      </c>
      <c r="I65" s="209">
        <v>0</v>
      </c>
      <c r="J65" s="209">
        <v>0</v>
      </c>
      <c r="K65" s="209">
        <v>0</v>
      </c>
      <c r="L65" s="209">
        <v>0</v>
      </c>
      <c r="M65" s="209">
        <v>0</v>
      </c>
      <c r="N65" s="209">
        <v>0</v>
      </c>
      <c r="O65" s="299">
        <v>0</v>
      </c>
      <c r="P65" s="299"/>
    </row>
    <row r="66" spans="2:16" ht="15">
      <c r="B66" s="241" t="s">
        <v>70</v>
      </c>
      <c r="C66" s="246">
        <f t="shared" ref="C66:N66" si="3">SUM(C58:C65)</f>
        <v>28</v>
      </c>
      <c r="D66" s="246">
        <f t="shared" si="3"/>
        <v>21</v>
      </c>
      <c r="E66" s="246">
        <f t="shared" si="3"/>
        <v>-4</v>
      </c>
      <c r="F66" s="246">
        <f t="shared" si="3"/>
        <v>13</v>
      </c>
      <c r="G66" s="246">
        <f t="shared" si="3"/>
        <v>10</v>
      </c>
      <c r="H66" s="246">
        <f t="shared" si="3"/>
        <v>15</v>
      </c>
      <c r="I66" s="246">
        <f t="shared" si="3"/>
        <v>16</v>
      </c>
      <c r="J66" s="246">
        <f t="shared" si="3"/>
        <v>9</v>
      </c>
      <c r="K66" s="246">
        <f t="shared" si="3"/>
        <v>16</v>
      </c>
      <c r="L66" s="246">
        <f t="shared" si="3"/>
        <v>127</v>
      </c>
      <c r="M66" s="246">
        <f t="shared" si="3"/>
        <v>127</v>
      </c>
      <c r="N66" s="246">
        <f t="shared" si="3"/>
        <v>114</v>
      </c>
      <c r="O66" s="301">
        <v>113.005</v>
      </c>
      <c r="P66" s="301">
        <f>SUM(P58:P65)</f>
        <v>137</v>
      </c>
    </row>
    <row r="67" spans="2:16" ht="15">
      <c r="B67" s="250" t="s">
        <v>71</v>
      </c>
      <c r="C67" s="251"/>
      <c r="D67" s="251"/>
      <c r="E67" s="251"/>
      <c r="F67" s="251"/>
      <c r="G67" s="251"/>
      <c r="H67" s="251"/>
      <c r="I67" s="251"/>
      <c r="J67" s="251"/>
      <c r="K67" s="251"/>
      <c r="L67" s="251"/>
      <c r="M67" s="251"/>
      <c r="N67" s="251"/>
      <c r="O67" s="305">
        <v>0</v>
      </c>
      <c r="P67" s="305"/>
    </row>
    <row r="68" spans="2:16" s="166" customFormat="1" ht="15.5">
      <c r="B68" s="252" t="s">
        <v>63</v>
      </c>
      <c r="C68" s="209">
        <v>228</v>
      </c>
      <c r="D68" s="209">
        <v>425</v>
      </c>
      <c r="E68" s="209">
        <v>506</v>
      </c>
      <c r="F68" s="209">
        <v>566</v>
      </c>
      <c r="G68" s="209">
        <v>557</v>
      </c>
      <c r="H68" s="209">
        <v>666</v>
      </c>
      <c r="I68" s="209">
        <v>669</v>
      </c>
      <c r="J68" s="209">
        <v>695</v>
      </c>
      <c r="K68" s="209">
        <v>712</v>
      </c>
      <c r="L68" s="209">
        <v>686</v>
      </c>
      <c r="M68" s="209">
        <v>746</v>
      </c>
      <c r="N68" s="209">
        <v>833</v>
      </c>
      <c r="O68" s="299">
        <v>822.98400000000004</v>
      </c>
      <c r="P68" s="299">
        <v>815</v>
      </c>
    </row>
    <row r="69" spans="2:16" s="166" customFormat="1" ht="15.5">
      <c r="B69" s="252" t="s">
        <v>64</v>
      </c>
      <c r="C69" s="209">
        <v>0</v>
      </c>
      <c r="D69" s="209">
        <v>0</v>
      </c>
      <c r="E69" s="209">
        <v>0</v>
      </c>
      <c r="F69" s="209">
        <v>0</v>
      </c>
      <c r="G69" s="209">
        <v>0</v>
      </c>
      <c r="H69" s="209">
        <v>0</v>
      </c>
      <c r="I69" s="209">
        <v>0</v>
      </c>
      <c r="J69" s="209">
        <v>0</v>
      </c>
      <c r="K69" s="209">
        <v>1</v>
      </c>
      <c r="L69" s="209">
        <v>1</v>
      </c>
      <c r="M69" s="209">
        <v>1</v>
      </c>
      <c r="N69" s="209">
        <v>1</v>
      </c>
      <c r="O69" s="299">
        <v>1.014</v>
      </c>
      <c r="P69" s="299">
        <v>1</v>
      </c>
    </row>
    <row r="70" spans="2:16" s="166" customFormat="1" ht="15.5">
      <c r="B70" s="252" t="s">
        <v>72</v>
      </c>
      <c r="C70" s="209">
        <v>0</v>
      </c>
      <c r="D70" s="209">
        <v>0</v>
      </c>
      <c r="E70" s="209">
        <v>0</v>
      </c>
      <c r="F70" s="209">
        <v>0</v>
      </c>
      <c r="G70" s="209">
        <v>0</v>
      </c>
      <c r="H70" s="209">
        <v>0</v>
      </c>
      <c r="I70" s="209">
        <v>0</v>
      </c>
      <c r="J70" s="209">
        <v>0</v>
      </c>
      <c r="K70" s="209">
        <v>0</v>
      </c>
      <c r="L70" s="209">
        <v>0</v>
      </c>
      <c r="M70" s="209">
        <v>0</v>
      </c>
      <c r="N70" s="209">
        <v>0</v>
      </c>
      <c r="O70" s="299">
        <v>0</v>
      </c>
      <c r="P70" s="299"/>
    </row>
    <row r="71" spans="2:16" s="166" customFormat="1" ht="15.5">
      <c r="B71" s="252" t="s">
        <v>66</v>
      </c>
      <c r="C71" s="209">
        <v>0</v>
      </c>
      <c r="D71" s="209">
        <v>0</v>
      </c>
      <c r="E71" s="209">
        <v>0</v>
      </c>
      <c r="F71" s="209">
        <v>0</v>
      </c>
      <c r="G71" s="209">
        <v>0</v>
      </c>
      <c r="H71" s="209">
        <v>0</v>
      </c>
      <c r="I71" s="209">
        <v>0</v>
      </c>
      <c r="J71" s="209">
        <v>0</v>
      </c>
      <c r="K71" s="209">
        <v>0</v>
      </c>
      <c r="L71" s="209">
        <v>0</v>
      </c>
      <c r="M71" s="209">
        <v>0</v>
      </c>
      <c r="N71" s="209">
        <v>0</v>
      </c>
      <c r="O71" s="299">
        <v>0</v>
      </c>
      <c r="P71" s="299"/>
    </row>
    <row r="72" spans="2:16" s="166" customFormat="1" ht="15.5">
      <c r="B72" s="252" t="s">
        <v>67</v>
      </c>
      <c r="C72" s="209">
        <v>0</v>
      </c>
      <c r="D72" s="209">
        <v>0</v>
      </c>
      <c r="E72" s="209">
        <v>0</v>
      </c>
      <c r="F72" s="209">
        <v>0</v>
      </c>
      <c r="G72" s="209">
        <v>0</v>
      </c>
      <c r="H72" s="209">
        <v>0</v>
      </c>
      <c r="I72" s="209">
        <v>0</v>
      </c>
      <c r="J72" s="209">
        <v>0</v>
      </c>
      <c r="K72" s="209">
        <v>0</v>
      </c>
      <c r="L72" s="209">
        <v>0</v>
      </c>
      <c r="M72" s="209">
        <v>0</v>
      </c>
      <c r="N72" s="209">
        <v>0</v>
      </c>
      <c r="O72" s="299">
        <v>0</v>
      </c>
      <c r="P72" s="299"/>
    </row>
    <row r="73" spans="2:16" s="166" customFormat="1" ht="15.5">
      <c r="B73" s="252" t="s">
        <v>68</v>
      </c>
      <c r="C73" s="209">
        <v>0</v>
      </c>
      <c r="D73" s="209">
        <v>0</v>
      </c>
      <c r="E73" s="209">
        <v>0</v>
      </c>
      <c r="F73" s="209">
        <v>0</v>
      </c>
      <c r="G73" s="209">
        <v>0</v>
      </c>
      <c r="H73" s="209">
        <v>0</v>
      </c>
      <c r="I73" s="209">
        <v>0</v>
      </c>
      <c r="J73" s="209">
        <v>0</v>
      </c>
      <c r="K73" s="209">
        <v>0</v>
      </c>
      <c r="L73" s="209">
        <v>0</v>
      </c>
      <c r="M73" s="209">
        <v>0</v>
      </c>
      <c r="N73" s="209">
        <v>0</v>
      </c>
      <c r="O73" s="299">
        <v>0</v>
      </c>
      <c r="P73" s="299"/>
    </row>
    <row r="74" spans="2:16" s="166" customFormat="1" ht="15.5">
      <c r="B74" s="252" t="s">
        <v>97</v>
      </c>
      <c r="C74" s="209">
        <v>11</v>
      </c>
      <c r="D74" s="209">
        <v>19</v>
      </c>
      <c r="E74" s="209">
        <v>25</v>
      </c>
      <c r="F74" s="209">
        <v>27</v>
      </c>
      <c r="G74" s="209">
        <v>29</v>
      </c>
      <c r="H74" s="209">
        <v>42</v>
      </c>
      <c r="I74" s="209">
        <v>49</v>
      </c>
      <c r="J74" s="209">
        <v>49</v>
      </c>
      <c r="K74" s="209">
        <v>62</v>
      </c>
      <c r="L74" s="209">
        <v>79</v>
      </c>
      <c r="M74" s="209">
        <v>91</v>
      </c>
      <c r="N74" s="209">
        <v>103</v>
      </c>
      <c r="O74" s="299">
        <v>113.545</v>
      </c>
      <c r="P74" s="299">
        <v>124</v>
      </c>
    </row>
    <row r="75" spans="2:16" ht="15">
      <c r="B75" s="241" t="s">
        <v>73</v>
      </c>
      <c r="C75" s="246">
        <f t="shared" ref="C75:N75" si="4">SUM(C68:C74)</f>
        <v>239</v>
      </c>
      <c r="D75" s="246">
        <f t="shared" si="4"/>
        <v>444</v>
      </c>
      <c r="E75" s="246">
        <f t="shared" si="4"/>
        <v>531</v>
      </c>
      <c r="F75" s="246">
        <f t="shared" si="4"/>
        <v>593</v>
      </c>
      <c r="G75" s="246">
        <f t="shared" si="4"/>
        <v>586</v>
      </c>
      <c r="H75" s="246">
        <f t="shared" si="4"/>
        <v>708</v>
      </c>
      <c r="I75" s="246">
        <f t="shared" si="4"/>
        <v>718</v>
      </c>
      <c r="J75" s="246">
        <f t="shared" si="4"/>
        <v>744</v>
      </c>
      <c r="K75" s="246">
        <f t="shared" si="4"/>
        <v>775</v>
      </c>
      <c r="L75" s="246">
        <f t="shared" si="4"/>
        <v>766</v>
      </c>
      <c r="M75" s="246">
        <f t="shared" si="4"/>
        <v>838</v>
      </c>
      <c r="N75" s="246">
        <f t="shared" si="4"/>
        <v>937</v>
      </c>
      <c r="O75" s="301">
        <v>937.54300000000001</v>
      </c>
      <c r="P75" s="301">
        <f>SUM(P68:P74)</f>
        <v>940</v>
      </c>
    </row>
    <row r="76" spans="2:16" ht="15">
      <c r="B76" s="244" t="s">
        <v>74</v>
      </c>
      <c r="C76" s="245">
        <f t="shared" ref="C76:N76" si="5">+C66+C75</f>
        <v>267</v>
      </c>
      <c r="D76" s="245">
        <f t="shared" si="5"/>
        <v>465</v>
      </c>
      <c r="E76" s="245">
        <f t="shared" si="5"/>
        <v>527</v>
      </c>
      <c r="F76" s="245">
        <f t="shared" si="5"/>
        <v>606</v>
      </c>
      <c r="G76" s="245">
        <f t="shared" si="5"/>
        <v>596</v>
      </c>
      <c r="H76" s="245">
        <f t="shared" si="5"/>
        <v>723</v>
      </c>
      <c r="I76" s="245">
        <f t="shared" si="5"/>
        <v>734</v>
      </c>
      <c r="J76" s="245">
        <f t="shared" si="5"/>
        <v>753</v>
      </c>
      <c r="K76" s="245">
        <f t="shared" si="5"/>
        <v>791</v>
      </c>
      <c r="L76" s="245">
        <f t="shared" si="5"/>
        <v>893</v>
      </c>
      <c r="M76" s="245">
        <f t="shared" si="5"/>
        <v>965</v>
      </c>
      <c r="N76" s="245">
        <f t="shared" si="5"/>
        <v>1051</v>
      </c>
      <c r="O76" s="300">
        <v>1050.548</v>
      </c>
      <c r="P76" s="300">
        <f>+P75+P66</f>
        <v>1077</v>
      </c>
    </row>
    <row r="77" spans="2:16" ht="15">
      <c r="B77" s="208"/>
      <c r="C77" s="206"/>
      <c r="D77" s="206"/>
      <c r="E77" s="206"/>
      <c r="F77" s="206"/>
      <c r="G77" s="206"/>
      <c r="H77" s="206"/>
      <c r="I77" s="206"/>
      <c r="J77" s="206"/>
      <c r="K77" s="206"/>
      <c r="L77" s="206"/>
      <c r="M77" s="206"/>
      <c r="N77" s="206"/>
      <c r="O77" s="302">
        <v>0</v>
      </c>
      <c r="P77" s="302"/>
    </row>
    <row r="78" spans="2:16" ht="15">
      <c r="B78" s="250" t="s">
        <v>75</v>
      </c>
      <c r="C78" s="251"/>
      <c r="D78" s="251"/>
      <c r="E78" s="251"/>
      <c r="F78" s="251"/>
      <c r="G78" s="251"/>
      <c r="H78" s="251"/>
      <c r="I78" s="251"/>
      <c r="J78" s="251"/>
      <c r="K78" s="251"/>
      <c r="L78" s="251"/>
      <c r="M78" s="251"/>
      <c r="N78" s="251"/>
      <c r="O78" s="305">
        <v>0</v>
      </c>
      <c r="P78" s="305"/>
    </row>
    <row r="79" spans="2:16" s="166" customFormat="1" ht="15.5">
      <c r="B79" s="252" t="s">
        <v>76</v>
      </c>
      <c r="C79" s="209">
        <v>320</v>
      </c>
      <c r="D79" s="209">
        <v>320</v>
      </c>
      <c r="E79" s="209">
        <v>320</v>
      </c>
      <c r="F79" s="209">
        <v>320</v>
      </c>
      <c r="G79" s="209">
        <v>331</v>
      </c>
      <c r="H79" s="209">
        <v>336</v>
      </c>
      <c r="I79" s="209">
        <v>343</v>
      </c>
      <c r="J79" s="209">
        <v>346</v>
      </c>
      <c r="K79" s="209">
        <v>346</v>
      </c>
      <c r="L79" s="209">
        <v>370</v>
      </c>
      <c r="M79" s="209">
        <v>370</v>
      </c>
      <c r="N79" s="209">
        <v>370</v>
      </c>
      <c r="O79" s="299">
        <v>370.13600000000002</v>
      </c>
      <c r="P79" s="299">
        <v>370</v>
      </c>
    </row>
    <row r="80" spans="2:16" s="166" customFormat="1" ht="15.5">
      <c r="B80" s="252" t="s">
        <v>77</v>
      </c>
      <c r="C80" s="209">
        <v>0</v>
      </c>
      <c r="D80" s="209">
        <v>0</v>
      </c>
      <c r="E80" s="209">
        <v>0</v>
      </c>
      <c r="F80" s="209">
        <v>0</v>
      </c>
      <c r="G80" s="209">
        <v>0</v>
      </c>
      <c r="H80" s="209">
        <v>0</v>
      </c>
      <c r="I80" s="209">
        <v>0</v>
      </c>
      <c r="J80" s="209">
        <v>0</v>
      </c>
      <c r="K80" s="209">
        <v>0</v>
      </c>
      <c r="L80" s="209">
        <v>0</v>
      </c>
      <c r="M80" s="209">
        <v>0</v>
      </c>
      <c r="N80" s="209">
        <v>0</v>
      </c>
      <c r="O80" s="299">
        <v>0</v>
      </c>
      <c r="P80" s="299"/>
    </row>
    <row r="81" spans="2:16" s="166" customFormat="1" ht="15.5">
      <c r="B81" s="252" t="s">
        <v>78</v>
      </c>
      <c r="C81" s="209">
        <v>-2</v>
      </c>
      <c r="D81" s="209">
        <v>-1</v>
      </c>
      <c r="E81" s="209">
        <v>-5</v>
      </c>
      <c r="F81" s="209">
        <v>-5</v>
      </c>
      <c r="G81" s="209">
        <v>-7</v>
      </c>
      <c r="H81" s="209">
        <v>0</v>
      </c>
      <c r="I81" s="209">
        <v>0</v>
      </c>
      <c r="J81" s="209">
        <v>0</v>
      </c>
      <c r="K81" s="209">
        <v>0</v>
      </c>
      <c r="L81" s="209">
        <v>0</v>
      </c>
      <c r="M81" s="209">
        <v>0</v>
      </c>
      <c r="N81" s="209">
        <v>0</v>
      </c>
      <c r="O81" s="299">
        <v>0.214</v>
      </c>
      <c r="P81" s="299"/>
    </row>
    <row r="82" spans="2:16" s="166" customFormat="1" ht="15.5">
      <c r="B82" s="252" t="s">
        <v>79</v>
      </c>
      <c r="C82" s="209">
        <v>-1</v>
      </c>
      <c r="D82" s="209">
        <v>2</v>
      </c>
      <c r="E82" s="209">
        <v>-3</v>
      </c>
      <c r="F82" s="209">
        <v>-3</v>
      </c>
      <c r="G82" s="209">
        <v>-3</v>
      </c>
      <c r="H82" s="209">
        <v>-3</v>
      </c>
      <c r="I82" s="209">
        <v>8</v>
      </c>
      <c r="J82" s="209">
        <v>8</v>
      </c>
      <c r="K82" s="209">
        <v>8</v>
      </c>
      <c r="L82" s="209">
        <v>8</v>
      </c>
      <c r="M82" s="209">
        <v>20</v>
      </c>
      <c r="N82" s="209">
        <v>20</v>
      </c>
      <c r="O82" s="299">
        <v>19.891999999999999</v>
      </c>
      <c r="P82" s="299">
        <v>20</v>
      </c>
    </row>
    <row r="83" spans="2:16" s="166" customFormat="1" ht="15.5">
      <c r="B83" s="252" t="s">
        <v>80</v>
      </c>
      <c r="C83" s="209">
        <v>3</v>
      </c>
      <c r="D83" s="209">
        <v>-4</v>
      </c>
      <c r="E83" s="209">
        <v>0</v>
      </c>
      <c r="F83" s="209">
        <v>-3</v>
      </c>
      <c r="G83" s="209">
        <v>5</v>
      </c>
      <c r="H83" s="209">
        <v>11</v>
      </c>
      <c r="I83" s="209">
        <v>2</v>
      </c>
      <c r="J83" s="209">
        <v>21</v>
      </c>
      <c r="K83" s="209">
        <v>28</v>
      </c>
      <c r="L83" s="209">
        <v>12</v>
      </c>
      <c r="M83" s="209">
        <v>-2</v>
      </c>
      <c r="N83" s="209">
        <v>-1</v>
      </c>
      <c r="O83" s="299">
        <v>-0.55300000000000005</v>
      </c>
      <c r="P83" s="299">
        <v>4</v>
      </c>
    </row>
    <row r="84" spans="2:16" s="166" customFormat="1" ht="15.5">
      <c r="B84" s="252" t="s">
        <v>81</v>
      </c>
      <c r="C84" s="209">
        <v>8</v>
      </c>
      <c r="D84" s="209">
        <v>4</v>
      </c>
      <c r="E84" s="209">
        <v>18</v>
      </c>
      <c r="F84" s="209">
        <v>21</v>
      </c>
      <c r="G84" s="209">
        <v>28</v>
      </c>
      <c r="H84" s="209">
        <v>8</v>
      </c>
      <c r="I84" s="209">
        <v>-3</v>
      </c>
      <c r="J84" s="209">
        <v>-24</v>
      </c>
      <c r="K84" s="209">
        <v>-40</v>
      </c>
      <c r="L84" s="209">
        <v>-26</v>
      </c>
      <c r="M84" s="209">
        <v>-74</v>
      </c>
      <c r="N84" s="209">
        <v>-73</v>
      </c>
      <c r="O84" s="299">
        <v>-69.022000000000006</v>
      </c>
      <c r="P84" s="299">
        <v>-61</v>
      </c>
    </row>
    <row r="85" spans="2:16" ht="15">
      <c r="B85" s="241" t="s">
        <v>84</v>
      </c>
      <c r="C85" s="246">
        <f t="shared" ref="C85:N85" si="6">SUM(C79:C84)</f>
        <v>328</v>
      </c>
      <c r="D85" s="246">
        <f t="shared" si="6"/>
        <v>321</v>
      </c>
      <c r="E85" s="246">
        <f t="shared" si="6"/>
        <v>330</v>
      </c>
      <c r="F85" s="246">
        <f t="shared" si="6"/>
        <v>330</v>
      </c>
      <c r="G85" s="246">
        <f t="shared" si="6"/>
        <v>354</v>
      </c>
      <c r="H85" s="246">
        <f t="shared" si="6"/>
        <v>352</v>
      </c>
      <c r="I85" s="246">
        <f t="shared" si="6"/>
        <v>350</v>
      </c>
      <c r="J85" s="246">
        <f t="shared" si="6"/>
        <v>351</v>
      </c>
      <c r="K85" s="246">
        <f t="shared" si="6"/>
        <v>342</v>
      </c>
      <c r="L85" s="246">
        <f t="shared" si="6"/>
        <v>364</v>
      </c>
      <c r="M85" s="246">
        <f t="shared" si="6"/>
        <v>314</v>
      </c>
      <c r="N85" s="246">
        <f t="shared" si="6"/>
        <v>316</v>
      </c>
      <c r="O85" s="301">
        <v>320.66699999999997</v>
      </c>
      <c r="P85" s="301">
        <f>SUM(P79:P84)</f>
        <v>333</v>
      </c>
    </row>
    <row r="86" spans="2:16" ht="15">
      <c r="B86" s="244" t="s">
        <v>85</v>
      </c>
      <c r="C86" s="245">
        <f t="shared" ref="C86:N86" si="7">+C76+C85</f>
        <v>595</v>
      </c>
      <c r="D86" s="245">
        <f t="shared" si="7"/>
        <v>786</v>
      </c>
      <c r="E86" s="245">
        <f t="shared" si="7"/>
        <v>857</v>
      </c>
      <c r="F86" s="245">
        <f t="shared" si="7"/>
        <v>936</v>
      </c>
      <c r="G86" s="245">
        <f t="shared" si="7"/>
        <v>950</v>
      </c>
      <c r="H86" s="245">
        <f t="shared" si="7"/>
        <v>1075</v>
      </c>
      <c r="I86" s="245">
        <f t="shared" si="7"/>
        <v>1084</v>
      </c>
      <c r="J86" s="245">
        <f t="shared" si="7"/>
        <v>1104</v>
      </c>
      <c r="K86" s="245">
        <f t="shared" si="7"/>
        <v>1133</v>
      </c>
      <c r="L86" s="245">
        <f t="shared" si="7"/>
        <v>1257</v>
      </c>
      <c r="M86" s="245">
        <f t="shared" si="7"/>
        <v>1279</v>
      </c>
      <c r="N86" s="245">
        <f t="shared" si="7"/>
        <v>1367</v>
      </c>
      <c r="O86" s="300">
        <v>1371.2149999999999</v>
      </c>
      <c r="P86" s="300">
        <f>+P76+P85</f>
        <v>1410</v>
      </c>
    </row>
  </sheetData>
  <phoneticPr fontId="177" type="noConversion"/>
  <hyperlinks>
    <hyperlink ref="A1" location="'Table of Contents'!A1" display="Return to Table of Contents" xr:uid="{00000000-0004-0000-0700-000000000000}"/>
  </hyperlinks>
  <pageMargins left="0.7" right="0.7" top="0.75" bottom="0.75" header="0.3" footer="0.3"/>
  <pageSetup orientation="portrait"/>
  <customProperties>
    <customPr name="_pios_id" r:id="rId1"/>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P453"/>
  <sheetViews>
    <sheetView showGridLines="0" zoomScale="85" zoomScaleNormal="85" workbookViewId="0">
      <pane xSplit="2" ySplit="7" topLeftCell="H8" activePane="bottomRight" state="frozen"/>
      <selection pane="topRight" activeCell="C1" sqref="C1"/>
      <selection pane="bottomLeft" activeCell="A8" sqref="A8"/>
      <selection pane="bottomRight" activeCell="Q17" sqref="Q17"/>
    </sheetView>
  </sheetViews>
  <sheetFormatPr baseColWidth="10" defaultColWidth="11.453125" defaultRowHeight="14.5"/>
  <cols>
    <col min="1" max="1" width="7.1796875" customWidth="1"/>
    <col min="2" max="2" width="91.54296875" customWidth="1"/>
    <col min="3" max="14" width="12.453125" customWidth="1"/>
  </cols>
  <sheetData>
    <row r="1" spans="1:16">
      <c r="A1" s="3" t="s">
        <v>686</v>
      </c>
    </row>
    <row r="3" spans="1:16" ht="15.5">
      <c r="B3" s="236" t="s">
        <v>497</v>
      </c>
      <c r="C3" s="75"/>
      <c r="D3" s="75"/>
      <c r="E3" s="76"/>
      <c r="F3" s="75"/>
      <c r="G3" s="75"/>
      <c r="H3" s="75"/>
      <c r="I3" s="76"/>
      <c r="J3" s="75"/>
      <c r="K3" s="75"/>
      <c r="L3" s="75"/>
      <c r="M3" s="76"/>
      <c r="N3" s="75"/>
    </row>
    <row r="4" spans="1:16" ht="13.5" customHeight="1">
      <c r="B4" s="142" t="s">
        <v>563</v>
      </c>
      <c r="C4" s="5"/>
      <c r="D4" s="5"/>
      <c r="E4" s="5"/>
      <c r="F4" s="5"/>
      <c r="G4" s="5"/>
      <c r="H4" s="5"/>
      <c r="I4" s="5"/>
      <c r="J4" s="5"/>
      <c r="K4" s="5"/>
      <c r="L4" s="5"/>
      <c r="M4" s="5"/>
      <c r="N4" s="5"/>
    </row>
    <row r="5" spans="1:16" ht="9.65" customHeight="1">
      <c r="B5" s="77"/>
      <c r="C5" s="77"/>
      <c r="D5" s="77"/>
      <c r="E5" s="77"/>
      <c r="F5" s="77"/>
      <c r="G5" s="77"/>
      <c r="H5" s="77"/>
      <c r="I5" s="77"/>
      <c r="J5" s="77"/>
      <c r="K5" s="77"/>
      <c r="L5" s="77"/>
      <c r="M5" s="77"/>
      <c r="N5" s="77"/>
    </row>
    <row r="6" spans="1:16" ht="15">
      <c r="B6" s="78"/>
      <c r="C6" s="79">
        <v>2016</v>
      </c>
      <c r="D6" s="79">
        <v>2017</v>
      </c>
      <c r="E6" s="79" t="s">
        <v>626</v>
      </c>
      <c r="F6" s="79" t="s">
        <v>627</v>
      </c>
      <c r="G6" s="79" t="s">
        <v>628</v>
      </c>
      <c r="H6" s="79" t="s">
        <v>629</v>
      </c>
      <c r="I6" s="79" t="s">
        <v>630</v>
      </c>
      <c r="J6" s="79" t="s">
        <v>631</v>
      </c>
      <c r="K6" s="79" t="s">
        <v>632</v>
      </c>
      <c r="L6" s="79" t="s">
        <v>633</v>
      </c>
      <c r="M6" s="79" t="s">
        <v>11</v>
      </c>
      <c r="N6" s="79" t="s">
        <v>12</v>
      </c>
      <c r="O6" s="296" t="s">
        <v>685</v>
      </c>
      <c r="P6" s="580" t="s">
        <v>1111</v>
      </c>
    </row>
    <row r="7" spans="1:16" ht="5.15" customHeight="1">
      <c r="B7" s="178"/>
      <c r="C7" s="81"/>
      <c r="D7" s="81"/>
      <c r="E7" s="81"/>
      <c r="F7" s="81"/>
      <c r="G7" s="81"/>
      <c r="H7" s="81"/>
      <c r="I7" s="81"/>
      <c r="J7" s="81"/>
      <c r="K7" s="81"/>
      <c r="L7" s="81"/>
      <c r="M7" s="81"/>
      <c r="N7" s="81"/>
      <c r="O7" s="77"/>
    </row>
    <row r="8" spans="1:16" ht="15.5">
      <c r="B8" s="179" t="s">
        <v>564</v>
      </c>
      <c r="C8" s="13">
        <v>21559</v>
      </c>
      <c r="D8" s="13">
        <v>6501</v>
      </c>
      <c r="E8" s="13">
        <v>1605</v>
      </c>
      <c r="F8" s="13">
        <v>2519</v>
      </c>
      <c r="G8" s="13">
        <v>3792</v>
      </c>
      <c r="H8" s="13">
        <v>10850</v>
      </c>
      <c r="I8" s="13">
        <v>3208</v>
      </c>
      <c r="J8" s="13">
        <v>6858</v>
      </c>
      <c r="K8" s="13">
        <v>13157</v>
      </c>
      <c r="L8" s="13">
        <v>13280</v>
      </c>
      <c r="M8" s="13">
        <v>8788</v>
      </c>
      <c r="N8" s="13">
        <v>8649</v>
      </c>
      <c r="O8" s="380">
        <f>25905-M8-N8</f>
        <v>8468</v>
      </c>
      <c r="P8" s="380">
        <v>21083.452605999999</v>
      </c>
    </row>
    <row r="9" spans="1:16" ht="15.5">
      <c r="B9" s="179" t="s">
        <v>565</v>
      </c>
      <c r="C9" s="13">
        <v>18557</v>
      </c>
      <c r="D9" s="13">
        <v>5186</v>
      </c>
      <c r="E9" s="13">
        <v>1246</v>
      </c>
      <c r="F9" s="13">
        <v>2052</v>
      </c>
      <c r="G9" s="13">
        <v>3174</v>
      </c>
      <c r="H9" s="13">
        <v>10135</v>
      </c>
      <c r="I9" s="13">
        <v>2839</v>
      </c>
      <c r="J9" s="13">
        <v>6069</v>
      </c>
      <c r="K9" s="13">
        <v>11643</v>
      </c>
      <c r="L9" s="13">
        <v>11752</v>
      </c>
      <c r="M9" s="13">
        <v>7642</v>
      </c>
      <c r="N9" s="13">
        <v>7535</v>
      </c>
      <c r="O9" s="380">
        <f>22545-M9-N9</f>
        <v>7368</v>
      </c>
      <c r="P9" s="380">
        <v>18333.437048</v>
      </c>
    </row>
    <row r="10" spans="1:16" ht="15.5">
      <c r="B10" s="182" t="s">
        <v>566</v>
      </c>
      <c r="C10" s="15">
        <v>3002</v>
      </c>
      <c r="D10" s="15">
        <v>1315</v>
      </c>
      <c r="E10" s="15">
        <v>359</v>
      </c>
      <c r="F10" s="15">
        <v>467</v>
      </c>
      <c r="G10" s="15">
        <v>618</v>
      </c>
      <c r="H10" s="15">
        <v>715</v>
      </c>
      <c r="I10" s="15">
        <v>369</v>
      </c>
      <c r="J10" s="15">
        <v>789</v>
      </c>
      <c r="K10" s="15">
        <v>1514</v>
      </c>
      <c r="L10" s="15">
        <v>1528</v>
      </c>
      <c r="M10" s="15">
        <v>1146</v>
      </c>
      <c r="N10" s="15">
        <v>1114</v>
      </c>
      <c r="O10" s="396">
        <f>+O8-O9</f>
        <v>1100</v>
      </c>
      <c r="P10" s="396">
        <v>2750.0155579999991</v>
      </c>
    </row>
    <row r="11" spans="1:16" ht="4" customHeight="1">
      <c r="B11" s="179"/>
      <c r="C11" s="13"/>
      <c r="D11" s="13"/>
      <c r="E11" s="13"/>
      <c r="F11" s="13"/>
      <c r="G11" s="13"/>
      <c r="H11" s="13"/>
      <c r="I11" s="13"/>
      <c r="J11" s="13"/>
      <c r="K11" s="13"/>
      <c r="L11" s="13"/>
      <c r="M11" s="13"/>
      <c r="N11" s="13"/>
      <c r="O11" s="380"/>
      <c r="P11" s="380"/>
    </row>
    <row r="12" spans="1:16" ht="15.5">
      <c r="B12" s="179" t="s">
        <v>567</v>
      </c>
      <c r="C12" s="13">
        <v>27482</v>
      </c>
      <c r="D12" s="13">
        <v>24698</v>
      </c>
      <c r="E12" s="13">
        <v>5872</v>
      </c>
      <c r="F12" s="13">
        <v>6511</v>
      </c>
      <c r="G12" s="13">
        <v>6485</v>
      </c>
      <c r="H12" s="13">
        <v>7536</v>
      </c>
      <c r="I12" s="13">
        <v>7138</v>
      </c>
      <c r="J12" s="13">
        <v>6972</v>
      </c>
      <c r="K12" s="13">
        <v>9154</v>
      </c>
      <c r="L12" s="13">
        <v>8685</v>
      </c>
      <c r="M12" s="13">
        <v>7003</v>
      </c>
      <c r="N12" s="13">
        <v>7692</v>
      </c>
      <c r="O12" s="380">
        <f>22905-M12-N12</f>
        <v>8210</v>
      </c>
      <c r="P12" s="380">
        <v>10163.71689</v>
      </c>
    </row>
    <row r="13" spans="1:16" ht="15.5">
      <c r="B13" s="179" t="s">
        <v>568</v>
      </c>
      <c r="C13" s="13">
        <v>120243</v>
      </c>
      <c r="D13" s="13">
        <v>122503</v>
      </c>
      <c r="E13" s="13">
        <v>28847</v>
      </c>
      <c r="F13" s="13">
        <v>27761</v>
      </c>
      <c r="G13" s="13">
        <v>28251</v>
      </c>
      <c r="H13" s="13">
        <v>28505</v>
      </c>
      <c r="I13" s="13">
        <v>27818</v>
      </c>
      <c r="J13" s="13">
        <v>28258</v>
      </c>
      <c r="K13" s="13">
        <v>28668</v>
      </c>
      <c r="L13" s="13">
        <v>28882</v>
      </c>
      <c r="M13" s="13">
        <v>28223</v>
      </c>
      <c r="N13" s="13">
        <v>25540</v>
      </c>
      <c r="O13" s="380">
        <f>87232-M13-N13</f>
        <v>33469</v>
      </c>
      <c r="P13" s="380">
        <v>31730.264073000002</v>
      </c>
    </row>
    <row r="14" spans="1:16" ht="15.5">
      <c r="B14" s="179" t="s">
        <v>569</v>
      </c>
      <c r="C14" s="13">
        <v>13</v>
      </c>
      <c r="D14" s="13">
        <v>102</v>
      </c>
      <c r="E14" s="13">
        <v>49</v>
      </c>
      <c r="F14" s="13">
        <v>96</v>
      </c>
      <c r="G14" s="13">
        <v>73</v>
      </c>
      <c r="H14" s="13">
        <v>87</v>
      </c>
      <c r="I14" s="13">
        <v>112</v>
      </c>
      <c r="J14" s="13">
        <v>82</v>
      </c>
      <c r="K14" s="13">
        <v>185</v>
      </c>
      <c r="L14" s="13">
        <v>1599</v>
      </c>
      <c r="M14" s="13">
        <v>176</v>
      </c>
      <c r="N14" s="13">
        <v>-108</v>
      </c>
      <c r="O14" s="380">
        <f>92-M14-N14</f>
        <v>24</v>
      </c>
      <c r="P14" s="380">
        <v>77.274477999999988</v>
      </c>
    </row>
    <row r="15" spans="1:16" ht="15.5">
      <c r="B15" s="179" t="s">
        <v>570</v>
      </c>
      <c r="C15" s="13">
        <v>26992</v>
      </c>
      <c r="D15" s="13">
        <v>24167</v>
      </c>
      <c r="E15" s="13">
        <v>5869</v>
      </c>
      <c r="F15" s="13">
        <v>6317</v>
      </c>
      <c r="G15" s="13">
        <v>6450</v>
      </c>
      <c r="H15" s="13">
        <v>6694</v>
      </c>
      <c r="I15" s="13">
        <v>6710</v>
      </c>
      <c r="J15" s="13">
        <v>6709</v>
      </c>
      <c r="K15" s="13">
        <v>8865</v>
      </c>
      <c r="L15" s="13">
        <v>8629</v>
      </c>
      <c r="M15" s="13">
        <v>6713</v>
      </c>
      <c r="N15" s="13">
        <v>6908</v>
      </c>
      <c r="O15" s="380">
        <f>24287-M15-N15</f>
        <v>10666</v>
      </c>
      <c r="P15" s="380">
        <v>9410.8489720000016</v>
      </c>
    </row>
    <row r="16" spans="1:16" ht="15.5">
      <c r="B16" s="182" t="s">
        <v>571</v>
      </c>
      <c r="C16" s="15">
        <v>120746</v>
      </c>
      <c r="D16" s="15">
        <v>123136</v>
      </c>
      <c r="E16" s="15">
        <v>28899</v>
      </c>
      <c r="F16" s="15">
        <v>28051</v>
      </c>
      <c r="G16" s="15">
        <v>28359</v>
      </c>
      <c r="H16" s="15">
        <v>29434</v>
      </c>
      <c r="I16" s="15">
        <v>28358</v>
      </c>
      <c r="J16" s="15">
        <v>28603</v>
      </c>
      <c r="K16" s="15">
        <v>29142</v>
      </c>
      <c r="L16" s="15">
        <v>30537</v>
      </c>
      <c r="M16" s="15">
        <v>28689</v>
      </c>
      <c r="N16" s="15">
        <v>26216</v>
      </c>
      <c r="O16" s="396">
        <f>+SUM(O12:O14)-O15</f>
        <v>31037</v>
      </c>
      <c r="P16" s="396">
        <v>32560.406469000001</v>
      </c>
    </row>
    <row r="17" spans="2:16" ht="15.5">
      <c r="B17" s="180" t="s">
        <v>572</v>
      </c>
      <c r="C17" s="17">
        <v>123748</v>
      </c>
      <c r="D17" s="17">
        <v>124451</v>
      </c>
      <c r="E17" s="17">
        <v>29258</v>
      </c>
      <c r="F17" s="17">
        <v>28518</v>
      </c>
      <c r="G17" s="17">
        <v>28977</v>
      </c>
      <c r="H17" s="17">
        <v>30149</v>
      </c>
      <c r="I17" s="17">
        <v>28727</v>
      </c>
      <c r="J17" s="17">
        <v>29392</v>
      </c>
      <c r="K17" s="17">
        <v>30656</v>
      </c>
      <c r="L17" s="17">
        <v>32065</v>
      </c>
      <c r="M17" s="17">
        <v>29835</v>
      </c>
      <c r="N17" s="17">
        <v>27330</v>
      </c>
      <c r="O17" s="381">
        <f>+O10+O16</f>
        <v>32137</v>
      </c>
      <c r="P17" s="381">
        <v>35310.422027000001</v>
      </c>
    </row>
    <row r="18" spans="2:16" ht="15.5">
      <c r="B18" s="10"/>
      <c r="C18" s="181"/>
      <c r="D18" s="181"/>
      <c r="E18" s="181"/>
      <c r="F18" s="181"/>
      <c r="G18" s="181"/>
      <c r="H18" s="181"/>
      <c r="I18" s="181"/>
      <c r="J18" s="181"/>
      <c r="K18" s="181"/>
      <c r="L18" s="181"/>
      <c r="M18" s="181"/>
      <c r="N18" s="181"/>
      <c r="O18" s="9"/>
      <c r="P18" s="9"/>
    </row>
    <row r="19" spans="2:16" ht="15.5">
      <c r="B19" s="179" t="s">
        <v>573</v>
      </c>
      <c r="C19" s="13">
        <v>143</v>
      </c>
      <c r="D19" s="13">
        <v>371</v>
      </c>
      <c r="E19" s="13">
        <v>101</v>
      </c>
      <c r="F19" s="13">
        <v>102</v>
      </c>
      <c r="G19" s="13">
        <v>106</v>
      </c>
      <c r="H19" s="13">
        <v>109</v>
      </c>
      <c r="I19" s="13">
        <v>151</v>
      </c>
      <c r="J19" s="13">
        <v>186</v>
      </c>
      <c r="K19" s="13">
        <v>204</v>
      </c>
      <c r="L19" s="13">
        <v>207</v>
      </c>
      <c r="M19" s="13">
        <v>791</v>
      </c>
      <c r="N19" s="13">
        <v>1747</v>
      </c>
      <c r="O19" s="380">
        <f>567-M19-N19</f>
        <v>-1971</v>
      </c>
      <c r="P19" s="380">
        <v>200.22452900000002</v>
      </c>
    </row>
    <row r="20" spans="2:16" ht="15.5">
      <c r="B20" s="179" t="s">
        <v>574</v>
      </c>
      <c r="C20" s="13">
        <v>0</v>
      </c>
      <c r="D20" s="13">
        <v>0</v>
      </c>
      <c r="E20" s="13">
        <v>0</v>
      </c>
      <c r="F20" s="13">
        <v>0</v>
      </c>
      <c r="G20" s="13">
        <v>0</v>
      </c>
      <c r="H20" s="13">
        <v>0</v>
      </c>
      <c r="I20" s="13">
        <v>0</v>
      </c>
      <c r="J20" s="13">
        <v>0</v>
      </c>
      <c r="K20" s="13">
        <v>0</v>
      </c>
      <c r="L20" s="13">
        <v>0</v>
      </c>
      <c r="M20" s="13">
        <v>0</v>
      </c>
      <c r="N20" s="13">
        <v>0</v>
      </c>
      <c r="O20" s="380">
        <v>0</v>
      </c>
      <c r="P20" s="380"/>
    </row>
    <row r="21" spans="2:16" ht="15.5">
      <c r="B21" s="179" t="s">
        <v>575</v>
      </c>
      <c r="C21" s="13">
        <v>32</v>
      </c>
      <c r="D21" s="13">
        <v>93</v>
      </c>
      <c r="E21" s="13">
        <v>61</v>
      </c>
      <c r="F21" s="13">
        <v>51</v>
      </c>
      <c r="G21" s="13">
        <v>87</v>
      </c>
      <c r="H21" s="13">
        <v>80</v>
      </c>
      <c r="I21" s="13">
        <v>1405</v>
      </c>
      <c r="J21" s="13">
        <v>254</v>
      </c>
      <c r="K21" s="13">
        <v>501</v>
      </c>
      <c r="L21" s="13">
        <v>-544</v>
      </c>
      <c r="M21" s="13">
        <v>242</v>
      </c>
      <c r="N21" s="13">
        <v>-522</v>
      </c>
      <c r="O21" s="380">
        <f>1394-M21-N21</f>
        <v>1674</v>
      </c>
      <c r="P21" s="380">
        <v>-1091.6060549999997</v>
      </c>
    </row>
    <row r="22" spans="2:16" ht="15.5">
      <c r="B22" s="180" t="s">
        <v>576</v>
      </c>
      <c r="C22" s="18">
        <v>123637</v>
      </c>
      <c r="D22" s="18">
        <v>124173</v>
      </c>
      <c r="E22" s="18">
        <v>29218</v>
      </c>
      <c r="F22" s="18">
        <v>28467</v>
      </c>
      <c r="G22" s="18">
        <v>28958</v>
      </c>
      <c r="H22" s="18">
        <v>30120</v>
      </c>
      <c r="I22" s="18">
        <v>29981</v>
      </c>
      <c r="J22" s="18">
        <v>29460</v>
      </c>
      <c r="K22" s="18">
        <v>30953</v>
      </c>
      <c r="L22" s="18">
        <v>31314</v>
      </c>
      <c r="M22" s="18">
        <v>29286</v>
      </c>
      <c r="N22" s="18">
        <v>25061</v>
      </c>
      <c r="O22" s="382">
        <f>+O17-O19+O20+O21</f>
        <v>35782</v>
      </c>
      <c r="P22" s="382">
        <v>34018.591443000005</v>
      </c>
    </row>
    <row r="23" spans="2:16" ht="15.5">
      <c r="B23" s="179"/>
      <c r="C23" s="13"/>
      <c r="D23" s="13"/>
      <c r="E23" s="13"/>
      <c r="F23" s="13"/>
      <c r="G23" s="13"/>
      <c r="H23" s="13"/>
      <c r="I23" s="13"/>
      <c r="J23" s="13"/>
      <c r="K23" s="13"/>
      <c r="L23" s="13"/>
      <c r="M23" s="13"/>
      <c r="N23" s="13"/>
      <c r="O23" s="380"/>
      <c r="P23" s="380"/>
    </row>
    <row r="24" spans="2:16" ht="15.5">
      <c r="B24" s="179" t="s">
        <v>577</v>
      </c>
      <c r="C24" s="13">
        <v>-72222</v>
      </c>
      <c r="D24" s="13">
        <v>-66853</v>
      </c>
      <c r="E24" s="13">
        <v>-17675</v>
      </c>
      <c r="F24" s="13">
        <v>-16833</v>
      </c>
      <c r="G24" s="13">
        <v>-20151</v>
      </c>
      <c r="H24" s="13">
        <v>-14305</v>
      </c>
      <c r="I24" s="13">
        <v>-15276</v>
      </c>
      <c r="J24" s="13">
        <v>-20273</v>
      </c>
      <c r="K24" s="13">
        <v>-13119</v>
      </c>
      <c r="L24" s="13">
        <v>-17430</v>
      </c>
      <c r="M24" s="13">
        <v>-17234</v>
      </c>
      <c r="N24" s="13">
        <v>-15702</v>
      </c>
      <c r="O24" s="380">
        <f>-48586-M24-N24+1</f>
        <v>-15649</v>
      </c>
      <c r="P24" s="380">
        <v>-28470.678848999996</v>
      </c>
    </row>
    <row r="25" spans="2:16" ht="15.5">
      <c r="B25" s="180" t="s">
        <v>578</v>
      </c>
      <c r="C25" s="18">
        <v>51415</v>
      </c>
      <c r="D25" s="18">
        <v>57320</v>
      </c>
      <c r="E25" s="18">
        <v>11543</v>
      </c>
      <c r="F25" s="18">
        <v>11634</v>
      </c>
      <c r="G25" s="18">
        <v>8807</v>
      </c>
      <c r="H25" s="18">
        <v>15815</v>
      </c>
      <c r="I25" s="18">
        <v>14705</v>
      </c>
      <c r="J25" s="18">
        <v>9187</v>
      </c>
      <c r="K25" s="18">
        <v>17834</v>
      </c>
      <c r="L25" s="18">
        <v>13884</v>
      </c>
      <c r="M25" s="18">
        <v>12052</v>
      </c>
      <c r="N25" s="18">
        <v>9359</v>
      </c>
      <c r="O25" s="382">
        <f>+O22+O24</f>
        <v>20133</v>
      </c>
      <c r="P25" s="382">
        <v>5547.9125940000085</v>
      </c>
    </row>
    <row r="26" spans="2:16" ht="15.5">
      <c r="B26" s="10"/>
      <c r="C26" s="181"/>
      <c r="D26" s="181"/>
      <c r="E26" s="181"/>
      <c r="F26" s="181"/>
      <c r="G26" s="181"/>
      <c r="H26" s="181"/>
      <c r="I26" s="181"/>
      <c r="J26" s="181"/>
      <c r="K26" s="181"/>
      <c r="L26" s="181"/>
      <c r="M26" s="181"/>
      <c r="N26" s="181"/>
      <c r="O26" s="9"/>
      <c r="P26" s="9"/>
    </row>
    <row r="27" spans="2:16" ht="15.5">
      <c r="B27" s="179" t="s">
        <v>579</v>
      </c>
      <c r="C27" s="13">
        <v>9109</v>
      </c>
      <c r="D27" s="13">
        <v>12227</v>
      </c>
      <c r="E27" s="13">
        <v>1978</v>
      </c>
      <c r="F27" s="13">
        <v>1777</v>
      </c>
      <c r="G27" s="13">
        <v>1329</v>
      </c>
      <c r="H27" s="13">
        <v>-254</v>
      </c>
      <c r="I27" s="13">
        <v>3898</v>
      </c>
      <c r="J27" s="13">
        <v>118</v>
      </c>
      <c r="K27" s="13">
        <v>3933</v>
      </c>
      <c r="L27" s="13">
        <v>2148</v>
      </c>
      <c r="M27" s="13">
        <v>1278</v>
      </c>
      <c r="N27" s="13">
        <v>1944</v>
      </c>
      <c r="O27" s="380">
        <f>8432-M27-N27</f>
        <v>5210</v>
      </c>
      <c r="P27" s="380">
        <v>-351.81883400000004</v>
      </c>
    </row>
    <row r="28" spans="2:16" ht="15.5">
      <c r="B28" s="180" t="s">
        <v>580</v>
      </c>
      <c r="C28" s="18">
        <v>42306</v>
      </c>
      <c r="D28" s="18">
        <v>45093</v>
      </c>
      <c r="E28" s="18">
        <v>9565</v>
      </c>
      <c r="F28" s="18">
        <v>9857</v>
      </c>
      <c r="G28" s="18">
        <v>7478</v>
      </c>
      <c r="H28" s="18">
        <v>16069</v>
      </c>
      <c r="I28" s="18">
        <v>10807</v>
      </c>
      <c r="J28" s="18">
        <v>9069</v>
      </c>
      <c r="K28" s="18">
        <v>13901</v>
      </c>
      <c r="L28" s="18">
        <v>11736</v>
      </c>
      <c r="M28" s="18">
        <v>10774</v>
      </c>
      <c r="N28" s="18">
        <v>7415</v>
      </c>
      <c r="O28" s="382">
        <f>+O25-O27</f>
        <v>14923</v>
      </c>
      <c r="P28" s="382">
        <v>5899.7314280000082</v>
      </c>
    </row>
    <row r="29" spans="2:16" ht="15.5">
      <c r="O29" s="397"/>
      <c r="P29" s="185"/>
    </row>
    <row r="30" spans="2:16" ht="15.5">
      <c r="B30" s="236" t="s">
        <v>502</v>
      </c>
      <c r="C30" s="5"/>
      <c r="D30" s="5"/>
      <c r="E30" s="5"/>
      <c r="F30" s="5"/>
      <c r="G30" s="5"/>
      <c r="H30" s="20"/>
      <c r="I30" s="20"/>
      <c r="J30" s="20"/>
      <c r="K30" s="20"/>
      <c r="L30" s="20"/>
      <c r="M30" s="20"/>
      <c r="N30" s="20"/>
      <c r="O30" s="362"/>
      <c r="P30" s="185"/>
    </row>
    <row r="31" spans="2:16" ht="15">
      <c r="B31" s="142" t="s">
        <v>563</v>
      </c>
      <c r="C31" s="5"/>
      <c r="D31" s="5"/>
      <c r="E31" s="5"/>
      <c r="F31" s="5"/>
      <c r="G31" s="5"/>
      <c r="H31" s="22"/>
      <c r="I31" s="22"/>
      <c r="J31" s="22"/>
      <c r="K31" s="22"/>
      <c r="L31" s="22"/>
      <c r="M31" s="22"/>
      <c r="N31" s="22"/>
      <c r="O31" s="363"/>
      <c r="P31" s="185"/>
    </row>
    <row r="32" spans="2:16" ht="15.5">
      <c r="B32" s="23"/>
      <c r="C32" s="5"/>
      <c r="D32" s="5"/>
      <c r="E32" s="5"/>
      <c r="F32" s="5"/>
      <c r="G32" s="5"/>
      <c r="H32" s="23"/>
      <c r="I32" s="23"/>
      <c r="J32" s="23"/>
      <c r="K32" s="23"/>
      <c r="L32" s="23"/>
      <c r="M32" s="23"/>
      <c r="N32" s="23"/>
      <c r="O32" s="364"/>
      <c r="P32" s="185"/>
    </row>
    <row r="33" spans="2:16" s="185" customFormat="1" ht="15.5" thickBot="1">
      <c r="B33" s="78"/>
      <c r="C33" s="79">
        <v>2016</v>
      </c>
      <c r="D33" s="79">
        <v>2017</v>
      </c>
      <c r="E33" s="79" t="s">
        <v>626</v>
      </c>
      <c r="F33" s="79" t="s">
        <v>627</v>
      </c>
      <c r="G33" s="79" t="s">
        <v>628</v>
      </c>
      <c r="H33" s="79" t="s">
        <v>629</v>
      </c>
      <c r="I33" s="79" t="s">
        <v>630</v>
      </c>
      <c r="J33" s="79" t="s">
        <v>631</v>
      </c>
      <c r="K33" s="79" t="s">
        <v>632</v>
      </c>
      <c r="L33" s="79" t="s">
        <v>633</v>
      </c>
      <c r="M33" s="79" t="s">
        <v>11</v>
      </c>
      <c r="N33" s="79" t="s">
        <v>12</v>
      </c>
      <c r="O33" s="296" t="s">
        <v>685</v>
      </c>
      <c r="P33" s="647" t="s">
        <v>1131</v>
      </c>
    </row>
    <row r="34" spans="2:16" s="185" customFormat="1" ht="15">
      <c r="B34" s="239" t="s">
        <v>581</v>
      </c>
      <c r="C34" s="240"/>
      <c r="D34" s="240"/>
      <c r="E34" s="240"/>
      <c r="F34" s="240"/>
      <c r="G34" s="240"/>
      <c r="H34" s="240"/>
      <c r="I34" s="240"/>
      <c r="J34" s="240"/>
      <c r="K34" s="240"/>
      <c r="L34" s="240"/>
      <c r="M34" s="240"/>
      <c r="N34" s="239"/>
      <c r="O34" s="297"/>
      <c r="P34" s="648"/>
    </row>
    <row r="35" spans="2:16" ht="15.5" thickBot="1">
      <c r="B35" s="58" t="s">
        <v>582</v>
      </c>
      <c r="C35" s="59"/>
      <c r="D35" s="59"/>
      <c r="E35" s="59"/>
      <c r="F35" s="59"/>
      <c r="G35" s="59"/>
      <c r="H35" s="59"/>
      <c r="I35" s="59"/>
      <c r="J35" s="59"/>
      <c r="K35" s="59"/>
      <c r="L35" s="59"/>
      <c r="M35" s="59"/>
      <c r="N35" s="59"/>
      <c r="O35" s="387"/>
      <c r="P35" s="387"/>
    </row>
    <row r="36" spans="2:16" s="166" customFormat="1" ht="16" thickBot="1">
      <c r="B36" s="253" t="s">
        <v>583</v>
      </c>
      <c r="C36" s="254">
        <v>23780</v>
      </c>
      <c r="D36" s="254">
        <v>58396</v>
      </c>
      <c r="E36" s="254">
        <v>71772</v>
      </c>
      <c r="F36" s="254">
        <v>69675</v>
      </c>
      <c r="G36" s="254">
        <v>84519</v>
      </c>
      <c r="H36" s="254">
        <v>14993</v>
      </c>
      <c r="I36" s="254">
        <v>88153</v>
      </c>
      <c r="J36" s="254">
        <v>32519</v>
      </c>
      <c r="K36" s="254">
        <v>28794</v>
      </c>
      <c r="L36" s="254">
        <v>107023</v>
      </c>
      <c r="M36" s="254">
        <v>63442</v>
      </c>
      <c r="N36" s="254">
        <v>73305</v>
      </c>
      <c r="O36" s="398">
        <v>66213</v>
      </c>
      <c r="P36" s="398">
        <v>78660.329572999995</v>
      </c>
    </row>
    <row r="37" spans="2:16" s="166" customFormat="1" ht="16" thickBot="1">
      <c r="B37" s="253" t="s">
        <v>584</v>
      </c>
      <c r="C37" s="254">
        <f>128874+21470</f>
        <v>150344</v>
      </c>
      <c r="D37" s="254">
        <v>129338</v>
      </c>
      <c r="E37" s="254">
        <v>150077</v>
      </c>
      <c r="F37" s="254">
        <v>152551</v>
      </c>
      <c r="G37" s="254">
        <v>150703</v>
      </c>
      <c r="H37" s="254">
        <v>207466</v>
      </c>
      <c r="I37" s="254">
        <v>161282</v>
      </c>
      <c r="J37" s="254">
        <v>358114</v>
      </c>
      <c r="K37" s="254">
        <v>377042</v>
      </c>
      <c r="L37" s="254">
        <v>276863</v>
      </c>
      <c r="M37" s="254">
        <v>296045</v>
      </c>
      <c r="N37" s="254">
        <v>260736</v>
      </c>
      <c r="O37" s="398">
        <v>252595</v>
      </c>
      <c r="P37" s="398">
        <v>219704.89140399999</v>
      </c>
    </row>
    <row r="38" spans="2:16" s="166" customFormat="1" ht="16" thickBot="1">
      <c r="B38" s="253" t="s">
        <v>585</v>
      </c>
      <c r="C38" s="254">
        <v>59</v>
      </c>
      <c r="D38" s="254">
        <v>39</v>
      </c>
      <c r="E38" s="254">
        <v>39</v>
      </c>
      <c r="F38" s="254">
        <v>39</v>
      </c>
      <c r="G38" s="254">
        <v>39</v>
      </c>
      <c r="H38" s="254">
        <v>3163</v>
      </c>
      <c r="I38" s="254">
        <v>3178</v>
      </c>
      <c r="J38" s="254">
        <v>3178</v>
      </c>
      <c r="K38" s="254">
        <v>3178</v>
      </c>
      <c r="L38" s="254">
        <v>5275</v>
      </c>
      <c r="M38" s="254">
        <v>3178</v>
      </c>
      <c r="N38" s="254">
        <v>3178</v>
      </c>
      <c r="O38" s="398">
        <v>3178</v>
      </c>
      <c r="P38" s="398">
        <v>2628.049649</v>
      </c>
    </row>
    <row r="39" spans="2:16" s="166" customFormat="1" ht="16" thickBot="1">
      <c r="B39" s="253" t="s">
        <v>586</v>
      </c>
      <c r="C39" s="254">
        <v>544</v>
      </c>
      <c r="D39" s="254">
        <v>654</v>
      </c>
      <c r="E39" s="254">
        <v>326</v>
      </c>
      <c r="F39" s="254">
        <v>1403</v>
      </c>
      <c r="G39" s="254">
        <v>1319</v>
      </c>
      <c r="H39" s="254">
        <v>1060</v>
      </c>
      <c r="I39" s="254">
        <v>910</v>
      </c>
      <c r="J39" s="254">
        <v>898</v>
      </c>
      <c r="K39" s="254">
        <v>619</v>
      </c>
      <c r="L39" s="254">
        <v>1266</v>
      </c>
      <c r="M39" s="254">
        <v>1270</v>
      </c>
      <c r="N39" s="254">
        <v>1244</v>
      </c>
      <c r="O39" s="398">
        <v>880</v>
      </c>
      <c r="P39" s="398">
        <v>1910.5675819999999</v>
      </c>
    </row>
    <row r="40" spans="2:16" s="166" customFormat="1" ht="16" thickBot="1">
      <c r="B40" s="253" t="s">
        <v>587</v>
      </c>
      <c r="C40" s="254">
        <v>0</v>
      </c>
      <c r="D40" s="254">
        <v>468</v>
      </c>
      <c r="E40" s="254">
        <v>455</v>
      </c>
      <c r="F40" s="254">
        <v>487</v>
      </c>
      <c r="G40" s="254">
        <v>504</v>
      </c>
      <c r="H40" s="254">
        <v>557</v>
      </c>
      <c r="I40" s="254">
        <v>594</v>
      </c>
      <c r="J40" s="254">
        <v>775</v>
      </c>
      <c r="K40" s="254">
        <v>630</v>
      </c>
      <c r="L40" s="254">
        <v>574</v>
      </c>
      <c r="M40" s="254">
        <v>609</v>
      </c>
      <c r="N40" s="254">
        <v>522</v>
      </c>
      <c r="O40" s="398">
        <v>502</v>
      </c>
      <c r="P40" s="398">
        <v>438.84922799999998</v>
      </c>
    </row>
    <row r="41" spans="2:16" s="166" customFormat="1" ht="15.5">
      <c r="B41" s="257" t="s">
        <v>588</v>
      </c>
      <c r="C41" s="258">
        <v>0</v>
      </c>
      <c r="D41" s="258">
        <v>0</v>
      </c>
      <c r="E41" s="258">
        <v>0</v>
      </c>
      <c r="F41" s="258">
        <v>0</v>
      </c>
      <c r="G41" s="258">
        <v>0</v>
      </c>
      <c r="H41" s="258">
        <v>0</v>
      </c>
      <c r="I41" s="258">
        <v>0</v>
      </c>
      <c r="J41" s="258">
        <v>0</v>
      </c>
      <c r="K41" s="258">
        <v>0</v>
      </c>
      <c r="L41" s="258">
        <v>0</v>
      </c>
      <c r="M41" s="258">
        <v>0</v>
      </c>
      <c r="N41" s="258">
        <v>0</v>
      </c>
      <c r="O41" s="399">
        <v>0</v>
      </c>
      <c r="P41" s="399"/>
    </row>
    <row r="42" spans="2:16" ht="15">
      <c r="B42" s="244" t="s">
        <v>589</v>
      </c>
      <c r="C42" s="245">
        <f t="shared" ref="C42:N42" si="0">SUM(C36:C41)</f>
        <v>174727</v>
      </c>
      <c r="D42" s="245">
        <f t="shared" si="0"/>
        <v>188895</v>
      </c>
      <c r="E42" s="245">
        <f t="shared" si="0"/>
        <v>222669</v>
      </c>
      <c r="F42" s="245">
        <f t="shared" si="0"/>
        <v>224155</v>
      </c>
      <c r="G42" s="245">
        <f t="shared" si="0"/>
        <v>237084</v>
      </c>
      <c r="H42" s="245">
        <f t="shared" si="0"/>
        <v>227239</v>
      </c>
      <c r="I42" s="245">
        <f t="shared" si="0"/>
        <v>254117</v>
      </c>
      <c r="J42" s="245">
        <f t="shared" si="0"/>
        <v>395484</v>
      </c>
      <c r="K42" s="245">
        <f t="shared" si="0"/>
        <v>410263</v>
      </c>
      <c r="L42" s="245">
        <f t="shared" si="0"/>
        <v>391001</v>
      </c>
      <c r="M42" s="245">
        <f t="shared" si="0"/>
        <v>364544</v>
      </c>
      <c r="N42" s="245">
        <f t="shared" si="0"/>
        <v>338985</v>
      </c>
      <c r="O42" s="300">
        <v>323368</v>
      </c>
      <c r="P42" s="300">
        <f>SUM(P36:P41)</f>
        <v>303342.68743599992</v>
      </c>
    </row>
    <row r="43" spans="2:16" ht="15">
      <c r="B43" s="241" t="s">
        <v>590</v>
      </c>
      <c r="C43" s="242"/>
      <c r="D43" s="242"/>
      <c r="E43" s="242"/>
      <c r="F43" s="242"/>
      <c r="G43" s="242"/>
      <c r="H43" s="242"/>
      <c r="I43" s="242"/>
      <c r="J43" s="242"/>
      <c r="K43" s="242"/>
      <c r="L43" s="242"/>
      <c r="M43" s="242"/>
      <c r="N43" s="242"/>
      <c r="O43" s="298"/>
      <c r="P43" s="298"/>
    </row>
    <row r="44" spans="2:16" s="166" customFormat="1" ht="15.5">
      <c r="B44" s="252" t="s">
        <v>591</v>
      </c>
      <c r="C44" s="209">
        <v>0</v>
      </c>
      <c r="D44" s="209">
        <v>0</v>
      </c>
      <c r="E44" s="209">
        <v>0</v>
      </c>
      <c r="F44" s="209">
        <v>0</v>
      </c>
      <c r="G44" s="209">
        <v>0</v>
      </c>
      <c r="H44" s="209">
        <v>0</v>
      </c>
      <c r="I44" s="209">
        <v>0</v>
      </c>
      <c r="J44" s="209">
        <v>0</v>
      </c>
      <c r="K44" s="209">
        <v>0</v>
      </c>
      <c r="L44" s="209">
        <v>0</v>
      </c>
      <c r="M44" s="209">
        <v>0</v>
      </c>
      <c r="N44" s="209">
        <v>0</v>
      </c>
      <c r="O44" s="299">
        <v>0</v>
      </c>
      <c r="P44" s="299">
        <v>0</v>
      </c>
    </row>
    <row r="45" spans="2:16" s="166" customFormat="1" ht="15.5">
      <c r="B45" s="252" t="s">
        <v>592</v>
      </c>
      <c r="C45" s="209">
        <v>0</v>
      </c>
      <c r="D45" s="209">
        <v>0</v>
      </c>
      <c r="E45" s="209">
        <v>0</v>
      </c>
      <c r="F45" s="209">
        <v>0</v>
      </c>
      <c r="G45" s="209">
        <v>0</v>
      </c>
      <c r="H45" s="209">
        <v>0</v>
      </c>
      <c r="I45" s="209">
        <v>0</v>
      </c>
      <c r="J45" s="209">
        <v>0</v>
      </c>
      <c r="K45" s="209">
        <v>0</v>
      </c>
      <c r="L45" s="209">
        <v>0</v>
      </c>
      <c r="M45" s="209">
        <v>0</v>
      </c>
      <c r="N45" s="209">
        <v>0</v>
      </c>
      <c r="O45" s="299">
        <v>0</v>
      </c>
      <c r="P45" s="299">
        <v>0</v>
      </c>
    </row>
    <row r="46" spans="2:16" s="166" customFormat="1" ht="15.5">
      <c r="B46" s="252" t="s">
        <v>593</v>
      </c>
      <c r="C46" s="209">
        <v>0</v>
      </c>
      <c r="D46" s="209">
        <v>0</v>
      </c>
      <c r="E46" s="209">
        <v>0</v>
      </c>
      <c r="F46" s="209">
        <v>0</v>
      </c>
      <c r="G46" s="209">
        <v>0</v>
      </c>
      <c r="H46" s="209">
        <v>0</v>
      </c>
      <c r="I46" s="209">
        <v>0</v>
      </c>
      <c r="J46" s="209">
        <v>0</v>
      </c>
      <c r="K46" s="209">
        <v>0</v>
      </c>
      <c r="L46" s="209">
        <v>0</v>
      </c>
      <c r="M46" s="209">
        <v>0</v>
      </c>
      <c r="N46" s="209">
        <v>0</v>
      </c>
      <c r="O46" s="299">
        <v>0</v>
      </c>
      <c r="P46" s="299">
        <v>0</v>
      </c>
    </row>
    <row r="47" spans="2:16" s="166" customFormat="1" ht="15.5">
      <c r="B47" s="252" t="s">
        <v>594</v>
      </c>
      <c r="C47" s="209">
        <v>0</v>
      </c>
      <c r="D47" s="209">
        <v>0</v>
      </c>
      <c r="E47" s="209">
        <v>0</v>
      </c>
      <c r="F47" s="209">
        <v>0</v>
      </c>
      <c r="G47" s="209">
        <v>0</v>
      </c>
      <c r="H47" s="209">
        <v>0</v>
      </c>
      <c r="I47" s="209">
        <v>0</v>
      </c>
      <c r="J47" s="209">
        <v>0</v>
      </c>
      <c r="K47" s="209">
        <v>0</v>
      </c>
      <c r="L47" s="209">
        <v>0</v>
      </c>
      <c r="M47" s="209">
        <v>0</v>
      </c>
      <c r="N47" s="209">
        <v>0</v>
      </c>
      <c r="O47" s="299">
        <v>0</v>
      </c>
      <c r="P47" s="299">
        <v>0</v>
      </c>
    </row>
    <row r="48" spans="2:16" s="166" customFormat="1" ht="15.5">
      <c r="B48" s="252" t="s">
        <v>584</v>
      </c>
      <c r="C48" s="209">
        <v>949045</v>
      </c>
      <c r="D48" s="209">
        <v>975679</v>
      </c>
      <c r="E48" s="209">
        <v>947480</v>
      </c>
      <c r="F48" s="209">
        <v>949610</v>
      </c>
      <c r="G48" s="209">
        <v>959295</v>
      </c>
      <c r="H48" s="209">
        <v>972773</v>
      </c>
      <c r="I48" s="209">
        <v>968001</v>
      </c>
      <c r="J48" s="209">
        <v>973867</v>
      </c>
      <c r="K48" s="209">
        <v>988013</v>
      </c>
      <c r="L48" s="209">
        <v>1005560</v>
      </c>
      <c r="M48" s="209">
        <v>1003605</v>
      </c>
      <c r="N48" s="209">
        <v>1035417</v>
      </c>
      <c r="O48" s="299">
        <v>1082561</v>
      </c>
      <c r="P48" s="299">
        <v>1115065.613415</v>
      </c>
    </row>
    <row r="49" spans="2:16" s="166" customFormat="1" ht="15.5">
      <c r="B49" s="252" t="s">
        <v>595</v>
      </c>
      <c r="C49" s="209">
        <v>0</v>
      </c>
      <c r="D49" s="209">
        <v>0</v>
      </c>
      <c r="E49" s="209">
        <v>0</v>
      </c>
      <c r="F49" s="209">
        <v>0</v>
      </c>
      <c r="G49" s="209">
        <v>0</v>
      </c>
      <c r="H49" s="209">
        <v>0</v>
      </c>
      <c r="I49" s="209">
        <v>0</v>
      </c>
      <c r="J49" s="209">
        <v>0</v>
      </c>
      <c r="K49" s="209">
        <v>0</v>
      </c>
      <c r="L49" s="209">
        <v>0</v>
      </c>
      <c r="M49" s="209">
        <v>0</v>
      </c>
      <c r="N49" s="209">
        <v>0</v>
      </c>
      <c r="O49" s="299">
        <v>0</v>
      </c>
      <c r="P49" s="299">
        <v>0</v>
      </c>
    </row>
    <row r="50" spans="2:16" s="166" customFormat="1" ht="15.5">
      <c r="B50" s="252" t="s">
        <v>596</v>
      </c>
      <c r="C50" s="209">
        <v>385</v>
      </c>
      <c r="D50" s="209">
        <v>582</v>
      </c>
      <c r="E50" s="209">
        <v>569</v>
      </c>
      <c r="F50" s="209">
        <v>583</v>
      </c>
      <c r="G50" s="209">
        <v>593</v>
      </c>
      <c r="H50" s="209">
        <v>591</v>
      </c>
      <c r="I50" s="209">
        <v>1471</v>
      </c>
      <c r="J50" s="209">
        <v>554</v>
      </c>
      <c r="K50" s="209">
        <v>538</v>
      </c>
      <c r="L50" s="209">
        <v>227</v>
      </c>
      <c r="M50" s="209">
        <v>206</v>
      </c>
      <c r="N50" s="209">
        <v>181</v>
      </c>
      <c r="O50" s="299">
        <v>168</v>
      </c>
      <c r="P50" s="299">
        <v>151.289412</v>
      </c>
    </row>
    <row r="51" spans="2:16" s="166" customFormat="1" ht="15.5">
      <c r="B51" s="252" t="s">
        <v>597</v>
      </c>
      <c r="C51" s="209">
        <v>0</v>
      </c>
      <c r="D51" s="209">
        <v>0</v>
      </c>
      <c r="E51" s="209">
        <v>0</v>
      </c>
      <c r="F51" s="209">
        <v>0</v>
      </c>
      <c r="G51" s="209">
        <v>0</v>
      </c>
      <c r="H51" s="209">
        <v>0</v>
      </c>
      <c r="I51" s="209">
        <v>0</v>
      </c>
      <c r="J51" s="209">
        <v>0</v>
      </c>
      <c r="K51" s="209">
        <v>0</v>
      </c>
      <c r="L51" s="209">
        <v>0</v>
      </c>
      <c r="M51" s="209">
        <v>0</v>
      </c>
      <c r="N51" s="209">
        <v>0</v>
      </c>
      <c r="O51" s="299">
        <v>0</v>
      </c>
      <c r="P51" s="299">
        <v>0</v>
      </c>
    </row>
    <row r="52" spans="2:16" s="166" customFormat="1" ht="15.5">
      <c r="B52" s="252" t="s">
        <v>598</v>
      </c>
      <c r="C52" s="209">
        <v>881</v>
      </c>
      <c r="D52" s="209">
        <v>1064</v>
      </c>
      <c r="E52" s="209">
        <v>1008</v>
      </c>
      <c r="F52" s="209">
        <v>972</v>
      </c>
      <c r="G52" s="209">
        <v>915</v>
      </c>
      <c r="H52" s="209">
        <v>908</v>
      </c>
      <c r="I52" s="209">
        <v>870</v>
      </c>
      <c r="J52" s="209">
        <v>810</v>
      </c>
      <c r="K52" s="209">
        <v>749</v>
      </c>
      <c r="L52" s="209">
        <v>689</v>
      </c>
      <c r="M52" s="209">
        <v>629</v>
      </c>
      <c r="N52" s="209">
        <v>569</v>
      </c>
      <c r="O52" s="299">
        <v>509</v>
      </c>
      <c r="P52" s="299">
        <v>472.66735399999999</v>
      </c>
    </row>
    <row r="53" spans="2:16" s="166" customFormat="1" ht="15.5">
      <c r="B53" s="252" t="s">
        <v>586</v>
      </c>
      <c r="C53" s="209">
        <v>0</v>
      </c>
      <c r="D53" s="209">
        <v>0</v>
      </c>
      <c r="E53" s="209">
        <v>0</v>
      </c>
      <c r="F53" s="209">
        <v>0</v>
      </c>
      <c r="G53" s="209">
        <v>0</v>
      </c>
      <c r="H53" s="209">
        <v>0</v>
      </c>
      <c r="I53" s="209">
        <v>0</v>
      </c>
      <c r="J53" s="209">
        <v>0</v>
      </c>
      <c r="K53" s="209">
        <v>0</v>
      </c>
      <c r="L53" s="209">
        <v>0</v>
      </c>
      <c r="M53" s="209">
        <v>0</v>
      </c>
      <c r="N53" s="209">
        <v>0</v>
      </c>
      <c r="O53" s="299">
        <v>0</v>
      </c>
      <c r="P53" s="299">
        <v>0</v>
      </c>
    </row>
    <row r="54" spans="2:16" s="166" customFormat="1" ht="15.5">
      <c r="B54" s="252" t="s">
        <v>599</v>
      </c>
      <c r="C54" s="209">
        <v>0</v>
      </c>
      <c r="D54" s="209">
        <v>0</v>
      </c>
      <c r="E54" s="209">
        <v>0</v>
      </c>
      <c r="F54" s="209">
        <v>0</v>
      </c>
      <c r="G54" s="209">
        <v>0</v>
      </c>
      <c r="H54" s="209">
        <v>0</v>
      </c>
      <c r="I54" s="209">
        <v>0</v>
      </c>
      <c r="J54" s="209">
        <v>0</v>
      </c>
      <c r="K54" s="209">
        <v>0</v>
      </c>
      <c r="L54" s="209">
        <v>0</v>
      </c>
      <c r="M54" s="209">
        <v>0</v>
      </c>
      <c r="N54" s="209">
        <v>0</v>
      </c>
      <c r="O54" s="299">
        <v>91</v>
      </c>
      <c r="P54" s="299">
        <v>0</v>
      </c>
    </row>
    <row r="55" spans="2:16" s="166" customFormat="1" ht="15.5">
      <c r="B55" s="252" t="s">
        <v>600</v>
      </c>
      <c r="C55" s="209">
        <v>0</v>
      </c>
      <c r="D55" s="209">
        <v>0</v>
      </c>
      <c r="E55" s="209">
        <v>0</v>
      </c>
      <c r="F55" s="209">
        <v>0</v>
      </c>
      <c r="G55" s="209">
        <v>0</v>
      </c>
      <c r="H55" s="209">
        <v>0</v>
      </c>
      <c r="I55" s="209">
        <v>-17</v>
      </c>
      <c r="J55" s="209">
        <v>1292</v>
      </c>
      <c r="K55" s="209">
        <v>1193</v>
      </c>
      <c r="L55" s="209">
        <v>1292</v>
      </c>
      <c r="M55" s="209">
        <v>1182</v>
      </c>
      <c r="N55" s="209">
        <v>1170</v>
      </c>
      <c r="O55" s="299">
        <v>1081</v>
      </c>
      <c r="P55" s="299">
        <v>1004.190327</v>
      </c>
    </row>
    <row r="56" spans="2:16" s="166" customFormat="1" ht="15.5">
      <c r="B56" s="252" t="s">
        <v>588</v>
      </c>
      <c r="C56" s="209">
        <v>0</v>
      </c>
      <c r="D56" s="209">
        <v>0</v>
      </c>
      <c r="E56" s="209">
        <v>0</v>
      </c>
      <c r="F56" s="209">
        <v>0</v>
      </c>
      <c r="G56" s="209">
        <v>0</v>
      </c>
      <c r="H56" s="209">
        <v>0</v>
      </c>
      <c r="I56" s="209">
        <v>0</v>
      </c>
      <c r="J56" s="209">
        <v>0</v>
      </c>
      <c r="K56" s="209">
        <v>0</v>
      </c>
      <c r="L56" s="209">
        <v>0</v>
      </c>
      <c r="M56" s="209">
        <v>0</v>
      </c>
      <c r="N56" s="209">
        <v>0</v>
      </c>
      <c r="O56" s="299">
        <v>0</v>
      </c>
      <c r="P56" s="299"/>
    </row>
    <row r="57" spans="2:16" ht="15">
      <c r="B57" s="241" t="s">
        <v>601</v>
      </c>
      <c r="C57" s="246">
        <f t="shared" ref="C57:N57" si="1">SUM(C44:C56)</f>
        <v>950311</v>
      </c>
      <c r="D57" s="246">
        <f t="shared" si="1"/>
        <v>977325</v>
      </c>
      <c r="E57" s="246">
        <f t="shared" si="1"/>
        <v>949057</v>
      </c>
      <c r="F57" s="246">
        <f t="shared" si="1"/>
        <v>951165</v>
      </c>
      <c r="G57" s="246">
        <f t="shared" si="1"/>
        <v>960803</v>
      </c>
      <c r="H57" s="246">
        <f t="shared" si="1"/>
        <v>974272</v>
      </c>
      <c r="I57" s="246">
        <f t="shared" si="1"/>
        <v>970325</v>
      </c>
      <c r="J57" s="246">
        <f t="shared" si="1"/>
        <v>976523</v>
      </c>
      <c r="K57" s="246">
        <f t="shared" si="1"/>
        <v>990493</v>
      </c>
      <c r="L57" s="246">
        <f t="shared" si="1"/>
        <v>1007768</v>
      </c>
      <c r="M57" s="246">
        <f t="shared" si="1"/>
        <v>1005622</v>
      </c>
      <c r="N57" s="246">
        <f t="shared" si="1"/>
        <v>1037337</v>
      </c>
      <c r="O57" s="301">
        <v>1084410</v>
      </c>
      <c r="P57" s="301">
        <f>SUM(P44:P56)</f>
        <v>1116693.7605080002</v>
      </c>
    </row>
    <row r="58" spans="2:16" ht="15">
      <c r="B58" s="244" t="s">
        <v>602</v>
      </c>
      <c r="C58" s="245">
        <f t="shared" ref="C58:N58" si="2">+C42+C57</f>
        <v>1125038</v>
      </c>
      <c r="D58" s="245">
        <f t="shared" si="2"/>
        <v>1166220</v>
      </c>
      <c r="E58" s="245">
        <f t="shared" si="2"/>
        <v>1171726</v>
      </c>
      <c r="F58" s="245">
        <f t="shared" si="2"/>
        <v>1175320</v>
      </c>
      <c r="G58" s="245">
        <f t="shared" si="2"/>
        <v>1197887</v>
      </c>
      <c r="H58" s="245">
        <f t="shared" si="2"/>
        <v>1201511</v>
      </c>
      <c r="I58" s="245">
        <f t="shared" si="2"/>
        <v>1224442</v>
      </c>
      <c r="J58" s="245">
        <f t="shared" si="2"/>
        <v>1372007</v>
      </c>
      <c r="K58" s="245">
        <f t="shared" si="2"/>
        <v>1400756</v>
      </c>
      <c r="L58" s="245">
        <f t="shared" si="2"/>
        <v>1398769</v>
      </c>
      <c r="M58" s="245">
        <f t="shared" si="2"/>
        <v>1370166</v>
      </c>
      <c r="N58" s="245">
        <f t="shared" si="2"/>
        <v>1376322</v>
      </c>
      <c r="O58" s="300">
        <v>1407778</v>
      </c>
      <c r="P58" s="300">
        <f>+P42+P57</f>
        <v>1420036.4479440001</v>
      </c>
    </row>
    <row r="59" spans="2:16" ht="15.5" thickBot="1">
      <c r="B59" s="208"/>
      <c r="C59" s="206"/>
      <c r="D59" s="206"/>
      <c r="E59" s="206"/>
      <c r="F59" s="206"/>
      <c r="G59" s="206"/>
      <c r="H59" s="206"/>
      <c r="I59" s="206"/>
      <c r="J59" s="206"/>
      <c r="K59" s="206"/>
      <c r="L59" s="206"/>
      <c r="M59" s="206"/>
      <c r="N59" s="206"/>
      <c r="O59" s="302"/>
      <c r="P59" s="185"/>
    </row>
    <row r="60" spans="2:16" ht="15">
      <c r="B60" s="247" t="s">
        <v>603</v>
      </c>
      <c r="C60" s="248"/>
      <c r="D60" s="248"/>
      <c r="E60" s="248"/>
      <c r="F60" s="248"/>
      <c r="G60" s="248"/>
      <c r="H60" s="248"/>
      <c r="I60" s="248"/>
      <c r="J60" s="248"/>
      <c r="K60" s="248"/>
      <c r="L60" s="248"/>
      <c r="M60" s="248"/>
      <c r="N60" s="248"/>
      <c r="O60" s="303"/>
      <c r="P60" s="648"/>
    </row>
    <row r="61" spans="2:16" ht="15.5" thickBot="1">
      <c r="B61" s="241" t="s">
        <v>604</v>
      </c>
      <c r="C61" s="249"/>
      <c r="D61" s="249"/>
      <c r="E61" s="249"/>
      <c r="F61" s="249"/>
      <c r="G61" s="249"/>
      <c r="H61" s="249"/>
      <c r="I61" s="249"/>
      <c r="J61" s="249"/>
      <c r="K61" s="249"/>
      <c r="L61" s="249"/>
      <c r="M61" s="249"/>
      <c r="N61" s="249"/>
      <c r="O61" s="304"/>
      <c r="P61" s="387"/>
    </row>
    <row r="62" spans="2:16" s="166" customFormat="1" ht="15.5">
      <c r="B62" s="252" t="s">
        <v>605</v>
      </c>
      <c r="C62" s="209">
        <v>56294</v>
      </c>
      <c r="D62" s="209">
        <v>48260</v>
      </c>
      <c r="E62" s="209">
        <v>39776</v>
      </c>
      <c r="F62" s="209">
        <v>34831</v>
      </c>
      <c r="G62" s="209">
        <v>45192</v>
      </c>
      <c r="H62" s="209">
        <v>71718</v>
      </c>
      <c r="I62" s="209">
        <v>58956</v>
      </c>
      <c r="J62" s="209">
        <v>33815</v>
      </c>
      <c r="K62" s="209">
        <v>45990</v>
      </c>
      <c r="L62" s="209">
        <v>55333</v>
      </c>
      <c r="M62" s="209">
        <v>50226</v>
      </c>
      <c r="N62" s="209">
        <v>39903</v>
      </c>
      <c r="O62" s="299">
        <v>47256</v>
      </c>
      <c r="P62" s="299">
        <v>35318.455847999998</v>
      </c>
    </row>
    <row r="63" spans="2:16" s="166" customFormat="1" ht="15.5">
      <c r="B63" s="252" t="s">
        <v>606</v>
      </c>
      <c r="C63" s="209">
        <v>8692</v>
      </c>
      <c r="D63" s="209">
        <v>4638</v>
      </c>
      <c r="E63" s="209">
        <v>19863</v>
      </c>
      <c r="F63" s="209">
        <v>22688</v>
      </c>
      <c r="G63" s="209">
        <v>20923</v>
      </c>
      <c r="H63" s="209">
        <v>5349</v>
      </c>
      <c r="I63" s="209">
        <v>21520</v>
      </c>
      <c r="J63" s="209">
        <v>21740</v>
      </c>
      <c r="K63" s="209">
        <v>23163</v>
      </c>
      <c r="L63" s="209">
        <v>10043</v>
      </c>
      <c r="M63" s="209">
        <v>30342</v>
      </c>
      <c r="N63" s="209">
        <v>28901</v>
      </c>
      <c r="O63" s="299">
        <v>30819</v>
      </c>
      <c r="P63" s="299">
        <v>38663.811324000002</v>
      </c>
    </row>
    <row r="64" spans="2:16" s="166" customFormat="1" ht="15.5">
      <c r="B64" s="252" t="s">
        <v>607</v>
      </c>
      <c r="C64" s="209">
        <v>0</v>
      </c>
      <c r="D64" s="209">
        <v>0</v>
      </c>
      <c r="E64" s="209">
        <v>163</v>
      </c>
      <c r="F64" s="209">
        <v>180</v>
      </c>
      <c r="G64" s="209">
        <v>162</v>
      </c>
      <c r="H64" s="209">
        <v>0</v>
      </c>
      <c r="I64" s="209">
        <v>167</v>
      </c>
      <c r="J64" s="209">
        <v>190</v>
      </c>
      <c r="K64" s="209">
        <v>211</v>
      </c>
      <c r="L64" s="209">
        <v>0</v>
      </c>
      <c r="M64" s="209">
        <v>191</v>
      </c>
      <c r="N64" s="209">
        <v>230</v>
      </c>
      <c r="O64" s="299">
        <v>266</v>
      </c>
      <c r="P64" s="299">
        <v>277.297101</v>
      </c>
    </row>
    <row r="65" spans="2:16" s="166" customFormat="1" ht="15.5">
      <c r="B65" s="252" t="s">
        <v>585</v>
      </c>
      <c r="C65" s="209">
        <v>0</v>
      </c>
      <c r="D65" s="209">
        <v>1442</v>
      </c>
      <c r="E65" s="209">
        <v>1968</v>
      </c>
      <c r="F65" s="209">
        <v>1875</v>
      </c>
      <c r="G65" s="209">
        <v>1598</v>
      </c>
      <c r="H65" s="209">
        <v>1618</v>
      </c>
      <c r="I65" s="209">
        <v>1771</v>
      </c>
      <c r="J65" s="209">
        <v>1806</v>
      </c>
      <c r="K65" s="209">
        <v>6851</v>
      </c>
      <c r="L65" s="209">
        <v>0</v>
      </c>
      <c r="M65" s="209">
        <v>2505</v>
      </c>
      <c r="N65" s="209">
        <v>1137</v>
      </c>
      <c r="O65" s="299">
        <v>1240</v>
      </c>
      <c r="P65" s="299">
        <v>998.79442900000004</v>
      </c>
    </row>
    <row r="66" spans="2:16" s="166" customFormat="1" ht="15.5">
      <c r="B66" s="252" t="s">
        <v>608</v>
      </c>
      <c r="C66" s="209">
        <v>0</v>
      </c>
      <c r="D66" s="209">
        <v>0</v>
      </c>
      <c r="E66" s="209">
        <v>0</v>
      </c>
      <c r="F66" s="209">
        <v>0</v>
      </c>
      <c r="G66" s="209">
        <v>922</v>
      </c>
      <c r="H66" s="209">
        <v>0</v>
      </c>
      <c r="I66" s="209">
        <v>694</v>
      </c>
      <c r="J66" s="209">
        <v>2975</v>
      </c>
      <c r="K66" s="209">
        <v>2947</v>
      </c>
      <c r="L66" s="209">
        <v>7007</v>
      </c>
      <c r="M66" s="209">
        <v>6071</v>
      </c>
      <c r="N66" s="209">
        <v>8092</v>
      </c>
      <c r="O66" s="299">
        <v>8095</v>
      </c>
      <c r="P66" s="299">
        <v>11436.014999999999</v>
      </c>
    </row>
    <row r="67" spans="2:16" s="166" customFormat="1" ht="15.5">
      <c r="B67" s="252" t="s">
        <v>609</v>
      </c>
      <c r="C67" s="209">
        <v>1292</v>
      </c>
      <c r="D67" s="209">
        <v>1120</v>
      </c>
      <c r="E67" s="209">
        <v>414</v>
      </c>
      <c r="F67" s="209">
        <v>739</v>
      </c>
      <c r="G67" s="209">
        <v>812</v>
      </c>
      <c r="H67" s="209">
        <v>1117</v>
      </c>
      <c r="I67" s="209">
        <v>550</v>
      </c>
      <c r="J67" s="209">
        <v>733</v>
      </c>
      <c r="K67" s="209">
        <v>1023</v>
      </c>
      <c r="L67" s="209">
        <v>1357</v>
      </c>
      <c r="M67" s="209">
        <v>481</v>
      </c>
      <c r="N67" s="209">
        <v>783</v>
      </c>
      <c r="O67" s="299">
        <v>836</v>
      </c>
      <c r="P67" s="299">
        <v>1163.2058919999999</v>
      </c>
    </row>
    <row r="68" spans="2:16" s="166" customFormat="1" ht="15.5">
      <c r="B68" s="252" t="s">
        <v>610</v>
      </c>
      <c r="C68" s="209">
        <v>2838</v>
      </c>
      <c r="D68" s="209">
        <v>2</v>
      </c>
      <c r="E68" s="209">
        <v>0</v>
      </c>
      <c r="F68" s="209">
        <v>0</v>
      </c>
      <c r="G68" s="209">
        <v>0</v>
      </c>
      <c r="H68" s="209">
        <v>1</v>
      </c>
      <c r="I68" s="209">
        <v>0</v>
      </c>
      <c r="J68" s="209">
        <v>0</v>
      </c>
      <c r="K68" s="209">
        <v>0</v>
      </c>
      <c r="L68" s="209">
        <v>0</v>
      </c>
      <c r="M68" s="209">
        <v>0</v>
      </c>
      <c r="N68" s="209">
        <v>243</v>
      </c>
      <c r="O68" s="299">
        <v>254</v>
      </c>
      <c r="P68" s="299">
        <v>294.09186399999999</v>
      </c>
    </row>
    <row r="69" spans="2:16" s="166" customFormat="1" ht="15.5">
      <c r="B69" s="252" t="s">
        <v>684</v>
      </c>
      <c r="C69" s="209">
        <v>0</v>
      </c>
      <c r="D69" s="209">
        <v>0</v>
      </c>
      <c r="E69" s="209">
        <v>0</v>
      </c>
      <c r="F69" s="209">
        <v>0</v>
      </c>
      <c r="G69" s="209">
        <v>0</v>
      </c>
      <c r="H69" s="209">
        <v>0</v>
      </c>
      <c r="I69" s="209">
        <v>0</v>
      </c>
      <c r="J69" s="209">
        <v>0</v>
      </c>
      <c r="K69" s="209">
        <v>0</v>
      </c>
      <c r="L69" s="209">
        <v>0</v>
      </c>
      <c r="M69" s="209">
        <v>0</v>
      </c>
      <c r="N69" s="209">
        <v>0</v>
      </c>
      <c r="O69" s="299">
        <v>0</v>
      </c>
      <c r="P69" s="299">
        <v>0</v>
      </c>
    </row>
    <row r="70" spans="2:16" ht="15">
      <c r="B70" s="241" t="s">
        <v>611</v>
      </c>
      <c r="C70" s="246">
        <f t="shared" ref="C70:N70" si="3">SUM(C62:C69)</f>
        <v>69116</v>
      </c>
      <c r="D70" s="246">
        <f t="shared" si="3"/>
        <v>55462</v>
      </c>
      <c r="E70" s="246">
        <f t="shared" si="3"/>
        <v>62184</v>
      </c>
      <c r="F70" s="246">
        <f t="shared" si="3"/>
        <v>60313</v>
      </c>
      <c r="G70" s="246">
        <f t="shared" si="3"/>
        <v>69609</v>
      </c>
      <c r="H70" s="246">
        <f t="shared" si="3"/>
        <v>79803</v>
      </c>
      <c r="I70" s="246">
        <f t="shared" si="3"/>
        <v>83658</v>
      </c>
      <c r="J70" s="246">
        <f t="shared" si="3"/>
        <v>61259</v>
      </c>
      <c r="K70" s="246">
        <f t="shared" si="3"/>
        <v>80185</v>
      </c>
      <c r="L70" s="246">
        <f t="shared" si="3"/>
        <v>73740</v>
      </c>
      <c r="M70" s="246">
        <f t="shared" si="3"/>
        <v>89816</v>
      </c>
      <c r="N70" s="246">
        <f t="shared" si="3"/>
        <v>79289</v>
      </c>
      <c r="O70" s="301">
        <v>88766</v>
      </c>
      <c r="P70" s="301">
        <f>SUM(P62:P69)</f>
        <v>88151.671457999997</v>
      </c>
    </row>
    <row r="71" spans="2:16" ht="15">
      <c r="B71" s="250" t="s">
        <v>612</v>
      </c>
      <c r="C71" s="251"/>
      <c r="D71" s="251"/>
      <c r="E71" s="251"/>
      <c r="F71" s="251"/>
      <c r="G71" s="251"/>
      <c r="H71" s="251"/>
      <c r="I71" s="251"/>
      <c r="J71" s="251"/>
      <c r="K71" s="251"/>
      <c r="L71" s="251"/>
      <c r="M71" s="251"/>
      <c r="N71" s="251"/>
      <c r="O71" s="305"/>
      <c r="P71" s="305"/>
    </row>
    <row r="72" spans="2:16" s="166" customFormat="1" ht="15.5">
      <c r="B72" s="252" t="s">
        <v>605</v>
      </c>
      <c r="C72" s="209">
        <v>496863</v>
      </c>
      <c r="D72" s="209">
        <v>493406</v>
      </c>
      <c r="E72" s="209">
        <v>497438</v>
      </c>
      <c r="F72" s="209">
        <v>487255</v>
      </c>
      <c r="G72" s="209">
        <v>495094</v>
      </c>
      <c r="H72" s="209">
        <v>619671</v>
      </c>
      <c r="I72" s="209">
        <v>474172</v>
      </c>
      <c r="J72" s="209">
        <v>626883</v>
      </c>
      <c r="K72" s="209">
        <v>627450</v>
      </c>
      <c r="L72" s="209">
        <v>765038</v>
      </c>
      <c r="M72" s="209">
        <v>608941</v>
      </c>
      <c r="N72" s="209">
        <v>605645</v>
      </c>
      <c r="O72" s="299">
        <v>610885</v>
      </c>
      <c r="P72" s="299">
        <v>605149.71300999995</v>
      </c>
    </row>
    <row r="73" spans="2:16" s="166" customFormat="1" ht="15.5">
      <c r="B73" s="252" t="s">
        <v>606</v>
      </c>
      <c r="C73" s="209">
        <v>161074</v>
      </c>
      <c r="D73" s="209">
        <v>164349</v>
      </c>
      <c r="E73" s="209">
        <v>148174</v>
      </c>
      <c r="F73" s="209">
        <v>152929</v>
      </c>
      <c r="G73" s="209">
        <v>149009</v>
      </c>
      <c r="H73" s="209">
        <v>0</v>
      </c>
      <c r="I73" s="209">
        <v>149735</v>
      </c>
      <c r="J73" s="209">
        <v>157749</v>
      </c>
      <c r="K73" s="209">
        <v>149073</v>
      </c>
      <c r="L73" s="209">
        <v>903</v>
      </c>
      <c r="M73" s="209">
        <v>149509</v>
      </c>
      <c r="N73" s="209">
        <v>159598</v>
      </c>
      <c r="O73" s="299">
        <v>156384</v>
      </c>
      <c r="P73" s="299">
        <v>169595.62221900001</v>
      </c>
    </row>
    <row r="74" spans="2:16" s="166" customFormat="1" ht="15.5">
      <c r="B74" s="252" t="s">
        <v>613</v>
      </c>
      <c r="C74" s="209">
        <v>0</v>
      </c>
      <c r="D74" s="209">
        <v>0</v>
      </c>
      <c r="E74" s="209">
        <v>0</v>
      </c>
      <c r="F74" s="209">
        <v>0</v>
      </c>
      <c r="G74" s="209">
        <v>0</v>
      </c>
      <c r="H74" s="209">
        <v>0</v>
      </c>
      <c r="I74" s="209">
        <v>0</v>
      </c>
      <c r="J74" s="209">
        <v>0</v>
      </c>
      <c r="K74" s="209">
        <v>0</v>
      </c>
      <c r="L74" s="209">
        <v>0</v>
      </c>
      <c r="M74" s="209">
        <v>0</v>
      </c>
      <c r="N74" s="209">
        <v>0</v>
      </c>
      <c r="O74" s="299">
        <v>0</v>
      </c>
      <c r="P74" s="299">
        <v>0</v>
      </c>
    </row>
    <row r="75" spans="2:16" s="166" customFormat="1" ht="15.5">
      <c r="B75" s="252" t="s">
        <v>607</v>
      </c>
      <c r="C75" s="209">
        <v>0</v>
      </c>
      <c r="D75" s="209">
        <v>0</v>
      </c>
      <c r="E75" s="209">
        <v>0</v>
      </c>
      <c r="F75" s="209">
        <v>0</v>
      </c>
      <c r="G75" s="209">
        <v>0</v>
      </c>
      <c r="H75" s="209">
        <v>0</v>
      </c>
      <c r="I75" s="209">
        <v>0</v>
      </c>
      <c r="J75" s="209">
        <v>0</v>
      </c>
      <c r="K75" s="209">
        <v>0</v>
      </c>
      <c r="L75" s="209">
        <v>0</v>
      </c>
      <c r="M75" s="209">
        <v>0</v>
      </c>
      <c r="N75" s="209">
        <v>0</v>
      </c>
      <c r="O75" s="299">
        <v>0</v>
      </c>
      <c r="P75" s="299">
        <v>0</v>
      </c>
    </row>
    <row r="76" spans="2:16" s="166" customFormat="1" ht="15.5">
      <c r="B76" s="252" t="s">
        <v>608</v>
      </c>
      <c r="C76" s="209">
        <v>0</v>
      </c>
      <c r="D76" s="209">
        <v>0</v>
      </c>
      <c r="E76" s="209">
        <v>0</v>
      </c>
      <c r="F76" s="209">
        <v>0</v>
      </c>
      <c r="G76" s="209">
        <v>0</v>
      </c>
      <c r="H76" s="209">
        <v>0</v>
      </c>
      <c r="I76" s="209">
        <v>0</v>
      </c>
      <c r="J76" s="209">
        <v>0</v>
      </c>
      <c r="K76" s="209">
        <v>0</v>
      </c>
      <c r="L76" s="209">
        <v>0</v>
      </c>
      <c r="M76" s="209">
        <v>0</v>
      </c>
      <c r="N76" s="209">
        <v>0</v>
      </c>
      <c r="O76" s="299">
        <v>0</v>
      </c>
      <c r="P76" s="299">
        <v>0</v>
      </c>
    </row>
    <row r="77" spans="2:16" s="166" customFormat="1" ht="15.5">
      <c r="B77" s="252" t="s">
        <v>610</v>
      </c>
      <c r="C77" s="209">
        <v>0</v>
      </c>
      <c r="D77" s="209">
        <v>0</v>
      </c>
      <c r="E77" s="209">
        <v>0</v>
      </c>
      <c r="F77" s="209">
        <v>0</v>
      </c>
      <c r="G77" s="209">
        <v>0</v>
      </c>
      <c r="H77" s="209">
        <v>0</v>
      </c>
      <c r="I77" s="209">
        <v>0</v>
      </c>
      <c r="J77" s="209">
        <v>0</v>
      </c>
      <c r="K77" s="209">
        <v>0</v>
      </c>
      <c r="L77" s="209">
        <v>0</v>
      </c>
      <c r="M77" s="209">
        <v>0</v>
      </c>
      <c r="N77" s="209">
        <v>0</v>
      </c>
      <c r="O77" s="299">
        <v>0</v>
      </c>
      <c r="P77" s="299">
        <v>0</v>
      </c>
    </row>
    <row r="78" spans="2:16" s="166" customFormat="1" ht="15.5">
      <c r="B78" s="252" t="s">
        <v>614</v>
      </c>
      <c r="C78" s="209">
        <v>72183</v>
      </c>
      <c r="D78" s="209">
        <v>84171</v>
      </c>
      <c r="E78" s="209">
        <v>86079</v>
      </c>
      <c r="F78" s="209">
        <v>87753</v>
      </c>
      <c r="G78" s="209">
        <v>89323</v>
      </c>
      <c r="H78" s="209">
        <v>89746</v>
      </c>
      <c r="I78" s="209">
        <v>93777</v>
      </c>
      <c r="J78" s="209">
        <v>94007</v>
      </c>
      <c r="K78" s="209">
        <v>98062</v>
      </c>
      <c r="L78" s="209">
        <v>100617</v>
      </c>
      <c r="M78" s="209">
        <v>102471</v>
      </c>
      <c r="N78" s="209">
        <v>104655</v>
      </c>
      <c r="O78" s="299">
        <v>109979</v>
      </c>
      <c r="P78" s="299">
        <v>109616.095346</v>
      </c>
    </row>
    <row r="79" spans="2:16" ht="15">
      <c r="B79" s="241" t="s">
        <v>615</v>
      </c>
      <c r="C79" s="246">
        <f t="shared" ref="C79:N79" si="4">SUM(C72:C78)</f>
        <v>730120</v>
      </c>
      <c r="D79" s="246">
        <f t="shared" si="4"/>
        <v>741926</v>
      </c>
      <c r="E79" s="246">
        <f t="shared" si="4"/>
        <v>731691</v>
      </c>
      <c r="F79" s="246">
        <f t="shared" si="4"/>
        <v>727937</v>
      </c>
      <c r="G79" s="246">
        <f t="shared" si="4"/>
        <v>733426</v>
      </c>
      <c r="H79" s="246">
        <f t="shared" si="4"/>
        <v>709417</v>
      </c>
      <c r="I79" s="246">
        <f t="shared" si="4"/>
        <v>717684</v>
      </c>
      <c r="J79" s="246">
        <f t="shared" si="4"/>
        <v>878639</v>
      </c>
      <c r="K79" s="246">
        <f t="shared" si="4"/>
        <v>874585</v>
      </c>
      <c r="L79" s="246">
        <f t="shared" si="4"/>
        <v>866558</v>
      </c>
      <c r="M79" s="246">
        <f t="shared" si="4"/>
        <v>860921</v>
      </c>
      <c r="N79" s="246">
        <f t="shared" si="4"/>
        <v>869898</v>
      </c>
      <c r="O79" s="301">
        <v>877248</v>
      </c>
      <c r="P79" s="301">
        <f>SUM(P72:P78)</f>
        <v>884361.43057500001</v>
      </c>
    </row>
    <row r="80" spans="2:16" ht="15">
      <c r="B80" s="244" t="s">
        <v>616</v>
      </c>
      <c r="C80" s="245">
        <f t="shared" ref="C80:N80" si="5">+C70+C79</f>
        <v>799236</v>
      </c>
      <c r="D80" s="245">
        <f t="shared" si="5"/>
        <v>797388</v>
      </c>
      <c r="E80" s="245">
        <f t="shared" si="5"/>
        <v>793875</v>
      </c>
      <c r="F80" s="245">
        <f t="shared" si="5"/>
        <v>788250</v>
      </c>
      <c r="G80" s="245">
        <f t="shared" si="5"/>
        <v>803035</v>
      </c>
      <c r="H80" s="245">
        <f t="shared" si="5"/>
        <v>789220</v>
      </c>
      <c r="I80" s="245">
        <f t="shared" si="5"/>
        <v>801342</v>
      </c>
      <c r="J80" s="245">
        <f t="shared" si="5"/>
        <v>939898</v>
      </c>
      <c r="K80" s="245">
        <f t="shared" si="5"/>
        <v>954770</v>
      </c>
      <c r="L80" s="245">
        <f t="shared" si="5"/>
        <v>940298</v>
      </c>
      <c r="M80" s="245">
        <f t="shared" si="5"/>
        <v>950737</v>
      </c>
      <c r="N80" s="245">
        <f t="shared" si="5"/>
        <v>949187</v>
      </c>
      <c r="O80" s="300">
        <v>966014</v>
      </c>
      <c r="P80" s="300">
        <f>+P79+P70</f>
        <v>972513.10203299997</v>
      </c>
    </row>
    <row r="81" spans="2:16" ht="15">
      <c r="B81" s="208"/>
      <c r="C81" s="206"/>
      <c r="D81" s="206"/>
      <c r="E81" s="206"/>
      <c r="F81" s="206"/>
      <c r="G81" s="206"/>
      <c r="H81" s="206"/>
      <c r="I81" s="206"/>
      <c r="J81" s="206"/>
      <c r="K81" s="206"/>
      <c r="L81" s="206"/>
      <c r="M81" s="206"/>
      <c r="N81" s="206"/>
      <c r="O81" s="302"/>
      <c r="P81" s="302"/>
    </row>
    <row r="82" spans="2:16" ht="15">
      <c r="B82" s="250" t="s">
        <v>617</v>
      </c>
      <c r="C82" s="251"/>
      <c r="D82" s="251"/>
      <c r="E82" s="251"/>
      <c r="F82" s="251"/>
      <c r="G82" s="251"/>
      <c r="H82" s="251"/>
      <c r="I82" s="251"/>
      <c r="J82" s="251"/>
      <c r="K82" s="251"/>
      <c r="L82" s="251"/>
      <c r="M82" s="251"/>
      <c r="N82" s="251"/>
      <c r="O82" s="305"/>
      <c r="P82" s="305"/>
    </row>
    <row r="83" spans="2:16" s="166" customFormat="1" ht="15.5">
      <c r="B83" s="252" t="s">
        <v>618</v>
      </c>
      <c r="C83" s="209">
        <v>85214</v>
      </c>
      <c r="D83" s="209">
        <v>85214</v>
      </c>
      <c r="E83" s="209">
        <v>85214</v>
      </c>
      <c r="F83" s="209">
        <v>85214</v>
      </c>
      <c r="G83" s="209">
        <v>85214</v>
      </c>
      <c r="H83" s="209">
        <v>85214</v>
      </c>
      <c r="I83" s="209">
        <v>85214</v>
      </c>
      <c r="J83" s="209">
        <v>85214</v>
      </c>
      <c r="K83" s="209">
        <v>85214</v>
      </c>
      <c r="L83" s="209">
        <v>85214</v>
      </c>
      <c r="M83" s="209">
        <v>85214</v>
      </c>
      <c r="N83" s="209">
        <v>85214</v>
      </c>
      <c r="O83" s="299">
        <v>85214</v>
      </c>
      <c r="P83" s="299">
        <v>85214.499991000004</v>
      </c>
    </row>
    <row r="84" spans="2:16" s="166" customFormat="1" ht="15.5">
      <c r="B84" s="252" t="s">
        <v>619</v>
      </c>
      <c r="C84" s="209">
        <v>0</v>
      </c>
      <c r="D84" s="209">
        <v>0</v>
      </c>
      <c r="E84" s="209">
        <v>0</v>
      </c>
      <c r="F84" s="209">
        <v>0</v>
      </c>
      <c r="G84" s="209">
        <v>0</v>
      </c>
      <c r="H84" s="209">
        <v>0</v>
      </c>
      <c r="I84" s="209">
        <v>0</v>
      </c>
      <c r="J84" s="209">
        <v>0</v>
      </c>
      <c r="K84" s="209">
        <v>0</v>
      </c>
      <c r="L84" s="209">
        <v>0</v>
      </c>
      <c r="M84" s="209">
        <v>0</v>
      </c>
      <c r="N84" s="209">
        <v>0</v>
      </c>
      <c r="O84" s="299">
        <v>0</v>
      </c>
      <c r="P84" s="299">
        <v>0</v>
      </c>
    </row>
    <row r="85" spans="2:16" s="166" customFormat="1" ht="15.5">
      <c r="B85" s="252" t="s">
        <v>620</v>
      </c>
      <c r="C85" s="209">
        <v>0</v>
      </c>
      <c r="D85" s="209">
        <v>0</v>
      </c>
      <c r="E85" s="209">
        <v>0</v>
      </c>
      <c r="F85" s="209">
        <v>0</v>
      </c>
      <c r="G85" s="209">
        <v>0</v>
      </c>
      <c r="H85" s="209">
        <v>0</v>
      </c>
      <c r="I85" s="209">
        <v>0</v>
      </c>
      <c r="J85" s="209">
        <v>0</v>
      </c>
      <c r="K85" s="209">
        <v>0</v>
      </c>
      <c r="L85" s="209">
        <v>0</v>
      </c>
      <c r="M85" s="209">
        <v>0</v>
      </c>
      <c r="N85" s="209">
        <v>0</v>
      </c>
      <c r="O85" s="299">
        <v>0</v>
      </c>
      <c r="P85" s="299">
        <v>0</v>
      </c>
    </row>
    <row r="86" spans="2:16" s="166" customFormat="1" ht="15.5">
      <c r="B86" s="252" t="s">
        <v>621</v>
      </c>
      <c r="C86" s="209">
        <v>193927</v>
      </c>
      <c r="D86" s="209">
        <v>236233</v>
      </c>
      <c r="E86" s="209">
        <v>281327</v>
      </c>
      <c r="F86" s="209">
        <v>281327</v>
      </c>
      <c r="G86" s="209">
        <v>281327</v>
      </c>
      <c r="H86" s="209">
        <v>281225</v>
      </c>
      <c r="I86" s="209">
        <v>324193</v>
      </c>
      <c r="J86" s="209">
        <v>324193</v>
      </c>
      <c r="K86" s="209">
        <v>324193</v>
      </c>
      <c r="L86" s="209">
        <v>324193</v>
      </c>
      <c r="M86" s="209">
        <v>318693</v>
      </c>
      <c r="N86" s="209">
        <v>318693</v>
      </c>
      <c r="O86" s="299">
        <v>318693</v>
      </c>
      <c r="P86" s="299">
        <v>318693.229207</v>
      </c>
    </row>
    <row r="87" spans="2:16" s="166" customFormat="1" ht="15.5">
      <c r="B87" s="252" t="s">
        <v>622</v>
      </c>
      <c r="C87" s="209">
        <v>42306</v>
      </c>
      <c r="D87" s="209">
        <v>45093</v>
      </c>
      <c r="E87" s="209">
        <v>9565</v>
      </c>
      <c r="F87" s="209">
        <v>19422</v>
      </c>
      <c r="G87" s="209">
        <v>26900</v>
      </c>
      <c r="H87" s="209">
        <v>42969</v>
      </c>
      <c r="I87" s="209">
        <v>10807</v>
      </c>
      <c r="J87" s="209">
        <v>19876</v>
      </c>
      <c r="K87" s="209">
        <v>33777</v>
      </c>
      <c r="L87" s="209">
        <v>45514</v>
      </c>
      <c r="M87" s="209">
        <v>10774</v>
      </c>
      <c r="N87" s="209">
        <v>18189</v>
      </c>
      <c r="O87" s="299">
        <v>33112</v>
      </c>
      <c r="P87" s="299">
        <v>39011.664788000002</v>
      </c>
    </row>
    <row r="88" spans="2:16" s="166" customFormat="1" ht="15.5">
      <c r="B88" s="252" t="s">
        <v>623</v>
      </c>
      <c r="C88" s="209">
        <v>4355</v>
      </c>
      <c r="D88" s="209">
        <v>2292</v>
      </c>
      <c r="E88" s="209">
        <v>1745</v>
      </c>
      <c r="F88" s="209">
        <v>1107</v>
      </c>
      <c r="G88" s="209">
        <v>1411</v>
      </c>
      <c r="H88" s="209">
        <v>2883</v>
      </c>
      <c r="I88" s="209">
        <v>2886</v>
      </c>
      <c r="J88" s="209">
        <v>2826</v>
      </c>
      <c r="K88" s="209">
        <v>2802</v>
      </c>
      <c r="L88" s="209">
        <v>3550</v>
      </c>
      <c r="M88" s="209">
        <v>4748</v>
      </c>
      <c r="N88" s="209">
        <v>5039</v>
      </c>
      <c r="O88" s="299">
        <v>4745</v>
      </c>
      <c r="P88" s="299">
        <v>4603.9519250000003</v>
      </c>
    </row>
    <row r="89" spans="2:16" ht="15">
      <c r="B89" s="241" t="s">
        <v>624</v>
      </c>
      <c r="C89" s="246">
        <f t="shared" ref="C89:N89" si="6">SUM(C83:C88)</f>
        <v>325802</v>
      </c>
      <c r="D89" s="246">
        <f t="shared" si="6"/>
        <v>368832</v>
      </c>
      <c r="E89" s="246">
        <f t="shared" si="6"/>
        <v>377851</v>
      </c>
      <c r="F89" s="246">
        <f t="shared" si="6"/>
        <v>387070</v>
      </c>
      <c r="G89" s="246">
        <f t="shared" si="6"/>
        <v>394852</v>
      </c>
      <c r="H89" s="246">
        <f t="shared" si="6"/>
        <v>412291</v>
      </c>
      <c r="I89" s="246">
        <f t="shared" si="6"/>
        <v>423100</v>
      </c>
      <c r="J89" s="246">
        <f t="shared" si="6"/>
        <v>432109</v>
      </c>
      <c r="K89" s="246">
        <f t="shared" si="6"/>
        <v>445986</v>
      </c>
      <c r="L89" s="246">
        <f t="shared" si="6"/>
        <v>458471</v>
      </c>
      <c r="M89" s="246">
        <f t="shared" si="6"/>
        <v>419429</v>
      </c>
      <c r="N89" s="246">
        <f t="shared" si="6"/>
        <v>427135</v>
      </c>
      <c r="O89" s="301">
        <v>441764</v>
      </c>
      <c r="P89" s="301">
        <f>SUM(P83:P88)</f>
        <v>447523.34591099998</v>
      </c>
    </row>
    <row r="90" spans="2:16" ht="15">
      <c r="B90" s="244" t="s">
        <v>625</v>
      </c>
      <c r="C90" s="245">
        <f t="shared" ref="C90:N90" si="7">+C80+C89</f>
        <v>1125038</v>
      </c>
      <c r="D90" s="245">
        <f t="shared" si="7"/>
        <v>1166220</v>
      </c>
      <c r="E90" s="245">
        <f t="shared" si="7"/>
        <v>1171726</v>
      </c>
      <c r="F90" s="245">
        <f t="shared" si="7"/>
        <v>1175320</v>
      </c>
      <c r="G90" s="245">
        <f t="shared" si="7"/>
        <v>1197887</v>
      </c>
      <c r="H90" s="245">
        <f t="shared" si="7"/>
        <v>1201511</v>
      </c>
      <c r="I90" s="245">
        <f t="shared" si="7"/>
        <v>1224442</v>
      </c>
      <c r="J90" s="245">
        <f t="shared" si="7"/>
        <v>1372007</v>
      </c>
      <c r="K90" s="245">
        <f t="shared" si="7"/>
        <v>1400756</v>
      </c>
      <c r="L90" s="245">
        <f t="shared" si="7"/>
        <v>1398769</v>
      </c>
      <c r="M90" s="245">
        <f t="shared" si="7"/>
        <v>1370166</v>
      </c>
      <c r="N90" s="245">
        <f t="shared" si="7"/>
        <v>1376322</v>
      </c>
      <c r="O90" s="300">
        <v>1407778</v>
      </c>
      <c r="P90" s="300">
        <f>+P89+P80</f>
        <v>1420036.4479439999</v>
      </c>
    </row>
    <row r="91" spans="2:16" ht="15.5">
      <c r="B91" s="255"/>
      <c r="C91" s="256"/>
      <c r="D91" s="256"/>
      <c r="E91" s="256"/>
      <c r="F91" s="256"/>
      <c r="G91" s="256"/>
      <c r="H91" s="255"/>
      <c r="I91" s="255"/>
      <c r="J91" s="255"/>
      <c r="K91" s="255"/>
      <c r="L91" s="255"/>
      <c r="M91" s="205"/>
      <c r="N91" s="205"/>
      <c r="O91" s="397"/>
      <c r="P91" s="185"/>
    </row>
    <row r="92" spans="2:16" ht="15.5">
      <c r="O92" s="397"/>
      <c r="P92" s="185"/>
    </row>
    <row r="93" spans="2:16" ht="15.5">
      <c r="B93" s="236" t="s">
        <v>501</v>
      </c>
      <c r="C93" s="75"/>
      <c r="D93" s="75"/>
      <c r="E93" s="76"/>
      <c r="F93" s="75"/>
      <c r="G93" s="75"/>
      <c r="H93" s="75"/>
      <c r="I93" s="76"/>
      <c r="J93" s="75"/>
      <c r="K93" s="75"/>
      <c r="L93" s="75"/>
      <c r="M93" s="76"/>
      <c r="N93" s="75"/>
      <c r="O93" s="75"/>
      <c r="P93" s="185"/>
    </row>
    <row r="94" spans="2:16" ht="15.5">
      <c r="B94" s="142" t="s">
        <v>563</v>
      </c>
      <c r="C94" s="5"/>
      <c r="D94" s="5"/>
      <c r="E94" s="5"/>
      <c r="F94" s="5"/>
      <c r="G94" s="5"/>
      <c r="H94" s="5"/>
      <c r="I94" s="5"/>
      <c r="J94" s="5"/>
      <c r="K94" s="5"/>
      <c r="L94" s="5"/>
      <c r="M94" s="5"/>
      <c r="N94" s="5"/>
      <c r="O94" s="397"/>
      <c r="P94" s="185"/>
    </row>
    <row r="95" spans="2:16" ht="6" customHeight="1">
      <c r="B95" s="77"/>
      <c r="C95" s="77"/>
      <c r="D95" s="77"/>
      <c r="E95" s="77"/>
      <c r="F95" s="77"/>
      <c r="G95" s="77"/>
      <c r="H95" s="77"/>
      <c r="I95" s="77"/>
      <c r="J95" s="77"/>
      <c r="K95" s="77"/>
      <c r="L95" s="77"/>
      <c r="M95" s="77"/>
      <c r="N95" s="77"/>
      <c r="O95" s="77"/>
      <c r="P95" s="185"/>
    </row>
    <row r="96" spans="2:16" ht="15">
      <c r="B96" s="78"/>
      <c r="C96" s="79">
        <v>2016</v>
      </c>
      <c r="D96" s="79">
        <v>2017</v>
      </c>
      <c r="E96" s="79" t="s">
        <v>626</v>
      </c>
      <c r="F96" s="79" t="s">
        <v>627</v>
      </c>
      <c r="G96" s="79" t="s">
        <v>628</v>
      </c>
      <c r="H96" s="79" t="s">
        <v>629</v>
      </c>
      <c r="I96" s="79" t="s">
        <v>630</v>
      </c>
      <c r="J96" s="79" t="s">
        <v>631</v>
      </c>
      <c r="K96" s="79" t="s">
        <v>632</v>
      </c>
      <c r="L96" s="79" t="s">
        <v>633</v>
      </c>
      <c r="M96" s="79" t="s">
        <v>11</v>
      </c>
      <c r="N96" s="79" t="s">
        <v>12</v>
      </c>
      <c r="O96" s="296" t="s">
        <v>685</v>
      </c>
      <c r="P96" s="647" t="s">
        <v>1131</v>
      </c>
    </row>
    <row r="97" spans="2:16" ht="7" customHeight="1">
      <c r="B97" s="178"/>
      <c r="C97" s="81"/>
      <c r="D97" s="81"/>
      <c r="E97" s="81"/>
      <c r="F97" s="81"/>
      <c r="G97" s="81"/>
      <c r="H97" s="81"/>
      <c r="I97" s="81"/>
      <c r="J97" s="81"/>
      <c r="K97" s="81"/>
      <c r="L97" s="81"/>
      <c r="M97" s="81"/>
      <c r="N97" s="81"/>
      <c r="O97" s="77"/>
      <c r="P97" s="185"/>
    </row>
    <row r="98" spans="2:16" ht="15.5">
      <c r="B98" s="179" t="s">
        <v>564</v>
      </c>
      <c r="C98" s="13">
        <v>3404</v>
      </c>
      <c r="D98" s="13">
        <v>1850</v>
      </c>
      <c r="E98" s="13">
        <v>582</v>
      </c>
      <c r="F98" s="13">
        <v>152</v>
      </c>
      <c r="G98" s="13">
        <v>669</v>
      </c>
      <c r="H98" s="13">
        <v>394</v>
      </c>
      <c r="I98" s="13">
        <v>2114</v>
      </c>
      <c r="J98" s="13">
        <v>2166</v>
      </c>
      <c r="K98" s="13">
        <v>263</v>
      </c>
      <c r="L98" s="13">
        <v>2065</v>
      </c>
      <c r="M98" s="13">
        <v>-65</v>
      </c>
      <c r="N98" s="13">
        <v>151</v>
      </c>
      <c r="O98" s="380">
        <v>549</v>
      </c>
      <c r="P98" s="380">
        <v>3092.7752770000002</v>
      </c>
    </row>
    <row r="99" spans="2:16" ht="15.5">
      <c r="B99" s="179" t="s">
        <v>565</v>
      </c>
      <c r="C99" s="13">
        <v>3013</v>
      </c>
      <c r="D99" s="13">
        <v>1637</v>
      </c>
      <c r="E99" s="13">
        <v>515</v>
      </c>
      <c r="F99" s="13">
        <v>135</v>
      </c>
      <c r="G99" s="13">
        <v>592</v>
      </c>
      <c r="H99" s="13">
        <v>349</v>
      </c>
      <c r="I99" s="13">
        <v>1870</v>
      </c>
      <c r="J99" s="13">
        <v>1918</v>
      </c>
      <c r="K99" s="13">
        <v>232</v>
      </c>
      <c r="L99" s="13">
        <v>1828</v>
      </c>
      <c r="M99" s="13">
        <v>-56</v>
      </c>
      <c r="N99" s="13">
        <v>131</v>
      </c>
      <c r="O99" s="380">
        <v>477</v>
      </c>
      <c r="P99" s="380">
        <v>2689.3698060000002</v>
      </c>
    </row>
    <row r="100" spans="2:16" ht="15.5">
      <c r="B100" s="182" t="s">
        <v>566</v>
      </c>
      <c r="C100" s="15">
        <f t="shared" ref="C100:M100" si="8">+C98-C99</f>
        <v>391</v>
      </c>
      <c r="D100" s="15">
        <f t="shared" si="8"/>
        <v>213</v>
      </c>
      <c r="E100" s="15">
        <f t="shared" si="8"/>
        <v>67</v>
      </c>
      <c r="F100" s="15">
        <f t="shared" si="8"/>
        <v>17</v>
      </c>
      <c r="G100" s="15">
        <f t="shared" si="8"/>
        <v>77</v>
      </c>
      <c r="H100" s="15">
        <f t="shared" si="8"/>
        <v>45</v>
      </c>
      <c r="I100" s="15">
        <f t="shared" si="8"/>
        <v>244</v>
      </c>
      <c r="J100" s="15">
        <f t="shared" si="8"/>
        <v>248</v>
      </c>
      <c r="K100" s="15">
        <f t="shared" si="8"/>
        <v>31</v>
      </c>
      <c r="L100" s="15">
        <f t="shared" si="8"/>
        <v>237</v>
      </c>
      <c r="M100" s="15">
        <f t="shared" si="8"/>
        <v>-9</v>
      </c>
      <c r="N100" s="15">
        <v>20</v>
      </c>
      <c r="O100" s="396">
        <v>72</v>
      </c>
      <c r="P100" s="396">
        <v>403.40547100000003</v>
      </c>
    </row>
    <row r="101" spans="2:16" ht="15.5">
      <c r="B101" s="179"/>
      <c r="C101" s="13"/>
      <c r="D101" s="13"/>
      <c r="E101" s="13"/>
      <c r="F101" s="13"/>
      <c r="G101" s="13"/>
      <c r="H101" s="13"/>
      <c r="I101" s="13"/>
      <c r="J101" s="13"/>
      <c r="K101" s="13"/>
      <c r="L101" s="13"/>
      <c r="M101" s="13"/>
      <c r="N101" s="13"/>
      <c r="O101" s="380"/>
      <c r="P101" s="380"/>
    </row>
    <row r="102" spans="2:16" ht="15.5">
      <c r="B102" s="179" t="s">
        <v>567</v>
      </c>
      <c r="C102" s="13">
        <v>9856</v>
      </c>
      <c r="D102" s="13">
        <v>10456</v>
      </c>
      <c r="E102" s="13">
        <v>3151</v>
      </c>
      <c r="F102" s="13">
        <v>2372</v>
      </c>
      <c r="G102" s="13">
        <v>1962</v>
      </c>
      <c r="H102" s="13">
        <v>2944</v>
      </c>
      <c r="I102" s="13">
        <v>3391</v>
      </c>
      <c r="J102" s="13">
        <v>3214</v>
      </c>
      <c r="K102" s="13">
        <v>2034</v>
      </c>
      <c r="L102" s="13">
        <v>2200</v>
      </c>
      <c r="M102" s="13">
        <v>3403</v>
      </c>
      <c r="N102" s="13">
        <v>3646</v>
      </c>
      <c r="O102" s="380">
        <v>2234</v>
      </c>
      <c r="P102" s="380">
        <v>2771.4469170000002</v>
      </c>
    </row>
    <row r="103" spans="2:16" ht="15.5">
      <c r="B103" s="179" t="s">
        <v>568</v>
      </c>
      <c r="C103" s="13">
        <v>19971</v>
      </c>
      <c r="D103" s="13">
        <v>18953</v>
      </c>
      <c r="E103" s="13">
        <v>4356</v>
      </c>
      <c r="F103" s="13">
        <v>3903</v>
      </c>
      <c r="G103" s="13">
        <v>3848</v>
      </c>
      <c r="H103" s="13">
        <v>3723</v>
      </c>
      <c r="I103" s="13">
        <v>3760</v>
      </c>
      <c r="J103" s="13">
        <v>3693</v>
      </c>
      <c r="K103" s="13">
        <v>3555</v>
      </c>
      <c r="L103" s="13">
        <v>3410</v>
      </c>
      <c r="M103" s="13">
        <v>3296</v>
      </c>
      <c r="N103" s="13">
        <v>2741</v>
      </c>
      <c r="O103" s="380">
        <v>2019</v>
      </c>
      <c r="P103" s="380">
        <v>2397.4204569999997</v>
      </c>
    </row>
    <row r="104" spans="2:16" ht="15.5">
      <c r="B104" s="179" t="s">
        <v>569</v>
      </c>
      <c r="C104" s="13">
        <v>0</v>
      </c>
      <c r="D104" s="13">
        <v>0</v>
      </c>
      <c r="E104" s="13">
        <v>0</v>
      </c>
      <c r="F104" s="13">
        <v>0</v>
      </c>
      <c r="G104" s="13">
        <v>0</v>
      </c>
      <c r="H104" s="13">
        <v>0</v>
      </c>
      <c r="I104" s="13">
        <v>0</v>
      </c>
      <c r="J104" s="13">
        <v>0</v>
      </c>
      <c r="K104" s="13">
        <v>0</v>
      </c>
      <c r="L104" s="13">
        <v>0</v>
      </c>
      <c r="M104" s="13">
        <v>0</v>
      </c>
      <c r="N104" s="13">
        <v>0</v>
      </c>
      <c r="O104" s="380">
        <v>0</v>
      </c>
      <c r="P104" s="380">
        <v>0</v>
      </c>
    </row>
    <row r="105" spans="2:16" ht="15.5">
      <c r="B105" s="179" t="s">
        <v>570</v>
      </c>
      <c r="C105" s="13">
        <v>9297</v>
      </c>
      <c r="D105" s="13">
        <v>9868</v>
      </c>
      <c r="E105" s="13">
        <v>2976</v>
      </c>
      <c r="F105" s="13">
        <v>2236</v>
      </c>
      <c r="G105" s="13">
        <v>1852</v>
      </c>
      <c r="H105" s="13">
        <v>2778</v>
      </c>
      <c r="I105" s="13">
        <v>3200</v>
      </c>
      <c r="J105" s="13">
        <v>3030</v>
      </c>
      <c r="K105" s="13">
        <v>1920</v>
      </c>
      <c r="L105" s="13">
        <v>2076</v>
      </c>
      <c r="M105" s="13">
        <v>3151</v>
      </c>
      <c r="N105" s="13">
        <v>3376</v>
      </c>
      <c r="O105" s="380">
        <v>2068</v>
      </c>
      <c r="P105" s="380">
        <v>2566.154552</v>
      </c>
    </row>
    <row r="106" spans="2:16" ht="15.5">
      <c r="B106" s="182" t="s">
        <v>571</v>
      </c>
      <c r="C106" s="15">
        <f t="shared" ref="C106:M106" si="9">+SUM(C102:C104)-C105</f>
        <v>20530</v>
      </c>
      <c r="D106" s="15">
        <f t="shared" si="9"/>
        <v>19541</v>
      </c>
      <c r="E106" s="15">
        <f t="shared" si="9"/>
        <v>4531</v>
      </c>
      <c r="F106" s="15">
        <f t="shared" si="9"/>
        <v>4039</v>
      </c>
      <c r="G106" s="15">
        <f t="shared" si="9"/>
        <v>3958</v>
      </c>
      <c r="H106" s="15">
        <f t="shared" si="9"/>
        <v>3889</v>
      </c>
      <c r="I106" s="15">
        <f t="shared" si="9"/>
        <v>3951</v>
      </c>
      <c r="J106" s="15">
        <f t="shared" si="9"/>
        <v>3877</v>
      </c>
      <c r="K106" s="15">
        <f t="shared" si="9"/>
        <v>3669</v>
      </c>
      <c r="L106" s="15">
        <f t="shared" si="9"/>
        <v>3534</v>
      </c>
      <c r="M106" s="15">
        <f t="shared" si="9"/>
        <v>3548</v>
      </c>
      <c r="N106" s="15">
        <v>3011</v>
      </c>
      <c r="O106" s="396">
        <v>2185</v>
      </c>
      <c r="P106" s="396">
        <v>2602.7128219999995</v>
      </c>
    </row>
    <row r="107" spans="2:16" ht="15.5">
      <c r="B107" s="180" t="s">
        <v>572</v>
      </c>
      <c r="C107" s="17">
        <f t="shared" ref="C107:M107" si="10">+C106+C100</f>
        <v>20921</v>
      </c>
      <c r="D107" s="17">
        <f t="shared" si="10"/>
        <v>19754</v>
      </c>
      <c r="E107" s="17">
        <f t="shared" si="10"/>
        <v>4598</v>
      </c>
      <c r="F107" s="17">
        <f t="shared" si="10"/>
        <v>4056</v>
      </c>
      <c r="G107" s="17">
        <f t="shared" si="10"/>
        <v>4035</v>
      </c>
      <c r="H107" s="17">
        <f t="shared" si="10"/>
        <v>3934</v>
      </c>
      <c r="I107" s="17">
        <f t="shared" si="10"/>
        <v>4195</v>
      </c>
      <c r="J107" s="17">
        <f t="shared" si="10"/>
        <v>4125</v>
      </c>
      <c r="K107" s="17">
        <f t="shared" si="10"/>
        <v>3700</v>
      </c>
      <c r="L107" s="17">
        <f t="shared" si="10"/>
        <v>3771</v>
      </c>
      <c r="M107" s="17">
        <f t="shared" si="10"/>
        <v>3539</v>
      </c>
      <c r="N107" s="17">
        <v>3031</v>
      </c>
      <c r="O107" s="381">
        <v>2257</v>
      </c>
      <c r="P107" s="381">
        <v>3006.1182929999995</v>
      </c>
    </row>
    <row r="108" spans="2:16" ht="15.5">
      <c r="B108" s="10"/>
      <c r="C108" s="181"/>
      <c r="D108" s="181"/>
      <c r="E108" s="181"/>
      <c r="F108" s="237"/>
      <c r="G108" s="181"/>
      <c r="H108" s="181"/>
      <c r="I108" s="181"/>
      <c r="J108" s="181"/>
      <c r="K108" s="181"/>
      <c r="L108" s="181"/>
      <c r="M108" s="181"/>
      <c r="N108" s="181"/>
      <c r="O108" s="9"/>
      <c r="P108" s="9"/>
    </row>
    <row r="109" spans="2:16" ht="15.5">
      <c r="B109" s="179" t="s">
        <v>573</v>
      </c>
      <c r="C109" s="13">
        <f>12366-C105-C99</f>
        <v>56</v>
      </c>
      <c r="D109" s="13">
        <f>11577-D105-D99</f>
        <v>72</v>
      </c>
      <c r="E109" s="13">
        <f>3518-E105-E99</f>
        <v>27</v>
      </c>
      <c r="F109" s="13">
        <f>+F107-4041</f>
        <v>15</v>
      </c>
      <c r="G109" s="13">
        <f>+G107-(12627-F112-E112)+G111</f>
        <v>21</v>
      </c>
      <c r="H109" s="13">
        <f>+H107-3917+H111</f>
        <v>21</v>
      </c>
      <c r="I109" s="13">
        <f>5092-I105-I99-1</f>
        <v>21</v>
      </c>
      <c r="J109" s="13">
        <f>J107-4102+J111</f>
        <v>30</v>
      </c>
      <c r="K109" s="13">
        <f>K107-3671+K111+1</f>
        <v>33</v>
      </c>
      <c r="L109" s="13">
        <f>L107-(15696-K112-J112-I112)+L111</f>
        <v>33</v>
      </c>
      <c r="M109" s="13">
        <f>3129-M105-M99-1</f>
        <v>33</v>
      </c>
      <c r="N109" s="13">
        <v>35</v>
      </c>
      <c r="O109" s="380">
        <v>34</v>
      </c>
      <c r="P109" s="380">
        <v>35.991820000000004</v>
      </c>
    </row>
    <row r="110" spans="2:16" ht="15.5">
      <c r="B110" s="179" t="s">
        <v>574</v>
      </c>
      <c r="C110" s="13">
        <v>0</v>
      </c>
      <c r="D110" s="13">
        <v>0</v>
      </c>
      <c r="E110" s="13">
        <v>0</v>
      </c>
      <c r="F110" s="13">
        <v>0</v>
      </c>
      <c r="G110" s="13">
        <v>0</v>
      </c>
      <c r="H110" s="13">
        <v>0</v>
      </c>
      <c r="I110" s="13">
        <v>0</v>
      </c>
      <c r="J110" s="13">
        <v>0</v>
      </c>
      <c r="K110" s="13">
        <v>0</v>
      </c>
      <c r="L110" s="13">
        <v>0</v>
      </c>
      <c r="M110" s="13">
        <v>0</v>
      </c>
      <c r="N110" s="13">
        <v>0</v>
      </c>
      <c r="O110" s="380">
        <v>0</v>
      </c>
      <c r="P110" s="380"/>
    </row>
    <row r="111" spans="2:16" ht="15.5">
      <c r="B111" s="179" t="s">
        <v>575</v>
      </c>
      <c r="C111" s="13">
        <v>-229</v>
      </c>
      <c r="D111" s="13">
        <v>45</v>
      </c>
      <c r="E111" s="13">
        <v>0</v>
      </c>
      <c r="F111" s="13">
        <v>0</v>
      </c>
      <c r="G111" s="13">
        <v>1</v>
      </c>
      <c r="H111" s="13">
        <v>4</v>
      </c>
      <c r="I111" s="13">
        <v>13</v>
      </c>
      <c r="J111" s="13">
        <v>7</v>
      </c>
      <c r="K111" s="13">
        <v>3</v>
      </c>
      <c r="L111" s="13">
        <v>-1</v>
      </c>
      <c r="M111" s="13">
        <v>2</v>
      </c>
      <c r="N111" s="13">
        <v>-117</v>
      </c>
      <c r="O111" s="380">
        <v>97</v>
      </c>
      <c r="P111" s="380">
        <v>-11.393132000000005</v>
      </c>
    </row>
    <row r="112" spans="2:16" ht="15.5">
      <c r="B112" s="180" t="s">
        <v>576</v>
      </c>
      <c r="C112" s="18">
        <f t="shared" ref="C112:M112" si="11">+C107-C109+C110+C111</f>
        <v>20636</v>
      </c>
      <c r="D112" s="18">
        <f t="shared" si="11"/>
        <v>19727</v>
      </c>
      <c r="E112" s="18">
        <f t="shared" si="11"/>
        <v>4571</v>
      </c>
      <c r="F112" s="18">
        <f t="shared" si="11"/>
        <v>4041</v>
      </c>
      <c r="G112" s="18">
        <f t="shared" si="11"/>
        <v>4015</v>
      </c>
      <c r="H112" s="18">
        <f t="shared" si="11"/>
        <v>3917</v>
      </c>
      <c r="I112" s="18">
        <f t="shared" si="11"/>
        <v>4187</v>
      </c>
      <c r="J112" s="18">
        <f t="shared" si="11"/>
        <v>4102</v>
      </c>
      <c r="K112" s="18">
        <f t="shared" si="11"/>
        <v>3670</v>
      </c>
      <c r="L112" s="18">
        <f t="shared" si="11"/>
        <v>3737</v>
      </c>
      <c r="M112" s="18">
        <f t="shared" si="11"/>
        <v>3508</v>
      </c>
      <c r="N112" s="18">
        <v>2879</v>
      </c>
      <c r="O112" s="382">
        <v>2320</v>
      </c>
      <c r="P112" s="382">
        <v>2958.7333409999992</v>
      </c>
    </row>
    <row r="113" spans="2:16" ht="15.5">
      <c r="B113" s="179"/>
      <c r="C113" s="13"/>
      <c r="D113" s="13"/>
      <c r="E113" s="13"/>
      <c r="F113" s="13"/>
      <c r="G113" s="13"/>
      <c r="H113" s="13"/>
      <c r="I113" s="13"/>
      <c r="J113" s="13"/>
      <c r="K113" s="13"/>
      <c r="L113" s="13"/>
      <c r="M113" s="13"/>
      <c r="N113" s="13"/>
      <c r="O113" s="380"/>
      <c r="P113" s="380"/>
    </row>
    <row r="114" spans="2:16" ht="15.5">
      <c r="B114" s="179" t="s">
        <v>577</v>
      </c>
      <c r="C114" s="13">
        <v>-13312</v>
      </c>
      <c r="D114" s="13">
        <v>-12664</v>
      </c>
      <c r="E114" s="13">
        <v>-2781</v>
      </c>
      <c r="F114" s="13">
        <v>-2679</v>
      </c>
      <c r="G114" s="13">
        <v>-2561</v>
      </c>
      <c r="H114" s="13">
        <v>-2311</v>
      </c>
      <c r="I114" s="13">
        <f>2120-I112</f>
        <v>-2067</v>
      </c>
      <c r="J114" s="13">
        <v>-2087</v>
      </c>
      <c r="K114" s="13">
        <v>-1681</v>
      </c>
      <c r="L114" s="13">
        <f>-7866-K114-J114-I114</f>
        <v>-2031</v>
      </c>
      <c r="M114" s="13">
        <v>-2012</v>
      </c>
      <c r="N114" s="13">
        <v>-1682</v>
      </c>
      <c r="O114" s="380">
        <v>-1510</v>
      </c>
      <c r="P114" s="380">
        <v>-1881.9900979999993</v>
      </c>
    </row>
    <row r="115" spans="2:16" ht="15.5">
      <c r="B115" s="180" t="s">
        <v>578</v>
      </c>
      <c r="C115" s="18">
        <f t="shared" ref="C115:M115" si="12">+C112+C114</f>
        <v>7324</v>
      </c>
      <c r="D115" s="18">
        <f t="shared" si="12"/>
        <v>7063</v>
      </c>
      <c r="E115" s="18">
        <f t="shared" si="12"/>
        <v>1790</v>
      </c>
      <c r="F115" s="18">
        <f t="shared" si="12"/>
        <v>1362</v>
      </c>
      <c r="G115" s="18">
        <f t="shared" si="12"/>
        <v>1454</v>
      </c>
      <c r="H115" s="18">
        <f t="shared" si="12"/>
        <v>1606</v>
      </c>
      <c r="I115" s="18">
        <f t="shared" si="12"/>
        <v>2120</v>
      </c>
      <c r="J115" s="18">
        <f t="shared" si="12"/>
        <v>2015</v>
      </c>
      <c r="K115" s="18">
        <f t="shared" si="12"/>
        <v>1989</v>
      </c>
      <c r="L115" s="18">
        <f t="shared" si="12"/>
        <v>1706</v>
      </c>
      <c r="M115" s="18">
        <f t="shared" si="12"/>
        <v>1496</v>
      </c>
      <c r="N115" s="18">
        <v>1197</v>
      </c>
      <c r="O115" s="382">
        <v>810</v>
      </c>
      <c r="P115" s="382">
        <v>1076.7432429999999</v>
      </c>
    </row>
    <row r="116" spans="2:16" ht="15.5">
      <c r="B116" s="10"/>
      <c r="C116" s="181"/>
      <c r="D116" s="181"/>
      <c r="E116" s="181"/>
      <c r="F116" s="181"/>
      <c r="G116" s="181"/>
      <c r="H116" s="181"/>
      <c r="I116" s="181"/>
      <c r="J116" s="181"/>
      <c r="K116" s="181"/>
      <c r="L116" s="181"/>
      <c r="M116" s="181"/>
      <c r="N116" s="181"/>
      <c r="O116" s="9"/>
      <c r="P116" s="9"/>
    </row>
    <row r="117" spans="2:16" ht="15.5">
      <c r="B117" s="179" t="s">
        <v>579</v>
      </c>
      <c r="C117" s="13">
        <v>196</v>
      </c>
      <c r="D117" s="13">
        <v>588</v>
      </c>
      <c r="E117" s="13">
        <v>111</v>
      </c>
      <c r="F117" s="13">
        <v>-68</v>
      </c>
      <c r="G117" s="13">
        <v>66</v>
      </c>
      <c r="H117" s="13">
        <v>54</v>
      </c>
      <c r="I117" s="13">
        <v>572</v>
      </c>
      <c r="J117" s="13">
        <v>-197</v>
      </c>
      <c r="K117" s="13">
        <v>294</v>
      </c>
      <c r="L117" s="13">
        <v>75</v>
      </c>
      <c r="M117" s="13">
        <v>-54</v>
      </c>
      <c r="N117" s="13">
        <v>198</v>
      </c>
      <c r="O117" s="380">
        <v>154</v>
      </c>
      <c r="P117" s="380">
        <v>-203.27058799999998</v>
      </c>
    </row>
    <row r="118" spans="2:16" ht="15.5">
      <c r="B118" s="180" t="s">
        <v>580</v>
      </c>
      <c r="C118" s="18">
        <f t="shared" ref="C118:M118" si="13">+C115-C117</f>
        <v>7128</v>
      </c>
      <c r="D118" s="18">
        <f t="shared" si="13"/>
        <v>6475</v>
      </c>
      <c r="E118" s="18">
        <f t="shared" si="13"/>
        <v>1679</v>
      </c>
      <c r="F118" s="18">
        <f t="shared" si="13"/>
        <v>1430</v>
      </c>
      <c r="G118" s="18">
        <f t="shared" si="13"/>
        <v>1388</v>
      </c>
      <c r="H118" s="18">
        <f t="shared" si="13"/>
        <v>1552</v>
      </c>
      <c r="I118" s="18">
        <f t="shared" si="13"/>
        <v>1548</v>
      </c>
      <c r="J118" s="18">
        <f t="shared" si="13"/>
        <v>2212</v>
      </c>
      <c r="K118" s="18">
        <f t="shared" si="13"/>
        <v>1695</v>
      </c>
      <c r="L118" s="18">
        <f t="shared" si="13"/>
        <v>1631</v>
      </c>
      <c r="M118" s="18">
        <f t="shared" si="13"/>
        <v>1550</v>
      </c>
      <c r="N118" s="18">
        <v>999</v>
      </c>
      <c r="O118" s="382">
        <v>656</v>
      </c>
      <c r="P118" s="382">
        <v>1280.0138309999998</v>
      </c>
    </row>
    <row r="119" spans="2:16" ht="15.5">
      <c r="O119" s="397"/>
      <c r="P119" s="185"/>
    </row>
    <row r="120" spans="2:16" ht="15.5">
      <c r="B120" s="236" t="s">
        <v>503</v>
      </c>
      <c r="C120" s="5"/>
      <c r="D120" s="5"/>
      <c r="E120" s="5"/>
      <c r="F120" s="5"/>
      <c r="G120" s="5"/>
      <c r="H120" s="20"/>
      <c r="I120" s="20"/>
      <c r="J120" s="20"/>
      <c r="K120" s="20"/>
      <c r="L120" s="20"/>
      <c r="M120" s="20"/>
      <c r="N120" s="20"/>
      <c r="O120" s="362"/>
      <c r="P120" s="185"/>
    </row>
    <row r="121" spans="2:16" ht="15">
      <c r="B121" s="142" t="s">
        <v>563</v>
      </c>
      <c r="C121" s="5"/>
      <c r="D121" s="5"/>
      <c r="E121" s="5"/>
      <c r="F121" s="5"/>
      <c r="G121" s="5"/>
      <c r="H121" s="22"/>
      <c r="I121" s="22"/>
      <c r="J121" s="22"/>
      <c r="K121" s="22"/>
      <c r="L121" s="22"/>
      <c r="M121" s="22"/>
      <c r="N121" s="22"/>
      <c r="O121" s="363"/>
      <c r="P121" s="185"/>
    </row>
    <row r="122" spans="2:16" ht="10" customHeight="1">
      <c r="B122" s="23"/>
      <c r="C122" s="5"/>
      <c r="D122" s="5"/>
      <c r="E122" s="5"/>
      <c r="F122" s="5"/>
      <c r="G122" s="5"/>
      <c r="H122" s="23"/>
      <c r="I122" s="23"/>
      <c r="J122" s="23"/>
      <c r="K122" s="23"/>
      <c r="L122" s="23"/>
      <c r="M122" s="23"/>
      <c r="N122" s="23"/>
      <c r="O122" s="364"/>
      <c r="P122" s="185"/>
    </row>
    <row r="123" spans="2:16" s="185" customFormat="1" ht="15.5" thickBot="1">
      <c r="B123" s="78"/>
      <c r="C123" s="79">
        <v>2016</v>
      </c>
      <c r="D123" s="79">
        <v>2017</v>
      </c>
      <c r="E123" s="79" t="s">
        <v>626</v>
      </c>
      <c r="F123" s="79" t="s">
        <v>627</v>
      </c>
      <c r="G123" s="79" t="s">
        <v>628</v>
      </c>
      <c r="H123" s="79" t="s">
        <v>629</v>
      </c>
      <c r="I123" s="79" t="s">
        <v>630</v>
      </c>
      <c r="J123" s="79" t="s">
        <v>631</v>
      </c>
      <c r="K123" s="79" t="s">
        <v>632</v>
      </c>
      <c r="L123" s="79" t="s">
        <v>633</v>
      </c>
      <c r="M123" s="79" t="s">
        <v>11</v>
      </c>
      <c r="N123" s="79" t="s">
        <v>12</v>
      </c>
      <c r="O123" s="296" t="s">
        <v>685</v>
      </c>
      <c r="P123" s="647" t="s">
        <v>1131</v>
      </c>
    </row>
    <row r="124" spans="2:16" s="185" customFormat="1" ht="15">
      <c r="B124" s="239" t="s">
        <v>581</v>
      </c>
      <c r="C124" s="240"/>
      <c r="D124" s="240"/>
      <c r="E124" s="240"/>
      <c r="F124" s="240"/>
      <c r="G124" s="240"/>
      <c r="H124" s="240"/>
      <c r="I124" s="240"/>
      <c r="J124" s="240"/>
      <c r="K124" s="240"/>
      <c r="L124" s="240"/>
      <c r="M124" s="240"/>
      <c r="N124" s="239"/>
      <c r="O124" s="297"/>
      <c r="P124" s="648"/>
    </row>
    <row r="125" spans="2:16" ht="15.5" thickBot="1">
      <c r="B125" s="241" t="s">
        <v>582</v>
      </c>
      <c r="C125" s="242"/>
      <c r="D125" s="242"/>
      <c r="E125" s="242"/>
      <c r="F125" s="242"/>
      <c r="G125" s="242"/>
      <c r="H125" s="242"/>
      <c r="I125" s="242"/>
      <c r="J125" s="242"/>
      <c r="K125" s="242"/>
      <c r="L125" s="242"/>
      <c r="M125" s="242"/>
      <c r="N125" s="242"/>
      <c r="O125" s="298"/>
      <c r="P125" s="387"/>
    </row>
    <row r="126" spans="2:16" ht="15.5">
      <c r="B126" s="243" t="s">
        <v>583</v>
      </c>
      <c r="C126" s="50">
        <v>17994</v>
      </c>
      <c r="D126" s="50">
        <v>15903</v>
      </c>
      <c r="E126" s="50">
        <v>21306</v>
      </c>
      <c r="F126" s="50">
        <v>32668</v>
      </c>
      <c r="G126" s="50">
        <v>19631</v>
      </c>
      <c r="H126" s="50">
        <v>25310</v>
      </c>
      <c r="I126" s="50">
        <v>25644</v>
      </c>
      <c r="J126" s="50">
        <v>20738</v>
      </c>
      <c r="K126" s="50">
        <v>16854</v>
      </c>
      <c r="L126" s="50">
        <v>22114</v>
      </c>
      <c r="M126" s="50">
        <v>19856</v>
      </c>
      <c r="N126" s="50">
        <v>18379</v>
      </c>
      <c r="O126" s="394">
        <v>12458</v>
      </c>
      <c r="P126" s="394">
        <v>15233.452464</v>
      </c>
    </row>
    <row r="127" spans="2:16" ht="15.5">
      <c r="B127" s="243" t="s">
        <v>584</v>
      </c>
      <c r="C127" s="50">
        <v>58149</v>
      </c>
      <c r="D127" s="50">
        <v>65224</v>
      </c>
      <c r="E127" s="50">
        <v>61291</v>
      </c>
      <c r="F127" s="50">
        <v>55916</v>
      </c>
      <c r="G127" s="50">
        <v>58298</v>
      </c>
      <c r="H127" s="50">
        <v>64078</v>
      </c>
      <c r="I127" s="50">
        <v>62728</v>
      </c>
      <c r="J127" s="50">
        <v>68968</v>
      </c>
      <c r="K127" s="50">
        <v>63013</v>
      </c>
      <c r="L127" s="50">
        <v>68405</v>
      </c>
      <c r="M127" s="50">
        <v>67734</v>
      </c>
      <c r="N127" s="50">
        <v>72350</v>
      </c>
      <c r="O127" s="394">
        <v>58162</v>
      </c>
      <c r="P127" s="394">
        <v>67877.837167999998</v>
      </c>
    </row>
    <row r="128" spans="2:16" ht="15.5">
      <c r="B128" s="243" t="s">
        <v>585</v>
      </c>
      <c r="C128" s="50">
        <v>4</v>
      </c>
      <c r="D128" s="50">
        <v>6</v>
      </c>
      <c r="E128" s="50">
        <v>6</v>
      </c>
      <c r="F128" s="50">
        <v>6</v>
      </c>
      <c r="G128" s="50">
        <v>6</v>
      </c>
      <c r="H128" s="50">
        <v>6</v>
      </c>
      <c r="I128" s="50">
        <v>9</v>
      </c>
      <c r="J128" s="50">
        <v>9</v>
      </c>
      <c r="K128" s="50">
        <v>10</v>
      </c>
      <c r="L128" s="50">
        <v>10</v>
      </c>
      <c r="M128" s="50">
        <v>9</v>
      </c>
      <c r="N128" s="50">
        <v>577</v>
      </c>
      <c r="O128" s="394">
        <v>577</v>
      </c>
      <c r="P128" s="394">
        <v>580.93899899999997</v>
      </c>
    </row>
    <row r="129" spans="2:16" ht="15.5">
      <c r="B129" s="243" t="s">
        <v>586</v>
      </c>
      <c r="C129" s="50">
        <v>315</v>
      </c>
      <c r="D129" s="50">
        <v>264</v>
      </c>
      <c r="E129" s="50">
        <v>163</v>
      </c>
      <c r="F129" s="50">
        <v>613</v>
      </c>
      <c r="G129" s="50">
        <v>544</v>
      </c>
      <c r="H129" s="50">
        <v>422</v>
      </c>
      <c r="I129" s="50">
        <v>330</v>
      </c>
      <c r="J129" s="50">
        <v>275</v>
      </c>
      <c r="K129" s="50">
        <v>163</v>
      </c>
      <c r="L129" s="50">
        <v>455</v>
      </c>
      <c r="M129" s="50">
        <v>3956</v>
      </c>
      <c r="N129" s="50">
        <v>439</v>
      </c>
      <c r="O129" s="394">
        <v>271</v>
      </c>
      <c r="P129" s="394">
        <v>666.55438800000002</v>
      </c>
    </row>
    <row r="130" spans="2:16" ht="15.5">
      <c r="B130" s="243" t="s">
        <v>587</v>
      </c>
      <c r="C130" s="50">
        <v>0</v>
      </c>
      <c r="D130" s="50">
        <v>0</v>
      </c>
      <c r="E130" s="50">
        <v>0</v>
      </c>
      <c r="F130" s="50">
        <v>0</v>
      </c>
      <c r="G130" s="50">
        <v>0</v>
      </c>
      <c r="H130" s="50">
        <v>0</v>
      </c>
      <c r="I130" s="50">
        <v>0</v>
      </c>
      <c r="J130" s="50">
        <v>0</v>
      </c>
      <c r="K130" s="50">
        <v>0</v>
      </c>
      <c r="L130" s="50">
        <v>0</v>
      </c>
      <c r="M130" s="50">
        <v>0</v>
      </c>
      <c r="N130" s="50">
        <v>0</v>
      </c>
      <c r="O130" s="394">
        <v>0</v>
      </c>
      <c r="P130" s="394">
        <v>0</v>
      </c>
    </row>
    <row r="131" spans="2:16" ht="15.5">
      <c r="B131" s="243" t="s">
        <v>588</v>
      </c>
      <c r="C131" s="50">
        <v>0</v>
      </c>
      <c r="D131" s="50">
        <v>0</v>
      </c>
      <c r="E131" s="50">
        <v>0</v>
      </c>
      <c r="F131" s="50">
        <v>0</v>
      </c>
      <c r="G131" s="50">
        <v>0</v>
      </c>
      <c r="H131" s="50">
        <v>0</v>
      </c>
      <c r="I131" s="50">
        <v>0</v>
      </c>
      <c r="J131" s="50">
        <v>0</v>
      </c>
      <c r="K131" s="50">
        <v>0</v>
      </c>
      <c r="L131" s="50">
        <v>0</v>
      </c>
      <c r="M131" s="50">
        <v>0</v>
      </c>
      <c r="N131" s="50">
        <v>0</v>
      </c>
      <c r="O131" s="394">
        <v>0</v>
      </c>
      <c r="P131" s="394">
        <v>0</v>
      </c>
    </row>
    <row r="132" spans="2:16" ht="15">
      <c r="B132" s="244" t="s">
        <v>589</v>
      </c>
      <c r="C132" s="245">
        <f t="shared" ref="C132:N132" si="14">SUM(C126:C131)</f>
        <v>76462</v>
      </c>
      <c r="D132" s="245">
        <f t="shared" si="14"/>
        <v>81397</v>
      </c>
      <c r="E132" s="245">
        <f t="shared" si="14"/>
        <v>82766</v>
      </c>
      <c r="F132" s="245">
        <f t="shared" si="14"/>
        <v>89203</v>
      </c>
      <c r="G132" s="245">
        <f t="shared" si="14"/>
        <v>78479</v>
      </c>
      <c r="H132" s="245">
        <f t="shared" si="14"/>
        <v>89816</v>
      </c>
      <c r="I132" s="245">
        <f t="shared" si="14"/>
        <v>88711</v>
      </c>
      <c r="J132" s="245">
        <f t="shared" si="14"/>
        <v>89990</v>
      </c>
      <c r="K132" s="245">
        <f t="shared" si="14"/>
        <v>80040</v>
      </c>
      <c r="L132" s="245">
        <f t="shared" si="14"/>
        <v>90984</v>
      </c>
      <c r="M132" s="245">
        <f t="shared" si="14"/>
        <v>91555</v>
      </c>
      <c r="N132" s="245">
        <f t="shared" si="14"/>
        <v>91745</v>
      </c>
      <c r="O132" s="300">
        <v>71468</v>
      </c>
      <c r="P132" s="300">
        <f>SUM(P126:P131)</f>
        <v>84358.78301900001</v>
      </c>
    </row>
    <row r="133" spans="2:16" ht="15">
      <c r="B133" s="241" t="s">
        <v>590</v>
      </c>
      <c r="C133" s="242"/>
      <c r="D133" s="242"/>
      <c r="E133" s="242"/>
      <c r="F133" s="242"/>
      <c r="G133" s="242"/>
      <c r="H133" s="242"/>
      <c r="I133" s="242"/>
      <c r="J133" s="242"/>
      <c r="K133" s="242"/>
      <c r="L133" s="242"/>
      <c r="M133" s="242"/>
      <c r="N133" s="242"/>
      <c r="O133" s="298"/>
      <c r="P133" s="298"/>
    </row>
    <row r="134" spans="2:16" ht="15.5">
      <c r="B134" s="243" t="s">
        <v>591</v>
      </c>
      <c r="C134" s="50">
        <v>0</v>
      </c>
      <c r="D134" s="50">
        <v>0</v>
      </c>
      <c r="E134" s="50">
        <v>0</v>
      </c>
      <c r="F134" s="50">
        <v>0</v>
      </c>
      <c r="G134" s="50">
        <v>0</v>
      </c>
      <c r="H134" s="50">
        <v>0</v>
      </c>
      <c r="I134" s="50">
        <v>0</v>
      </c>
      <c r="J134" s="50">
        <v>0</v>
      </c>
      <c r="K134" s="50">
        <v>0</v>
      </c>
      <c r="L134" s="50">
        <v>0</v>
      </c>
      <c r="M134" s="50">
        <v>0</v>
      </c>
      <c r="N134" s="50">
        <v>0</v>
      </c>
      <c r="O134" s="394">
        <v>0</v>
      </c>
      <c r="P134" s="394">
        <v>0</v>
      </c>
    </row>
    <row r="135" spans="2:16" ht="15.5">
      <c r="B135" s="243" t="s">
        <v>592</v>
      </c>
      <c r="C135" s="50">
        <v>0</v>
      </c>
      <c r="D135" s="50">
        <v>0</v>
      </c>
      <c r="E135" s="50">
        <v>0</v>
      </c>
      <c r="F135" s="50">
        <v>0</v>
      </c>
      <c r="G135" s="50">
        <v>0</v>
      </c>
      <c r="H135" s="50">
        <v>0</v>
      </c>
      <c r="I135" s="50">
        <v>0</v>
      </c>
      <c r="J135" s="50">
        <v>0</v>
      </c>
      <c r="K135" s="50">
        <v>0</v>
      </c>
      <c r="L135" s="50">
        <v>0</v>
      </c>
      <c r="M135" s="50">
        <v>0</v>
      </c>
      <c r="N135" s="50">
        <v>0</v>
      </c>
      <c r="O135" s="394">
        <v>0</v>
      </c>
      <c r="P135" s="394">
        <v>0</v>
      </c>
    </row>
    <row r="136" spans="2:16" ht="15.5">
      <c r="B136" s="243" t="s">
        <v>593</v>
      </c>
      <c r="C136" s="50">
        <v>0</v>
      </c>
      <c r="D136" s="50">
        <v>0</v>
      </c>
      <c r="E136" s="50">
        <v>0</v>
      </c>
      <c r="F136" s="50">
        <v>0</v>
      </c>
      <c r="G136" s="50">
        <v>0</v>
      </c>
      <c r="H136" s="50">
        <v>0</v>
      </c>
      <c r="I136" s="50">
        <v>0</v>
      </c>
      <c r="J136" s="50">
        <v>0</v>
      </c>
      <c r="K136" s="50">
        <v>0</v>
      </c>
      <c r="L136" s="50">
        <v>0</v>
      </c>
      <c r="M136" s="50">
        <v>0</v>
      </c>
      <c r="N136" s="50">
        <v>0</v>
      </c>
      <c r="O136" s="394">
        <v>0</v>
      </c>
      <c r="P136" s="394">
        <v>0</v>
      </c>
    </row>
    <row r="137" spans="2:16" ht="15.5">
      <c r="B137" s="243" t="s">
        <v>594</v>
      </c>
      <c r="C137" s="50">
        <v>0</v>
      </c>
      <c r="D137" s="50">
        <v>0</v>
      </c>
      <c r="E137" s="50">
        <v>0</v>
      </c>
      <c r="F137" s="50">
        <v>0</v>
      </c>
      <c r="G137" s="50">
        <v>0</v>
      </c>
      <c r="H137" s="50">
        <v>0</v>
      </c>
      <c r="I137" s="50">
        <v>0</v>
      </c>
      <c r="J137" s="50">
        <v>0</v>
      </c>
      <c r="K137" s="50">
        <v>0</v>
      </c>
      <c r="L137" s="50">
        <v>0</v>
      </c>
      <c r="M137" s="50">
        <v>0</v>
      </c>
      <c r="N137" s="50">
        <v>0</v>
      </c>
      <c r="O137" s="394">
        <v>0</v>
      </c>
      <c r="P137" s="394">
        <v>0</v>
      </c>
    </row>
    <row r="138" spans="2:16" ht="15.5">
      <c r="B138" s="243" t="s">
        <v>584</v>
      </c>
      <c r="C138" s="50">
        <v>182000</v>
      </c>
      <c r="D138" s="50">
        <v>162376</v>
      </c>
      <c r="E138" s="50">
        <v>150789</v>
      </c>
      <c r="F138" s="50">
        <v>145668</v>
      </c>
      <c r="G138" s="50">
        <v>141484</v>
      </c>
      <c r="H138" s="50">
        <v>132927</v>
      </c>
      <c r="I138" s="50">
        <v>123926</v>
      </c>
      <c r="J138" s="50">
        <v>119778</v>
      </c>
      <c r="K138" s="50">
        <v>112822</v>
      </c>
      <c r="L138" s="50">
        <v>107777</v>
      </c>
      <c r="M138" s="50">
        <v>94637</v>
      </c>
      <c r="N138" s="50">
        <v>93251</v>
      </c>
      <c r="O138" s="394">
        <v>94262</v>
      </c>
      <c r="P138" s="394">
        <v>87898.453836000001</v>
      </c>
    </row>
    <row r="139" spans="2:16" ht="15.5">
      <c r="B139" s="243" t="s">
        <v>595</v>
      </c>
      <c r="C139" s="50">
        <v>0</v>
      </c>
      <c r="D139" s="50">
        <v>0</v>
      </c>
      <c r="E139" s="50">
        <v>0</v>
      </c>
      <c r="F139" s="50">
        <v>0</v>
      </c>
      <c r="G139" s="50">
        <v>0</v>
      </c>
      <c r="H139" s="50">
        <v>0</v>
      </c>
      <c r="I139" s="50">
        <v>0</v>
      </c>
      <c r="J139" s="50">
        <v>0</v>
      </c>
      <c r="K139" s="50">
        <v>0</v>
      </c>
      <c r="L139" s="50">
        <v>0</v>
      </c>
      <c r="M139" s="50">
        <v>0</v>
      </c>
      <c r="N139" s="50">
        <v>0</v>
      </c>
      <c r="O139" s="394">
        <v>0</v>
      </c>
      <c r="P139" s="394">
        <v>0</v>
      </c>
    </row>
    <row r="140" spans="2:16" ht="15.5">
      <c r="B140" s="243" t="s">
        <v>596</v>
      </c>
      <c r="C140" s="50">
        <v>80</v>
      </c>
      <c r="D140" s="50">
        <v>117</v>
      </c>
      <c r="E140" s="50">
        <v>105</v>
      </c>
      <c r="F140" s="50">
        <v>94</v>
      </c>
      <c r="G140" s="50">
        <v>84</v>
      </c>
      <c r="H140" s="50">
        <v>90</v>
      </c>
      <c r="I140" s="50">
        <v>158</v>
      </c>
      <c r="J140" s="50">
        <v>80</v>
      </c>
      <c r="K140" s="50">
        <v>91</v>
      </c>
      <c r="L140" s="50">
        <v>86</v>
      </c>
      <c r="M140" s="50">
        <v>84</v>
      </c>
      <c r="N140" s="50">
        <v>78</v>
      </c>
      <c r="O140" s="394">
        <v>71</v>
      </c>
      <c r="P140" s="394">
        <v>69.724816000000004</v>
      </c>
    </row>
    <row r="141" spans="2:16" ht="15.5">
      <c r="B141" s="243" t="s">
        <v>597</v>
      </c>
      <c r="C141" s="50">
        <v>0</v>
      </c>
      <c r="D141" s="50">
        <v>0</v>
      </c>
      <c r="E141" s="50">
        <v>0</v>
      </c>
      <c r="F141" s="50">
        <v>0</v>
      </c>
      <c r="G141" s="50">
        <v>0</v>
      </c>
      <c r="H141" s="50">
        <v>0</v>
      </c>
      <c r="I141" s="50">
        <v>0</v>
      </c>
      <c r="J141" s="50">
        <v>0</v>
      </c>
      <c r="K141" s="50">
        <v>0</v>
      </c>
      <c r="L141" s="50">
        <v>0</v>
      </c>
      <c r="M141" s="50">
        <v>0</v>
      </c>
      <c r="N141" s="50">
        <v>0</v>
      </c>
      <c r="O141" s="394">
        <v>0</v>
      </c>
      <c r="P141" s="394">
        <v>0</v>
      </c>
    </row>
    <row r="142" spans="2:16" ht="15.5">
      <c r="B142" s="243" t="s">
        <v>598</v>
      </c>
      <c r="C142" s="50">
        <v>115</v>
      </c>
      <c r="D142" s="50">
        <v>219</v>
      </c>
      <c r="E142" s="50">
        <v>209</v>
      </c>
      <c r="F142" s="50">
        <v>199</v>
      </c>
      <c r="G142" s="50">
        <v>197</v>
      </c>
      <c r="H142" s="50">
        <v>186</v>
      </c>
      <c r="I142" s="50">
        <v>199</v>
      </c>
      <c r="J142" s="50">
        <v>188</v>
      </c>
      <c r="K142" s="50">
        <v>177</v>
      </c>
      <c r="L142" s="50">
        <v>166</v>
      </c>
      <c r="M142" s="50">
        <v>167</v>
      </c>
      <c r="N142" s="50">
        <v>153</v>
      </c>
      <c r="O142" s="394">
        <v>138</v>
      </c>
      <c r="P142" s="394">
        <v>123.46214999999999</v>
      </c>
    </row>
    <row r="143" spans="2:16" ht="15.5">
      <c r="B143" s="243" t="s">
        <v>586</v>
      </c>
      <c r="C143" s="50">
        <v>0</v>
      </c>
      <c r="D143" s="50">
        <v>0</v>
      </c>
      <c r="E143" s="50">
        <v>0</v>
      </c>
      <c r="F143" s="50">
        <v>0</v>
      </c>
      <c r="G143" s="50">
        <v>0</v>
      </c>
      <c r="H143" s="50">
        <v>0</v>
      </c>
      <c r="I143" s="50">
        <v>0</v>
      </c>
      <c r="J143" s="50">
        <v>0</v>
      </c>
      <c r="K143" s="50">
        <v>0</v>
      </c>
      <c r="L143" s="50">
        <v>0</v>
      </c>
      <c r="M143" s="50">
        <v>0</v>
      </c>
      <c r="N143" s="50">
        <v>0</v>
      </c>
      <c r="O143" s="394">
        <v>0</v>
      </c>
      <c r="P143" s="394">
        <v>0</v>
      </c>
    </row>
    <row r="144" spans="2:16" ht="15.5">
      <c r="B144" s="243" t="s">
        <v>599</v>
      </c>
      <c r="C144" s="50">
        <v>6464</v>
      </c>
      <c r="D144" s="50">
        <v>5876</v>
      </c>
      <c r="E144" s="50">
        <v>5765</v>
      </c>
      <c r="F144" s="50">
        <v>5833</v>
      </c>
      <c r="G144" s="50">
        <v>5766</v>
      </c>
      <c r="H144" s="50">
        <v>5713</v>
      </c>
      <c r="I144" s="50">
        <v>5140</v>
      </c>
      <c r="J144" s="50">
        <v>5338</v>
      </c>
      <c r="K144" s="50">
        <v>5044</v>
      </c>
      <c r="L144" s="50">
        <v>4969</v>
      </c>
      <c r="M144" s="50">
        <v>5023</v>
      </c>
      <c r="N144" s="50">
        <v>4825</v>
      </c>
      <c r="O144" s="394">
        <v>4670</v>
      </c>
      <c r="P144" s="394">
        <v>4873.5888189999996</v>
      </c>
    </row>
    <row r="145" spans="2:16" ht="15.5">
      <c r="B145" s="243" t="s">
        <v>600</v>
      </c>
      <c r="C145" s="50">
        <v>0</v>
      </c>
      <c r="D145" s="50">
        <v>0</v>
      </c>
      <c r="E145" s="50">
        <v>0</v>
      </c>
      <c r="F145" s="50">
        <v>0</v>
      </c>
      <c r="G145" s="50">
        <v>0</v>
      </c>
      <c r="H145" s="50">
        <v>0</v>
      </c>
      <c r="I145" s="50">
        <v>-5</v>
      </c>
      <c r="J145" s="50">
        <v>171</v>
      </c>
      <c r="K145" s="50">
        <v>156</v>
      </c>
      <c r="L145" s="50">
        <v>141</v>
      </c>
      <c r="M145" s="50">
        <v>125</v>
      </c>
      <c r="N145" s="50">
        <v>112</v>
      </c>
      <c r="O145" s="394">
        <v>99</v>
      </c>
      <c r="P145" s="394">
        <v>86.242311999999998</v>
      </c>
    </row>
    <row r="146" spans="2:16" ht="15.5">
      <c r="B146" s="243" t="s">
        <v>588</v>
      </c>
      <c r="C146" s="50">
        <v>0</v>
      </c>
      <c r="D146" s="50">
        <v>0</v>
      </c>
      <c r="E146" s="50">
        <v>0</v>
      </c>
      <c r="F146" s="50">
        <v>0</v>
      </c>
      <c r="G146" s="50">
        <v>0</v>
      </c>
      <c r="H146" s="50">
        <v>0</v>
      </c>
      <c r="I146" s="50">
        <v>0</v>
      </c>
      <c r="J146" s="50">
        <v>0</v>
      </c>
      <c r="K146" s="50">
        <v>0</v>
      </c>
      <c r="L146" s="50">
        <v>0</v>
      </c>
      <c r="M146" s="50">
        <v>0</v>
      </c>
      <c r="N146" s="50">
        <v>0</v>
      </c>
      <c r="O146" s="394">
        <v>0</v>
      </c>
      <c r="P146" s="394">
        <v>0</v>
      </c>
    </row>
    <row r="147" spans="2:16" ht="15">
      <c r="B147" s="241" t="s">
        <v>601</v>
      </c>
      <c r="C147" s="246">
        <f t="shared" ref="C147:N147" si="15">SUM(C134:C146)</f>
        <v>188659</v>
      </c>
      <c r="D147" s="246">
        <f t="shared" si="15"/>
        <v>168588</v>
      </c>
      <c r="E147" s="246">
        <f t="shared" si="15"/>
        <v>156868</v>
      </c>
      <c r="F147" s="246">
        <f t="shared" si="15"/>
        <v>151794</v>
      </c>
      <c r="G147" s="246">
        <f t="shared" si="15"/>
        <v>147531</v>
      </c>
      <c r="H147" s="246">
        <f t="shared" si="15"/>
        <v>138916</v>
      </c>
      <c r="I147" s="246">
        <f t="shared" si="15"/>
        <v>129418</v>
      </c>
      <c r="J147" s="246">
        <f t="shared" si="15"/>
        <v>125555</v>
      </c>
      <c r="K147" s="246">
        <f t="shared" si="15"/>
        <v>118290</v>
      </c>
      <c r="L147" s="246">
        <f t="shared" si="15"/>
        <v>113139</v>
      </c>
      <c r="M147" s="246">
        <f t="shared" si="15"/>
        <v>100036</v>
      </c>
      <c r="N147" s="246">
        <f t="shared" si="15"/>
        <v>98419</v>
      </c>
      <c r="O147" s="301">
        <v>99240</v>
      </c>
      <c r="P147" s="301">
        <f>SUM(P134:P146)</f>
        <v>93051.471933000008</v>
      </c>
    </row>
    <row r="148" spans="2:16" ht="15">
      <c r="B148" s="244" t="s">
        <v>602</v>
      </c>
      <c r="C148" s="245">
        <f t="shared" ref="C148:N148" si="16">+C132+C147</f>
        <v>265121</v>
      </c>
      <c r="D148" s="245">
        <f t="shared" si="16"/>
        <v>249985</v>
      </c>
      <c r="E148" s="245">
        <f t="shared" si="16"/>
        <v>239634</v>
      </c>
      <c r="F148" s="245">
        <f t="shared" si="16"/>
        <v>240997</v>
      </c>
      <c r="G148" s="245">
        <f t="shared" si="16"/>
        <v>226010</v>
      </c>
      <c r="H148" s="245">
        <f t="shared" si="16"/>
        <v>228732</v>
      </c>
      <c r="I148" s="245">
        <f t="shared" si="16"/>
        <v>218129</v>
      </c>
      <c r="J148" s="245">
        <f t="shared" si="16"/>
        <v>215545</v>
      </c>
      <c r="K148" s="245">
        <f t="shared" si="16"/>
        <v>198330</v>
      </c>
      <c r="L148" s="245">
        <f t="shared" si="16"/>
        <v>204123</v>
      </c>
      <c r="M148" s="245">
        <f t="shared" si="16"/>
        <v>191591</v>
      </c>
      <c r="N148" s="245">
        <f t="shared" si="16"/>
        <v>190164</v>
      </c>
      <c r="O148" s="300">
        <v>170708</v>
      </c>
      <c r="P148" s="300">
        <f>+P132+P147</f>
        <v>177410.25495200002</v>
      </c>
    </row>
    <row r="149" spans="2:16" ht="15">
      <c r="B149" s="208"/>
      <c r="C149" s="206"/>
      <c r="D149" s="206"/>
      <c r="E149" s="206"/>
      <c r="F149" s="206"/>
      <c r="G149" s="206"/>
      <c r="H149" s="206"/>
      <c r="I149" s="206"/>
      <c r="J149" s="206"/>
      <c r="K149" s="206"/>
      <c r="L149" s="206"/>
      <c r="M149" s="206"/>
      <c r="N149" s="206"/>
      <c r="O149" s="302"/>
      <c r="P149" s="302"/>
    </row>
    <row r="150" spans="2:16" ht="15">
      <c r="B150" s="247" t="s">
        <v>603</v>
      </c>
      <c r="C150" s="248"/>
      <c r="D150" s="248"/>
      <c r="E150" s="248"/>
      <c r="F150" s="248"/>
      <c r="G150" s="248"/>
      <c r="H150" s="248"/>
      <c r="I150" s="248"/>
      <c r="J150" s="248"/>
      <c r="K150" s="248"/>
      <c r="L150" s="248"/>
      <c r="M150" s="248"/>
      <c r="N150" s="248"/>
      <c r="O150" s="303"/>
      <c r="P150" s="303"/>
    </row>
    <row r="151" spans="2:16" ht="15">
      <c r="B151" s="241" t="s">
        <v>604</v>
      </c>
      <c r="C151" s="249"/>
      <c r="D151" s="249"/>
      <c r="E151" s="249"/>
      <c r="F151" s="249"/>
      <c r="G151" s="249"/>
      <c r="H151" s="249"/>
      <c r="I151" s="249"/>
      <c r="J151" s="249"/>
      <c r="K151" s="249"/>
      <c r="L151" s="249"/>
      <c r="M151" s="249"/>
      <c r="N151" s="249"/>
      <c r="O151" s="304"/>
      <c r="P151" s="304"/>
    </row>
    <row r="152" spans="2:16" ht="15.5">
      <c r="B152" s="243" t="s">
        <v>605</v>
      </c>
      <c r="C152" s="50">
        <v>25310</v>
      </c>
      <c r="D152" s="50">
        <v>31122</v>
      </c>
      <c r="E152" s="50">
        <v>27246</v>
      </c>
      <c r="F152" s="50">
        <v>28638</v>
      </c>
      <c r="G152" s="50">
        <v>29062</v>
      </c>
      <c r="H152" s="50">
        <v>30196</v>
      </c>
      <c r="I152" s="50">
        <v>30700</v>
      </c>
      <c r="J152" s="50">
        <v>32021</v>
      </c>
      <c r="K152" s="50">
        <v>33127</v>
      </c>
      <c r="L152" s="50">
        <v>34180</v>
      </c>
      <c r="M152" s="50">
        <v>35165</v>
      </c>
      <c r="N152" s="50">
        <v>35836</v>
      </c>
      <c r="O152" s="394">
        <v>37358</v>
      </c>
      <c r="P152" s="394">
        <v>37334.165015999999</v>
      </c>
    </row>
    <row r="153" spans="2:16" ht="15.5">
      <c r="B153" s="243" t="s">
        <v>606</v>
      </c>
      <c r="C153" s="50">
        <v>7165</v>
      </c>
      <c r="D153" s="50">
        <v>8339</v>
      </c>
      <c r="E153" s="50">
        <v>7033</v>
      </c>
      <c r="F153" s="50">
        <v>7498</v>
      </c>
      <c r="G153" s="50">
        <v>7246</v>
      </c>
      <c r="H153" s="50">
        <v>8112</v>
      </c>
      <c r="I153" s="50">
        <v>4463</v>
      </c>
      <c r="J153" s="50">
        <v>7923</v>
      </c>
      <c r="K153" s="50">
        <v>7551</v>
      </c>
      <c r="L153" s="50">
        <v>8251</v>
      </c>
      <c r="M153" s="50">
        <v>9108</v>
      </c>
      <c r="N153" s="50">
        <v>7958</v>
      </c>
      <c r="O153" s="394">
        <v>8728</v>
      </c>
      <c r="P153" s="394">
        <v>11769.729023</v>
      </c>
    </row>
    <row r="154" spans="2:16" ht="15.5">
      <c r="B154" s="243" t="s">
        <v>607</v>
      </c>
      <c r="C154" s="50">
        <v>18</v>
      </c>
      <c r="D154" s="50">
        <v>16</v>
      </c>
      <c r="E154" s="50">
        <v>44</v>
      </c>
      <c r="F154" s="50">
        <v>14</v>
      </c>
      <c r="G154" s="50">
        <v>18</v>
      </c>
      <c r="H154" s="50">
        <v>21</v>
      </c>
      <c r="I154" s="50">
        <v>16</v>
      </c>
      <c r="J154" s="50">
        <v>17</v>
      </c>
      <c r="K154" s="50">
        <v>19</v>
      </c>
      <c r="L154" s="50">
        <v>22</v>
      </c>
      <c r="M154" s="50">
        <v>22</v>
      </c>
      <c r="N154" s="50">
        <v>28</v>
      </c>
      <c r="O154" s="394">
        <v>30</v>
      </c>
      <c r="P154" s="394">
        <v>29.352350999999999</v>
      </c>
    </row>
    <row r="155" spans="2:16" ht="15.5">
      <c r="B155" s="243" t="s">
        <v>585</v>
      </c>
      <c r="C155" s="50">
        <v>878</v>
      </c>
      <c r="D155" s="50">
        <v>1030</v>
      </c>
      <c r="E155" s="50">
        <v>827</v>
      </c>
      <c r="F155" s="50">
        <v>616</v>
      </c>
      <c r="G155" s="50">
        <v>582</v>
      </c>
      <c r="H155" s="50">
        <v>583</v>
      </c>
      <c r="I155" s="50">
        <v>647</v>
      </c>
      <c r="J155" s="50">
        <v>581</v>
      </c>
      <c r="K155" s="50">
        <v>643</v>
      </c>
      <c r="L155" s="50">
        <v>1491</v>
      </c>
      <c r="M155" s="50">
        <v>121</v>
      </c>
      <c r="N155" s="50">
        <v>403</v>
      </c>
      <c r="O155" s="394">
        <v>644</v>
      </c>
      <c r="P155" s="394">
        <v>723.85848599999997</v>
      </c>
    </row>
    <row r="156" spans="2:16" ht="15.5">
      <c r="B156" s="243" t="s">
        <v>608</v>
      </c>
      <c r="C156" s="50">
        <v>772</v>
      </c>
      <c r="D156" s="50">
        <v>858</v>
      </c>
      <c r="E156" s="50">
        <v>0</v>
      </c>
      <c r="F156" s="50">
        <v>0</v>
      </c>
      <c r="G156" s="50">
        <v>125</v>
      </c>
      <c r="H156" s="50">
        <v>0</v>
      </c>
      <c r="I156" s="50">
        <v>1408</v>
      </c>
      <c r="J156" s="50">
        <v>467</v>
      </c>
      <c r="K156" s="50">
        <v>229</v>
      </c>
      <c r="L156" s="50">
        <v>559</v>
      </c>
      <c r="M156" s="50">
        <v>138</v>
      </c>
      <c r="N156" s="50">
        <v>138</v>
      </c>
      <c r="O156" s="394">
        <v>138</v>
      </c>
      <c r="P156" s="394">
        <v>577.29338900000005</v>
      </c>
    </row>
    <row r="157" spans="2:16" ht="15.5">
      <c r="B157" s="243" t="s">
        <v>609</v>
      </c>
      <c r="C157" s="50">
        <v>152</v>
      </c>
      <c r="D157" s="50">
        <v>161</v>
      </c>
      <c r="E157" s="50">
        <v>128</v>
      </c>
      <c r="F157" s="50">
        <v>141</v>
      </c>
      <c r="G157" s="50">
        <v>156</v>
      </c>
      <c r="H157" s="50">
        <v>165</v>
      </c>
      <c r="I157" s="50">
        <v>131</v>
      </c>
      <c r="J157" s="50">
        <v>140</v>
      </c>
      <c r="K157" s="50">
        <v>149</v>
      </c>
      <c r="L157" s="50">
        <v>165</v>
      </c>
      <c r="M157" s="50">
        <v>135</v>
      </c>
      <c r="N157" s="50">
        <v>144</v>
      </c>
      <c r="O157" s="394">
        <v>152</v>
      </c>
      <c r="P157" s="394">
        <v>168.10815199999999</v>
      </c>
    </row>
    <row r="158" spans="2:16" ht="15.5">
      <c r="B158" s="243" t="s">
        <v>610</v>
      </c>
      <c r="C158" s="50">
        <v>0</v>
      </c>
      <c r="D158" s="50">
        <v>0</v>
      </c>
      <c r="E158" s="50">
        <v>0</v>
      </c>
      <c r="F158" s="50">
        <v>0</v>
      </c>
      <c r="G158" s="50">
        <v>0</v>
      </c>
      <c r="H158" s="50">
        <v>0</v>
      </c>
      <c r="I158" s="50">
        <v>0</v>
      </c>
      <c r="J158" s="50">
        <v>0</v>
      </c>
      <c r="K158" s="50">
        <v>0</v>
      </c>
      <c r="L158" s="50">
        <v>0</v>
      </c>
      <c r="M158" s="50">
        <v>0</v>
      </c>
      <c r="N158" s="50">
        <v>0</v>
      </c>
      <c r="O158" s="394">
        <v>0</v>
      </c>
      <c r="P158" s="394">
        <v>0</v>
      </c>
    </row>
    <row r="159" spans="2:16" ht="15.5">
      <c r="B159" s="243" t="s">
        <v>684</v>
      </c>
      <c r="C159" s="50">
        <v>0</v>
      </c>
      <c r="D159" s="50">
        <v>0</v>
      </c>
      <c r="E159" s="50">
        <v>0</v>
      </c>
      <c r="F159" s="50">
        <v>0</v>
      </c>
      <c r="G159" s="50">
        <v>0</v>
      </c>
      <c r="H159" s="50">
        <v>0</v>
      </c>
      <c r="I159" s="50">
        <v>0</v>
      </c>
      <c r="J159" s="50">
        <v>0</v>
      </c>
      <c r="K159" s="50">
        <v>0</v>
      </c>
      <c r="L159" s="50">
        <v>0</v>
      </c>
      <c r="M159" s="50">
        <v>0</v>
      </c>
      <c r="N159" s="50">
        <v>0</v>
      </c>
      <c r="O159" s="394">
        <v>0</v>
      </c>
      <c r="P159" s="394">
        <v>0</v>
      </c>
    </row>
    <row r="160" spans="2:16" ht="15">
      <c r="B160" s="241" t="s">
        <v>611</v>
      </c>
      <c r="C160" s="246">
        <f t="shared" ref="C160:N160" si="17">SUM(C152:C159)</f>
        <v>34295</v>
      </c>
      <c r="D160" s="246">
        <f t="shared" si="17"/>
        <v>41526</v>
      </c>
      <c r="E160" s="246">
        <f t="shared" si="17"/>
        <v>35278</v>
      </c>
      <c r="F160" s="246">
        <f t="shared" si="17"/>
        <v>36907</v>
      </c>
      <c r="G160" s="246">
        <f t="shared" si="17"/>
        <v>37189</v>
      </c>
      <c r="H160" s="246">
        <f t="shared" si="17"/>
        <v>39077</v>
      </c>
      <c r="I160" s="246">
        <f t="shared" si="17"/>
        <v>37365</v>
      </c>
      <c r="J160" s="246">
        <f t="shared" si="17"/>
        <v>41149</v>
      </c>
      <c r="K160" s="246">
        <f t="shared" si="17"/>
        <v>41718</v>
      </c>
      <c r="L160" s="246">
        <f t="shared" si="17"/>
        <v>44668</v>
      </c>
      <c r="M160" s="246">
        <f t="shared" si="17"/>
        <v>44689</v>
      </c>
      <c r="N160" s="246">
        <f t="shared" si="17"/>
        <v>44507</v>
      </c>
      <c r="O160" s="301">
        <v>47050</v>
      </c>
      <c r="P160" s="301">
        <f>SUM(P152:P159)</f>
        <v>50602.506416999997</v>
      </c>
    </row>
    <row r="161" spans="2:16" ht="15">
      <c r="B161" s="250" t="s">
        <v>612</v>
      </c>
      <c r="C161" s="251"/>
      <c r="D161" s="251"/>
      <c r="E161" s="251"/>
      <c r="F161" s="251"/>
      <c r="G161" s="251"/>
      <c r="H161" s="251"/>
      <c r="I161" s="251"/>
      <c r="J161" s="251"/>
      <c r="K161" s="251"/>
      <c r="L161" s="251"/>
      <c r="M161" s="251"/>
      <c r="N161" s="251"/>
      <c r="O161" s="305"/>
      <c r="P161" s="305"/>
    </row>
    <row r="162" spans="2:16" ht="15.5">
      <c r="B162" s="243" t="s">
        <v>605</v>
      </c>
      <c r="C162" s="50">
        <v>128683</v>
      </c>
      <c r="D162" s="50">
        <v>102848</v>
      </c>
      <c r="E162" s="50">
        <v>96132</v>
      </c>
      <c r="F162" s="50">
        <v>96612</v>
      </c>
      <c r="G162" s="50">
        <v>82198</v>
      </c>
      <c r="H162" s="50">
        <v>83008</v>
      </c>
      <c r="I162" s="50">
        <v>71740</v>
      </c>
      <c r="J162" s="50">
        <v>73944</v>
      </c>
      <c r="K162" s="50">
        <v>57213</v>
      </c>
      <c r="L162" s="50">
        <v>57708</v>
      </c>
      <c r="M162" s="50">
        <v>42853</v>
      </c>
      <c r="N162" s="50">
        <v>43289</v>
      </c>
      <c r="O162" s="394">
        <v>23745</v>
      </c>
      <c r="P162" s="394">
        <v>25209.750968</v>
      </c>
    </row>
    <row r="163" spans="2:16" ht="15.5">
      <c r="B163" s="243" t="s">
        <v>606</v>
      </c>
      <c r="C163" s="50">
        <v>29057</v>
      </c>
      <c r="D163" s="50">
        <v>26050</v>
      </c>
      <c r="E163" s="50">
        <v>26984</v>
      </c>
      <c r="F163" s="50">
        <v>24808</v>
      </c>
      <c r="G163" s="50">
        <v>22565</v>
      </c>
      <c r="H163" s="50">
        <v>21037</v>
      </c>
      <c r="I163" s="50">
        <v>21865</v>
      </c>
      <c r="J163" s="50">
        <v>19379</v>
      </c>
      <c r="K163" s="50">
        <v>16631</v>
      </c>
      <c r="L163" s="50">
        <v>17348</v>
      </c>
      <c r="M163" s="50">
        <v>18100</v>
      </c>
      <c r="N163" s="50">
        <v>15420</v>
      </c>
      <c r="O163" s="394">
        <v>12309</v>
      </c>
      <c r="P163" s="394">
        <v>12713.751821</v>
      </c>
    </row>
    <row r="164" spans="2:16" ht="15.5">
      <c r="B164" s="243" t="s">
        <v>613</v>
      </c>
      <c r="C164" s="50">
        <v>0</v>
      </c>
      <c r="D164" s="50">
        <v>0</v>
      </c>
      <c r="E164" s="50">
        <v>0</v>
      </c>
      <c r="F164" s="50">
        <v>0</v>
      </c>
      <c r="G164" s="50">
        <v>0</v>
      </c>
      <c r="H164" s="50">
        <v>0</v>
      </c>
      <c r="I164" s="50">
        <v>0</v>
      </c>
      <c r="J164" s="50">
        <v>0</v>
      </c>
      <c r="K164" s="50">
        <v>0</v>
      </c>
      <c r="L164" s="50">
        <v>0</v>
      </c>
      <c r="M164" s="50">
        <v>0</v>
      </c>
      <c r="N164" s="50">
        <v>0</v>
      </c>
      <c r="O164" s="394">
        <v>0</v>
      </c>
      <c r="P164" s="394">
        <v>0</v>
      </c>
    </row>
    <row r="165" spans="2:16" ht="15.5">
      <c r="B165" s="243" t="s">
        <v>607</v>
      </c>
      <c r="C165" s="50">
        <v>0</v>
      </c>
      <c r="D165" s="50">
        <v>0</v>
      </c>
      <c r="E165" s="50">
        <v>0</v>
      </c>
      <c r="F165" s="50">
        <v>0</v>
      </c>
      <c r="G165" s="50">
        <v>0</v>
      </c>
      <c r="H165" s="50">
        <v>0</v>
      </c>
      <c r="I165" s="50">
        <v>0</v>
      </c>
      <c r="J165" s="50">
        <v>0</v>
      </c>
      <c r="K165" s="50">
        <v>0</v>
      </c>
      <c r="L165" s="50">
        <v>0</v>
      </c>
      <c r="M165" s="50">
        <v>0</v>
      </c>
      <c r="N165" s="50">
        <v>0</v>
      </c>
      <c r="O165" s="394">
        <v>0</v>
      </c>
      <c r="P165" s="394">
        <v>0</v>
      </c>
    </row>
    <row r="166" spans="2:16" ht="15.5">
      <c r="B166" s="243" t="s">
        <v>608</v>
      </c>
      <c r="C166" s="50">
        <v>0</v>
      </c>
      <c r="D166" s="50">
        <v>0</v>
      </c>
      <c r="E166" s="50">
        <v>0</v>
      </c>
      <c r="F166" s="50">
        <v>0</v>
      </c>
      <c r="G166" s="50">
        <v>0</v>
      </c>
      <c r="H166" s="50">
        <v>0</v>
      </c>
      <c r="I166" s="50">
        <v>0</v>
      </c>
      <c r="J166" s="50">
        <v>0</v>
      </c>
      <c r="K166" s="50">
        <v>0</v>
      </c>
      <c r="L166" s="50">
        <v>0</v>
      </c>
      <c r="M166" s="50">
        <v>0</v>
      </c>
      <c r="N166" s="50">
        <v>0</v>
      </c>
      <c r="O166" s="394">
        <v>0</v>
      </c>
      <c r="P166" s="394">
        <v>0</v>
      </c>
    </row>
    <row r="167" spans="2:16" ht="15.5">
      <c r="B167" s="243" t="s">
        <v>610</v>
      </c>
      <c r="C167" s="50">
        <v>0</v>
      </c>
      <c r="D167" s="50">
        <v>0</v>
      </c>
      <c r="E167" s="50">
        <v>0</v>
      </c>
      <c r="F167" s="50">
        <v>0</v>
      </c>
      <c r="G167" s="50">
        <v>0</v>
      </c>
      <c r="H167" s="50">
        <v>0</v>
      </c>
      <c r="I167" s="50">
        <v>0</v>
      </c>
      <c r="J167" s="50">
        <v>0</v>
      </c>
      <c r="K167" s="50">
        <v>0</v>
      </c>
      <c r="L167" s="50">
        <v>0</v>
      </c>
      <c r="M167" s="50">
        <v>0</v>
      </c>
      <c r="N167" s="50">
        <v>0</v>
      </c>
      <c r="O167" s="394">
        <v>0</v>
      </c>
      <c r="P167" s="394">
        <v>0</v>
      </c>
    </row>
    <row r="168" spans="2:16" ht="15.5">
      <c r="B168" s="243" t="s">
        <v>614</v>
      </c>
      <c r="C168" s="50">
        <v>0</v>
      </c>
      <c r="D168" s="50">
        <v>0</v>
      </c>
      <c r="E168" s="50">
        <v>0</v>
      </c>
      <c r="F168" s="50">
        <v>0</v>
      </c>
      <c r="G168" s="50">
        <v>0</v>
      </c>
      <c r="H168" s="50">
        <v>0</v>
      </c>
      <c r="I168" s="50">
        <v>0</v>
      </c>
      <c r="J168" s="50">
        <v>0</v>
      </c>
      <c r="K168" s="50">
        <v>0</v>
      </c>
      <c r="L168" s="50">
        <v>0</v>
      </c>
      <c r="M168" s="50">
        <v>0</v>
      </c>
      <c r="N168" s="50">
        <v>0</v>
      </c>
      <c r="O168" s="394">
        <v>0</v>
      </c>
      <c r="P168" s="394">
        <v>0</v>
      </c>
    </row>
    <row r="169" spans="2:16" ht="15">
      <c r="B169" s="241" t="s">
        <v>615</v>
      </c>
      <c r="C169" s="246">
        <f t="shared" ref="C169:N169" si="18">SUM(C162:C168)</f>
        <v>157740</v>
      </c>
      <c r="D169" s="246">
        <f t="shared" si="18"/>
        <v>128898</v>
      </c>
      <c r="E169" s="246">
        <f t="shared" si="18"/>
        <v>123116</v>
      </c>
      <c r="F169" s="246">
        <f t="shared" si="18"/>
        <v>121420</v>
      </c>
      <c r="G169" s="246">
        <f t="shared" si="18"/>
        <v>104763</v>
      </c>
      <c r="H169" s="246">
        <f t="shared" si="18"/>
        <v>104045</v>
      </c>
      <c r="I169" s="246">
        <f t="shared" si="18"/>
        <v>93605</v>
      </c>
      <c r="J169" s="246">
        <f t="shared" si="18"/>
        <v>93323</v>
      </c>
      <c r="K169" s="246">
        <f t="shared" si="18"/>
        <v>73844</v>
      </c>
      <c r="L169" s="246">
        <f t="shared" si="18"/>
        <v>75056</v>
      </c>
      <c r="M169" s="246">
        <f t="shared" si="18"/>
        <v>60953</v>
      </c>
      <c r="N169" s="246">
        <f t="shared" si="18"/>
        <v>58709</v>
      </c>
      <c r="O169" s="301">
        <v>36054</v>
      </c>
      <c r="P169" s="301">
        <f>SUM(P162:P168)</f>
        <v>37923.502788999998</v>
      </c>
    </row>
    <row r="170" spans="2:16" ht="15">
      <c r="B170" s="244" t="s">
        <v>616</v>
      </c>
      <c r="C170" s="245">
        <f t="shared" ref="C170:N170" si="19">+C160+C169</f>
        <v>192035</v>
      </c>
      <c r="D170" s="245">
        <f t="shared" si="19"/>
        <v>170424</v>
      </c>
      <c r="E170" s="245">
        <f t="shared" si="19"/>
        <v>158394</v>
      </c>
      <c r="F170" s="245">
        <f t="shared" si="19"/>
        <v>158327</v>
      </c>
      <c r="G170" s="245">
        <f t="shared" si="19"/>
        <v>141952</v>
      </c>
      <c r="H170" s="245">
        <f t="shared" si="19"/>
        <v>143122</v>
      </c>
      <c r="I170" s="245">
        <f t="shared" si="19"/>
        <v>130970</v>
      </c>
      <c r="J170" s="245">
        <f t="shared" si="19"/>
        <v>134472</v>
      </c>
      <c r="K170" s="245">
        <f t="shared" si="19"/>
        <v>115562</v>
      </c>
      <c r="L170" s="245">
        <f t="shared" si="19"/>
        <v>119724</v>
      </c>
      <c r="M170" s="245">
        <f t="shared" si="19"/>
        <v>105642</v>
      </c>
      <c r="N170" s="245">
        <f t="shared" si="19"/>
        <v>103216</v>
      </c>
      <c r="O170" s="300">
        <v>83104</v>
      </c>
      <c r="P170" s="300">
        <f>+P160+P169</f>
        <v>88526.009205999988</v>
      </c>
    </row>
    <row r="171" spans="2:16" ht="15">
      <c r="B171" s="208"/>
      <c r="C171" s="206"/>
      <c r="D171" s="206"/>
      <c r="E171" s="206"/>
      <c r="F171" s="206"/>
      <c r="G171" s="206"/>
      <c r="H171" s="206"/>
      <c r="I171" s="206"/>
      <c r="J171" s="206"/>
      <c r="K171" s="206"/>
      <c r="L171" s="206"/>
      <c r="M171" s="206"/>
      <c r="N171" s="206"/>
      <c r="O171" s="302"/>
      <c r="P171" s="302"/>
    </row>
    <row r="172" spans="2:16" ht="15">
      <c r="B172" s="250" t="s">
        <v>617</v>
      </c>
      <c r="C172" s="251"/>
      <c r="D172" s="251"/>
      <c r="E172" s="251"/>
      <c r="F172" s="251"/>
      <c r="G172" s="251"/>
      <c r="H172" s="251"/>
      <c r="I172" s="251"/>
      <c r="J172" s="251"/>
      <c r="K172" s="251"/>
      <c r="L172" s="251"/>
      <c r="M172" s="251"/>
      <c r="N172" s="251"/>
      <c r="O172" s="305"/>
      <c r="P172" s="305"/>
    </row>
    <row r="173" spans="2:16" ht="15.5">
      <c r="B173" s="243" t="s">
        <v>618</v>
      </c>
      <c r="C173" s="50">
        <v>48963</v>
      </c>
      <c r="D173" s="50">
        <v>48963</v>
      </c>
      <c r="E173" s="50">
        <v>48963</v>
      </c>
      <c r="F173" s="50">
        <v>48963</v>
      </c>
      <c r="G173" s="50">
        <v>48963</v>
      </c>
      <c r="H173" s="50">
        <v>48963</v>
      </c>
      <c r="I173" s="50">
        <v>48963</v>
      </c>
      <c r="J173" s="50">
        <v>48963</v>
      </c>
      <c r="K173" s="50">
        <v>48963</v>
      </c>
      <c r="L173" s="50">
        <v>48963</v>
      </c>
      <c r="M173" s="50">
        <v>48963</v>
      </c>
      <c r="N173" s="50">
        <v>48963</v>
      </c>
      <c r="O173" s="394">
        <v>48963</v>
      </c>
      <c r="P173" s="394">
        <v>48962.667104</v>
      </c>
    </row>
    <row r="174" spans="2:16" ht="15.5">
      <c r="B174" s="243" t="s">
        <v>619</v>
      </c>
      <c r="C174" s="50">
        <v>0</v>
      </c>
      <c r="D174" s="50">
        <v>0</v>
      </c>
      <c r="E174" s="50">
        <v>0</v>
      </c>
      <c r="F174" s="50">
        <v>0</v>
      </c>
      <c r="G174" s="50">
        <v>0</v>
      </c>
      <c r="H174" s="50">
        <v>0</v>
      </c>
      <c r="I174" s="50">
        <v>0</v>
      </c>
      <c r="J174" s="50">
        <v>0</v>
      </c>
      <c r="K174" s="50">
        <v>0</v>
      </c>
      <c r="L174" s="50">
        <v>0</v>
      </c>
      <c r="M174" s="50">
        <v>0</v>
      </c>
      <c r="N174" s="50">
        <v>0</v>
      </c>
      <c r="O174" s="394">
        <v>0</v>
      </c>
      <c r="P174" s="394">
        <v>0</v>
      </c>
    </row>
    <row r="175" spans="2:16" ht="15.5">
      <c r="B175" s="243" t="s">
        <v>620</v>
      </c>
      <c r="C175" s="50">
        <v>0</v>
      </c>
      <c r="D175" s="50">
        <v>0</v>
      </c>
      <c r="E175" s="50">
        <v>0</v>
      </c>
      <c r="F175" s="50">
        <v>0</v>
      </c>
      <c r="G175" s="50">
        <v>0</v>
      </c>
      <c r="H175" s="50">
        <v>0</v>
      </c>
      <c r="I175" s="50">
        <v>0</v>
      </c>
      <c r="J175" s="50">
        <v>0</v>
      </c>
      <c r="K175" s="50">
        <v>0</v>
      </c>
      <c r="L175" s="50">
        <v>0</v>
      </c>
      <c r="M175" s="50">
        <v>0</v>
      </c>
      <c r="N175" s="50">
        <v>0</v>
      </c>
      <c r="O175" s="394">
        <v>0</v>
      </c>
      <c r="P175" s="394">
        <v>0</v>
      </c>
    </row>
    <row r="176" spans="2:16" ht="15.5">
      <c r="B176" s="243" t="s">
        <v>621</v>
      </c>
      <c r="C176" s="50">
        <v>16995</v>
      </c>
      <c r="D176" s="50">
        <v>24123</v>
      </c>
      <c r="E176" s="50">
        <v>30598</v>
      </c>
      <c r="F176" s="50">
        <v>30598</v>
      </c>
      <c r="G176" s="50">
        <v>30598</v>
      </c>
      <c r="H176" s="50">
        <v>30598</v>
      </c>
      <c r="I176" s="50">
        <v>36648</v>
      </c>
      <c r="J176" s="50">
        <v>28350</v>
      </c>
      <c r="K176" s="50">
        <v>28350</v>
      </c>
      <c r="L176" s="50">
        <v>28350</v>
      </c>
      <c r="M176" s="50">
        <v>35436</v>
      </c>
      <c r="N176" s="50">
        <v>35436</v>
      </c>
      <c r="O176" s="394">
        <v>35436</v>
      </c>
      <c r="P176" s="394">
        <v>35436.462811999998</v>
      </c>
    </row>
    <row r="177" spans="2:16" ht="15.5">
      <c r="B177" s="243" t="s">
        <v>622</v>
      </c>
      <c r="C177" s="50">
        <v>7128</v>
      </c>
      <c r="D177" s="50">
        <v>6475</v>
      </c>
      <c r="E177" s="50">
        <v>1679</v>
      </c>
      <c r="F177" s="50">
        <v>3109</v>
      </c>
      <c r="G177" s="50">
        <v>4497</v>
      </c>
      <c r="H177" s="50">
        <v>6049</v>
      </c>
      <c r="I177" s="50">
        <v>1548</v>
      </c>
      <c r="J177" s="50">
        <v>3760</v>
      </c>
      <c r="K177" s="50">
        <v>5455</v>
      </c>
      <c r="L177" s="50">
        <v>7086</v>
      </c>
      <c r="M177" s="50">
        <v>1550</v>
      </c>
      <c r="N177" s="50">
        <v>2549</v>
      </c>
      <c r="O177" s="394">
        <v>3205</v>
      </c>
      <c r="P177" s="394">
        <v>4485.1158299999997</v>
      </c>
    </row>
    <row r="178" spans="2:16" ht="15.5">
      <c r="B178" s="243" t="s">
        <v>623</v>
      </c>
      <c r="C178" s="50">
        <v>0</v>
      </c>
      <c r="D178" s="50">
        <v>0</v>
      </c>
      <c r="E178" s="50">
        <v>0</v>
      </c>
      <c r="F178" s="50">
        <v>0</v>
      </c>
      <c r="G178" s="50">
        <v>0</v>
      </c>
      <c r="H178" s="50">
        <v>0</v>
      </c>
      <c r="I178" s="50">
        <v>0</v>
      </c>
      <c r="J178" s="50">
        <v>0</v>
      </c>
      <c r="K178" s="50">
        <v>0</v>
      </c>
      <c r="L178" s="50">
        <v>0</v>
      </c>
      <c r="M178" s="50">
        <v>0</v>
      </c>
      <c r="N178" s="50">
        <v>0</v>
      </c>
      <c r="O178" s="394">
        <v>0</v>
      </c>
      <c r="P178" s="394">
        <v>0</v>
      </c>
    </row>
    <row r="179" spans="2:16" ht="15">
      <c r="B179" s="241" t="s">
        <v>624</v>
      </c>
      <c r="C179" s="246">
        <f t="shared" ref="C179:N179" si="20">SUM(C173:C178)</f>
        <v>73086</v>
      </c>
      <c r="D179" s="246">
        <f t="shared" si="20"/>
        <v>79561</v>
      </c>
      <c r="E179" s="246">
        <f t="shared" si="20"/>
        <v>81240</v>
      </c>
      <c r="F179" s="246">
        <f t="shared" si="20"/>
        <v>82670</v>
      </c>
      <c r="G179" s="246">
        <f t="shared" si="20"/>
        <v>84058</v>
      </c>
      <c r="H179" s="246">
        <f t="shared" si="20"/>
        <v>85610</v>
      </c>
      <c r="I179" s="246">
        <f t="shared" si="20"/>
        <v>87159</v>
      </c>
      <c r="J179" s="246">
        <f t="shared" si="20"/>
        <v>81073</v>
      </c>
      <c r="K179" s="246">
        <f t="shared" si="20"/>
        <v>82768</v>
      </c>
      <c r="L179" s="246">
        <f t="shared" si="20"/>
        <v>84399</v>
      </c>
      <c r="M179" s="246">
        <f t="shared" si="20"/>
        <v>85949</v>
      </c>
      <c r="N179" s="246">
        <f t="shared" si="20"/>
        <v>86948</v>
      </c>
      <c r="O179" s="301">
        <v>87604</v>
      </c>
      <c r="P179" s="301">
        <f>SUM(P173:P178)</f>
        <v>88884.245746000001</v>
      </c>
    </row>
    <row r="180" spans="2:16" ht="15">
      <c r="B180" s="244" t="s">
        <v>625</v>
      </c>
      <c r="C180" s="245">
        <f t="shared" ref="C180:N180" si="21">+C170+C179</f>
        <v>265121</v>
      </c>
      <c r="D180" s="245">
        <f t="shared" si="21"/>
        <v>249985</v>
      </c>
      <c r="E180" s="245">
        <f t="shared" si="21"/>
        <v>239634</v>
      </c>
      <c r="F180" s="245">
        <f t="shared" si="21"/>
        <v>240997</v>
      </c>
      <c r="G180" s="245">
        <f t="shared" si="21"/>
        <v>226010</v>
      </c>
      <c r="H180" s="245">
        <f t="shared" si="21"/>
        <v>228732</v>
      </c>
      <c r="I180" s="245">
        <f t="shared" si="21"/>
        <v>218129</v>
      </c>
      <c r="J180" s="245">
        <f t="shared" si="21"/>
        <v>215545</v>
      </c>
      <c r="K180" s="245">
        <f t="shared" si="21"/>
        <v>198330</v>
      </c>
      <c r="L180" s="245">
        <f t="shared" si="21"/>
        <v>204123</v>
      </c>
      <c r="M180" s="245">
        <f t="shared" si="21"/>
        <v>191591</v>
      </c>
      <c r="N180" s="245">
        <f t="shared" si="21"/>
        <v>190164</v>
      </c>
      <c r="O180" s="300">
        <v>170708</v>
      </c>
      <c r="P180" s="300">
        <f>+P170+P179</f>
        <v>177410.25495199999</v>
      </c>
    </row>
    <row r="181" spans="2:16" ht="15.5">
      <c r="B181" s="256"/>
      <c r="C181" s="260">
        <f>+C180-C148</f>
        <v>0</v>
      </c>
      <c r="D181" s="260">
        <f>+D180-D148</f>
        <v>0</v>
      </c>
      <c r="E181" s="260">
        <f t="shared" ref="E181:K181" si="22">+E180-E148</f>
        <v>0</v>
      </c>
      <c r="F181" s="260">
        <f t="shared" si="22"/>
        <v>0</v>
      </c>
      <c r="G181" s="260">
        <f t="shared" si="22"/>
        <v>0</v>
      </c>
      <c r="H181" s="260">
        <f t="shared" si="22"/>
        <v>0</v>
      </c>
      <c r="I181" s="260">
        <f t="shared" si="22"/>
        <v>0</v>
      </c>
      <c r="J181" s="260">
        <f t="shared" si="22"/>
        <v>0</v>
      </c>
      <c r="K181" s="260">
        <f t="shared" si="22"/>
        <v>0</v>
      </c>
      <c r="L181" s="260">
        <f>+L180-L148</f>
        <v>0</v>
      </c>
      <c r="M181" s="260">
        <f>+M180-M148</f>
        <v>0</v>
      </c>
      <c r="N181" s="260">
        <f t="shared" ref="N181" si="23">+N180-N148</f>
        <v>0</v>
      </c>
      <c r="O181" s="400"/>
      <c r="P181" s="185"/>
    </row>
    <row r="182" spans="2:16" ht="15.5">
      <c r="O182" s="397"/>
      <c r="P182" s="185"/>
    </row>
    <row r="183" spans="2:16" ht="15.5">
      <c r="B183" s="236" t="s">
        <v>504</v>
      </c>
      <c r="C183" s="75"/>
      <c r="D183" s="75"/>
      <c r="E183" s="76"/>
      <c r="F183" s="75"/>
      <c r="G183" s="75"/>
      <c r="H183" s="75"/>
      <c r="I183" s="76"/>
      <c r="J183" s="75"/>
      <c r="K183" s="75"/>
      <c r="L183" s="75"/>
      <c r="M183" s="76"/>
      <c r="N183" s="75"/>
      <c r="O183" s="75"/>
      <c r="P183" s="185"/>
    </row>
    <row r="184" spans="2:16" ht="15.5">
      <c r="B184" s="142" t="s">
        <v>563</v>
      </c>
      <c r="C184" s="5"/>
      <c r="D184" s="5"/>
      <c r="E184" s="5"/>
      <c r="F184" s="5"/>
      <c r="G184" s="5"/>
      <c r="H184" s="5"/>
      <c r="I184" s="5"/>
      <c r="J184" s="5"/>
      <c r="K184" s="5"/>
      <c r="L184" s="5"/>
      <c r="M184" s="5"/>
      <c r="N184" s="5"/>
      <c r="O184" s="397"/>
      <c r="P184" s="185"/>
    </row>
    <row r="185" spans="2:16" ht="9" customHeight="1">
      <c r="B185" s="77"/>
      <c r="C185" s="77"/>
      <c r="D185" s="77"/>
      <c r="E185" s="77"/>
      <c r="F185" s="77"/>
      <c r="G185" s="77"/>
      <c r="H185" s="77"/>
      <c r="I185" s="77"/>
      <c r="J185" s="77"/>
      <c r="K185" s="77"/>
      <c r="L185" s="77"/>
      <c r="M185" s="77"/>
      <c r="N185" s="77"/>
      <c r="O185" s="77"/>
      <c r="P185" s="185"/>
    </row>
    <row r="186" spans="2:16" ht="15">
      <c r="B186" s="78"/>
      <c r="C186" s="79">
        <v>2016</v>
      </c>
      <c r="D186" s="79">
        <v>2017</v>
      </c>
      <c r="E186" s="79" t="s">
        <v>626</v>
      </c>
      <c r="F186" s="79" t="s">
        <v>627</v>
      </c>
      <c r="G186" s="79" t="s">
        <v>628</v>
      </c>
      <c r="H186" s="79" t="s">
        <v>629</v>
      </c>
      <c r="I186" s="79" t="s">
        <v>630</v>
      </c>
      <c r="J186" s="79" t="s">
        <v>631</v>
      </c>
      <c r="K186" s="79" t="s">
        <v>632</v>
      </c>
      <c r="L186" s="79" t="s">
        <v>633</v>
      </c>
      <c r="M186" s="79" t="s">
        <v>11</v>
      </c>
      <c r="N186" s="79" t="s">
        <v>12</v>
      </c>
      <c r="O186" s="296" t="s">
        <v>685</v>
      </c>
      <c r="P186" s="647" t="s">
        <v>1131</v>
      </c>
    </row>
    <row r="187" spans="2:16" ht="10.5" customHeight="1">
      <c r="B187" s="178"/>
      <c r="C187" s="81"/>
      <c r="D187" s="81"/>
      <c r="E187" s="81"/>
      <c r="F187" s="81"/>
      <c r="G187" s="81"/>
      <c r="H187" s="81"/>
      <c r="I187" s="81"/>
      <c r="J187" s="81"/>
      <c r="K187" s="81"/>
      <c r="L187" s="81"/>
      <c r="M187" s="81"/>
      <c r="N187" s="81"/>
      <c r="O187" s="77"/>
      <c r="P187" s="185"/>
    </row>
    <row r="188" spans="2:16" ht="15.5">
      <c r="B188" s="179" t="s">
        <v>564</v>
      </c>
      <c r="C188" s="13">
        <v>383</v>
      </c>
      <c r="D188" s="13">
        <v>1005</v>
      </c>
      <c r="E188" s="13">
        <v>748</v>
      </c>
      <c r="F188" s="13">
        <v>-38</v>
      </c>
      <c r="G188" s="13">
        <v>197</v>
      </c>
      <c r="H188" s="13">
        <v>724</v>
      </c>
      <c r="I188" s="13">
        <v>419</v>
      </c>
      <c r="J188" s="13">
        <v>864</v>
      </c>
      <c r="K188" s="13">
        <v>1489</v>
      </c>
      <c r="L188" s="13">
        <v>2935</v>
      </c>
      <c r="M188" s="13">
        <v>1315</v>
      </c>
      <c r="N188" s="13">
        <v>-415</v>
      </c>
      <c r="O188" s="380">
        <v>663</v>
      </c>
      <c r="P188" s="380">
        <v>2357.4359569999997</v>
      </c>
    </row>
    <row r="189" spans="2:16" ht="15.5">
      <c r="B189" s="179" t="s">
        <v>565</v>
      </c>
      <c r="C189" s="13">
        <v>339</v>
      </c>
      <c r="D189" s="13">
        <v>890</v>
      </c>
      <c r="E189" s="13">
        <v>662</v>
      </c>
      <c r="F189" s="13">
        <v>-34</v>
      </c>
      <c r="G189" s="13">
        <v>174</v>
      </c>
      <c r="H189" s="13">
        <v>642</v>
      </c>
      <c r="I189" s="13">
        <v>371</v>
      </c>
      <c r="J189" s="13">
        <v>765</v>
      </c>
      <c r="K189" s="13">
        <v>1317</v>
      </c>
      <c r="L189" s="13">
        <v>2597</v>
      </c>
      <c r="M189" s="13">
        <v>1144</v>
      </c>
      <c r="N189" s="13">
        <v>-361</v>
      </c>
      <c r="O189" s="380">
        <v>576</v>
      </c>
      <c r="P189" s="380">
        <v>2049.9443110000002</v>
      </c>
    </row>
    <row r="190" spans="2:16" ht="15.5">
      <c r="B190" s="182" t="s">
        <v>566</v>
      </c>
      <c r="C190" s="15">
        <v>44</v>
      </c>
      <c r="D190" s="15">
        <v>115</v>
      </c>
      <c r="E190" s="15">
        <v>86</v>
      </c>
      <c r="F190" s="15">
        <v>-4</v>
      </c>
      <c r="G190" s="15">
        <v>23</v>
      </c>
      <c r="H190" s="15">
        <v>82</v>
      </c>
      <c r="I190" s="15">
        <v>48</v>
      </c>
      <c r="J190" s="15">
        <v>99</v>
      </c>
      <c r="K190" s="15">
        <v>172</v>
      </c>
      <c r="L190" s="15">
        <v>338</v>
      </c>
      <c r="M190" s="15">
        <v>171</v>
      </c>
      <c r="N190" s="15">
        <v>-54</v>
      </c>
      <c r="O190" s="396">
        <v>87</v>
      </c>
      <c r="P190" s="396">
        <v>307.49164599999949</v>
      </c>
    </row>
    <row r="191" spans="2:16" ht="6" customHeight="1">
      <c r="B191" s="179"/>
      <c r="C191" s="13"/>
      <c r="D191" s="13"/>
      <c r="E191" s="13"/>
      <c r="F191" s="13"/>
      <c r="G191" s="13"/>
      <c r="H191" s="13"/>
      <c r="I191" s="13"/>
      <c r="J191" s="13"/>
      <c r="K191" s="13"/>
      <c r="L191" s="13"/>
      <c r="M191" s="13"/>
      <c r="N191" s="13"/>
      <c r="O191" s="380"/>
      <c r="P191" s="380"/>
    </row>
    <row r="192" spans="2:16" ht="15.5">
      <c r="B192" s="179" t="s">
        <v>567</v>
      </c>
      <c r="C192" s="13">
        <v>10664</v>
      </c>
      <c r="D192" s="13">
        <v>10246</v>
      </c>
      <c r="E192" s="13">
        <v>2224</v>
      </c>
      <c r="F192" s="13">
        <v>3748</v>
      </c>
      <c r="G192" s="13">
        <v>2523</v>
      </c>
      <c r="H192" s="13">
        <v>3182</v>
      </c>
      <c r="I192" s="13">
        <v>2386</v>
      </c>
      <c r="J192" s="13">
        <v>3286</v>
      </c>
      <c r="K192" s="13">
        <v>2868</v>
      </c>
      <c r="L192" s="13">
        <v>2949</v>
      </c>
      <c r="M192" s="13">
        <v>2449</v>
      </c>
      <c r="N192" s="13">
        <v>2918</v>
      </c>
      <c r="O192" s="380">
        <v>2295</v>
      </c>
      <c r="P192" s="380">
        <v>4855.760319</v>
      </c>
    </row>
    <row r="193" spans="2:16" ht="15.5">
      <c r="B193" s="179" t="s">
        <v>568</v>
      </c>
      <c r="C193" s="13">
        <v>15218</v>
      </c>
      <c r="D193" s="13">
        <v>14624</v>
      </c>
      <c r="E193" s="13">
        <v>2197</v>
      </c>
      <c r="F193" s="13">
        <v>1986</v>
      </c>
      <c r="G193" s="13">
        <v>1774</v>
      </c>
      <c r="H193" s="13">
        <v>1575</v>
      </c>
      <c r="I193" s="13">
        <v>1606</v>
      </c>
      <c r="J193" s="13">
        <v>1416</v>
      </c>
      <c r="K193" s="13">
        <v>1423</v>
      </c>
      <c r="L193" s="13">
        <v>1147</v>
      </c>
      <c r="M193" s="13">
        <v>0</v>
      </c>
      <c r="N193" s="13">
        <v>0</v>
      </c>
      <c r="O193" s="380">
        <v>0</v>
      </c>
      <c r="P193" s="380">
        <v>1133.688717</v>
      </c>
    </row>
    <row r="194" spans="2:16" ht="15.5">
      <c r="B194" s="179" t="s">
        <v>569</v>
      </c>
      <c r="C194" s="13">
        <v>0</v>
      </c>
      <c r="D194" s="13">
        <v>0</v>
      </c>
      <c r="E194" s="13">
        <v>0</v>
      </c>
      <c r="F194" s="13">
        <v>0</v>
      </c>
      <c r="G194" s="13">
        <v>0</v>
      </c>
      <c r="H194" s="13">
        <v>0</v>
      </c>
      <c r="I194" s="13">
        <v>0</v>
      </c>
      <c r="J194" s="13">
        <v>0</v>
      </c>
      <c r="K194" s="13">
        <v>0</v>
      </c>
      <c r="L194" s="13">
        <v>0</v>
      </c>
      <c r="M194" s="13">
        <v>0</v>
      </c>
      <c r="N194" s="13">
        <v>0</v>
      </c>
      <c r="O194" s="380">
        <v>0</v>
      </c>
      <c r="P194" s="380">
        <v>0</v>
      </c>
    </row>
    <row r="195" spans="2:16" ht="15.5">
      <c r="B195" s="179" t="s">
        <v>570</v>
      </c>
      <c r="C195" s="13">
        <v>10061</v>
      </c>
      <c r="D195" s="13">
        <v>9666</v>
      </c>
      <c r="E195" s="13">
        <v>2099</v>
      </c>
      <c r="F195" s="13">
        <v>3535</v>
      </c>
      <c r="G195" s="13">
        <v>2381</v>
      </c>
      <c r="H195" s="13">
        <v>3000</v>
      </c>
      <c r="I195" s="13">
        <v>2251</v>
      </c>
      <c r="J195" s="13">
        <v>3099</v>
      </c>
      <c r="K195" s="13">
        <v>2707</v>
      </c>
      <c r="L195" s="13">
        <v>2782</v>
      </c>
      <c r="M195" s="13">
        <v>2267</v>
      </c>
      <c r="N195" s="13">
        <v>2702</v>
      </c>
      <c r="O195" s="380">
        <v>2128</v>
      </c>
      <c r="P195" s="380">
        <v>4496.0743689999999</v>
      </c>
    </row>
    <row r="196" spans="2:16" ht="15.5">
      <c r="B196" s="182" t="s">
        <v>571</v>
      </c>
      <c r="C196" s="15">
        <v>15821</v>
      </c>
      <c r="D196" s="15">
        <v>15204</v>
      </c>
      <c r="E196" s="15">
        <v>2322</v>
      </c>
      <c r="F196" s="15">
        <v>2199</v>
      </c>
      <c r="G196" s="15">
        <v>1916</v>
      </c>
      <c r="H196" s="15">
        <v>1757</v>
      </c>
      <c r="I196" s="15">
        <v>1741</v>
      </c>
      <c r="J196" s="15">
        <v>1603</v>
      </c>
      <c r="K196" s="15">
        <v>1584</v>
      </c>
      <c r="L196" s="15">
        <v>1314</v>
      </c>
      <c r="M196" s="15">
        <v>182</v>
      </c>
      <c r="N196" s="15">
        <v>216</v>
      </c>
      <c r="O196" s="396">
        <v>167</v>
      </c>
      <c r="P196" s="396">
        <v>1493.374667</v>
      </c>
    </row>
    <row r="197" spans="2:16" ht="15.5">
      <c r="B197" s="180" t="s">
        <v>572</v>
      </c>
      <c r="C197" s="17">
        <v>15865</v>
      </c>
      <c r="D197" s="17">
        <v>15319</v>
      </c>
      <c r="E197" s="17">
        <v>2408</v>
      </c>
      <c r="F197" s="17">
        <v>2195</v>
      </c>
      <c r="G197" s="17">
        <v>1939</v>
      </c>
      <c r="H197" s="17">
        <v>1839</v>
      </c>
      <c r="I197" s="17">
        <v>1789</v>
      </c>
      <c r="J197" s="17">
        <v>1702</v>
      </c>
      <c r="K197" s="17">
        <v>1756</v>
      </c>
      <c r="L197" s="17">
        <v>1652</v>
      </c>
      <c r="M197" s="17">
        <v>353</v>
      </c>
      <c r="N197" s="17">
        <v>162</v>
      </c>
      <c r="O197" s="381">
        <v>254</v>
      </c>
      <c r="P197" s="381">
        <v>1800.8663129999995</v>
      </c>
    </row>
    <row r="198" spans="2:16" ht="15.5">
      <c r="B198" s="10"/>
      <c r="C198" s="181"/>
      <c r="D198" s="181"/>
      <c r="E198" s="181"/>
      <c r="F198" s="237"/>
      <c r="G198" s="181"/>
      <c r="H198" s="181"/>
      <c r="I198" s="181"/>
      <c r="J198" s="181"/>
      <c r="K198" s="181"/>
      <c r="L198" s="181"/>
      <c r="M198" s="181"/>
      <c r="N198" s="181"/>
      <c r="O198" s="9"/>
      <c r="P198" s="9"/>
    </row>
    <row r="199" spans="2:16" ht="15.5">
      <c r="B199" s="179" t="s">
        <v>573</v>
      </c>
      <c r="C199" s="13">
        <v>70</v>
      </c>
      <c r="D199" s="13">
        <v>122</v>
      </c>
      <c r="E199" s="13">
        <v>37</v>
      </c>
      <c r="F199" s="13">
        <v>34</v>
      </c>
      <c r="G199" s="13">
        <v>36</v>
      </c>
      <c r="H199" s="13">
        <v>36</v>
      </c>
      <c r="I199" s="13">
        <v>110</v>
      </c>
      <c r="J199" s="13">
        <v>47</v>
      </c>
      <c r="K199" s="13">
        <v>46</v>
      </c>
      <c r="L199" s="13">
        <v>53</v>
      </c>
      <c r="M199" s="13">
        <v>52</v>
      </c>
      <c r="N199" s="13">
        <v>32</v>
      </c>
      <c r="O199" s="380">
        <v>45</v>
      </c>
      <c r="P199" s="380">
        <v>47.418841</v>
      </c>
    </row>
    <row r="200" spans="2:16" ht="15.5">
      <c r="B200" s="179" t="s">
        <v>574</v>
      </c>
      <c r="C200" s="13">
        <v>0</v>
      </c>
      <c r="D200" s="13">
        <v>0</v>
      </c>
      <c r="E200" s="13">
        <v>0</v>
      </c>
      <c r="F200" s="13">
        <v>0</v>
      </c>
      <c r="G200" s="13">
        <v>0</v>
      </c>
      <c r="H200" s="13">
        <v>0</v>
      </c>
      <c r="I200" s="13">
        <v>0</v>
      </c>
      <c r="J200" s="13">
        <v>0</v>
      </c>
      <c r="K200" s="13">
        <v>0</v>
      </c>
      <c r="L200" s="13">
        <v>0</v>
      </c>
      <c r="M200" s="13">
        <v>0</v>
      </c>
      <c r="N200" s="13">
        <v>0</v>
      </c>
      <c r="O200" s="380">
        <v>0</v>
      </c>
      <c r="P200" s="380"/>
    </row>
    <row r="201" spans="2:16" ht="15.5">
      <c r="B201" s="179" t="s">
        <v>575</v>
      </c>
      <c r="C201" s="13">
        <v>54</v>
      </c>
      <c r="D201" s="13">
        <v>65</v>
      </c>
      <c r="E201" s="13">
        <v>2</v>
      </c>
      <c r="F201" s="13">
        <v>0</v>
      </c>
      <c r="G201" s="13">
        <v>3</v>
      </c>
      <c r="H201" s="13">
        <v>-1</v>
      </c>
      <c r="I201" s="13">
        <v>13</v>
      </c>
      <c r="J201" s="13">
        <v>2</v>
      </c>
      <c r="K201" s="13">
        <v>96</v>
      </c>
      <c r="L201" s="13">
        <v>-263</v>
      </c>
      <c r="M201" s="13">
        <v>14</v>
      </c>
      <c r="N201" s="13">
        <v>-29</v>
      </c>
      <c r="O201" s="380">
        <v>57</v>
      </c>
      <c r="P201" s="380">
        <v>-9340.0712369999983</v>
      </c>
    </row>
    <row r="202" spans="2:16" ht="15.5">
      <c r="B202" s="180" t="s">
        <v>576</v>
      </c>
      <c r="C202" s="18">
        <v>15849</v>
      </c>
      <c r="D202" s="18">
        <v>15262</v>
      </c>
      <c r="E202" s="18">
        <v>2373</v>
      </c>
      <c r="F202" s="18">
        <v>2161</v>
      </c>
      <c r="G202" s="18">
        <v>1906</v>
      </c>
      <c r="H202" s="18">
        <v>1802</v>
      </c>
      <c r="I202" s="18">
        <v>1692</v>
      </c>
      <c r="J202" s="18">
        <v>1657</v>
      </c>
      <c r="K202" s="18">
        <v>1806</v>
      </c>
      <c r="L202" s="18">
        <v>1336</v>
      </c>
      <c r="M202" s="18">
        <v>315</v>
      </c>
      <c r="N202" s="18">
        <v>101</v>
      </c>
      <c r="O202" s="382">
        <v>266</v>
      </c>
      <c r="P202" s="382">
        <v>-7586.6237649999985</v>
      </c>
    </row>
    <row r="203" spans="2:16" ht="15.5">
      <c r="B203" s="179"/>
      <c r="C203" s="13"/>
      <c r="D203" s="13"/>
      <c r="E203" s="13"/>
      <c r="F203" s="13"/>
      <c r="G203" s="13"/>
      <c r="H203" s="13"/>
      <c r="I203" s="13"/>
      <c r="J203" s="13"/>
      <c r="K203" s="13"/>
      <c r="L203" s="13"/>
      <c r="M203" s="13"/>
      <c r="N203" s="13"/>
      <c r="O203" s="380"/>
      <c r="P203" s="380"/>
    </row>
    <row r="204" spans="2:16" ht="15.5">
      <c r="B204" s="179" t="s">
        <v>577</v>
      </c>
      <c r="C204" s="13">
        <v>-14451</v>
      </c>
      <c r="D204" s="13">
        <v>-11498</v>
      </c>
      <c r="E204" s="13">
        <v>-2618</v>
      </c>
      <c r="F204" s="13">
        <v>-2282</v>
      </c>
      <c r="G204" s="13">
        <v>-2297</v>
      </c>
      <c r="H204" s="13">
        <v>-1903</v>
      </c>
      <c r="I204" s="13">
        <v>-1752</v>
      </c>
      <c r="J204" s="13">
        <v>-1552</v>
      </c>
      <c r="K204" s="13">
        <v>-1168</v>
      </c>
      <c r="L204" s="13">
        <v>-1332</v>
      </c>
      <c r="M204" s="13">
        <v>-1328</v>
      </c>
      <c r="N204" s="13">
        <v>-1227</v>
      </c>
      <c r="O204" s="380">
        <v>-1256</v>
      </c>
      <c r="P204" s="380">
        <v>-1226.8322899999998</v>
      </c>
    </row>
    <row r="205" spans="2:16" ht="15.5">
      <c r="B205" s="180" t="s">
        <v>578</v>
      </c>
      <c r="C205" s="18">
        <v>1398</v>
      </c>
      <c r="D205" s="18">
        <v>3764</v>
      </c>
      <c r="E205" s="18">
        <v>-245</v>
      </c>
      <c r="F205" s="18">
        <v>-121</v>
      </c>
      <c r="G205" s="18">
        <v>-391</v>
      </c>
      <c r="H205" s="18">
        <v>-101</v>
      </c>
      <c r="I205" s="18">
        <v>-60</v>
      </c>
      <c r="J205" s="18">
        <v>105</v>
      </c>
      <c r="K205" s="18">
        <v>638</v>
      </c>
      <c r="L205" s="18">
        <v>4</v>
      </c>
      <c r="M205" s="18">
        <v>-1013</v>
      </c>
      <c r="N205" s="18">
        <v>-1126</v>
      </c>
      <c r="O205" s="382">
        <v>-990</v>
      </c>
      <c r="P205" s="382">
        <v>-8813.4560549999987</v>
      </c>
    </row>
    <row r="206" spans="2:16" ht="15.5">
      <c r="B206" s="10"/>
      <c r="C206" s="181"/>
      <c r="D206" s="181"/>
      <c r="E206" s="181"/>
      <c r="F206" s="181"/>
      <c r="G206" s="181"/>
      <c r="H206" s="181"/>
      <c r="I206" s="181"/>
      <c r="J206" s="181"/>
      <c r="K206" s="181"/>
      <c r="L206" s="181"/>
      <c r="M206" s="181"/>
      <c r="N206" s="181"/>
      <c r="O206" s="9"/>
      <c r="P206" s="9"/>
    </row>
    <row r="207" spans="2:16" ht="15.5">
      <c r="B207" s="179" t="s">
        <v>579</v>
      </c>
      <c r="C207" s="13">
        <v>7167</v>
      </c>
      <c r="D207" s="13">
        <v>4197</v>
      </c>
      <c r="E207" s="13">
        <v>-314</v>
      </c>
      <c r="F207" s="13">
        <v>-146</v>
      </c>
      <c r="G207" s="13">
        <v>-249</v>
      </c>
      <c r="H207" s="13">
        <v>-1049</v>
      </c>
      <c r="I207" s="13">
        <v>-16</v>
      </c>
      <c r="J207" s="13">
        <v>-217</v>
      </c>
      <c r="K207" s="13">
        <v>85</v>
      </c>
      <c r="L207" s="13">
        <v>-87</v>
      </c>
      <c r="M207" s="13">
        <v>-369</v>
      </c>
      <c r="N207" s="13">
        <v>-330</v>
      </c>
      <c r="O207" s="380">
        <v>-347</v>
      </c>
      <c r="P207" s="380">
        <v>1376.0952139999999</v>
      </c>
    </row>
    <row r="208" spans="2:16" ht="15.5">
      <c r="B208" s="180" t="s">
        <v>580</v>
      </c>
      <c r="C208" s="18">
        <v>-5769</v>
      </c>
      <c r="D208" s="18">
        <v>-433</v>
      </c>
      <c r="E208" s="18">
        <v>69</v>
      </c>
      <c r="F208" s="18">
        <v>25</v>
      </c>
      <c r="G208" s="18">
        <v>-142</v>
      </c>
      <c r="H208" s="18">
        <v>948</v>
      </c>
      <c r="I208" s="18">
        <v>-44</v>
      </c>
      <c r="J208" s="18">
        <v>322</v>
      </c>
      <c r="K208" s="18">
        <v>553</v>
      </c>
      <c r="L208" s="18">
        <v>91</v>
      </c>
      <c r="M208" s="18">
        <v>-644</v>
      </c>
      <c r="N208" s="18">
        <v>-796</v>
      </c>
      <c r="O208" s="382">
        <v>-643</v>
      </c>
      <c r="P208" s="382">
        <v>-10189.551269</v>
      </c>
    </row>
    <row r="209" spans="2:16" ht="15.5">
      <c r="O209" s="397"/>
      <c r="P209" s="185"/>
    </row>
    <row r="210" spans="2:16" ht="15.5">
      <c r="O210" s="397"/>
      <c r="P210" s="185"/>
    </row>
    <row r="211" spans="2:16" ht="15.5">
      <c r="B211" s="236" t="s">
        <v>505</v>
      </c>
      <c r="C211" s="5"/>
      <c r="D211" s="5"/>
      <c r="E211" s="5"/>
      <c r="F211" s="5"/>
      <c r="G211" s="5"/>
      <c r="H211" s="20"/>
      <c r="I211" s="20"/>
      <c r="J211" s="20"/>
      <c r="K211" s="20"/>
      <c r="L211" s="20"/>
      <c r="M211" s="20"/>
      <c r="N211" s="20"/>
      <c r="O211" s="362"/>
      <c r="P211" s="185"/>
    </row>
    <row r="212" spans="2:16" ht="15">
      <c r="B212" s="142" t="s">
        <v>563</v>
      </c>
      <c r="C212" s="5"/>
      <c r="D212" s="5"/>
      <c r="E212" s="5"/>
      <c r="F212" s="5"/>
      <c r="G212" s="5"/>
      <c r="H212" s="22"/>
      <c r="I212" s="22"/>
      <c r="J212" s="22"/>
      <c r="K212" s="22"/>
      <c r="L212" s="22"/>
      <c r="M212" s="22"/>
      <c r="N212" s="22"/>
      <c r="O212" s="363"/>
      <c r="P212" s="185"/>
    </row>
    <row r="213" spans="2:16" ht="8.5" customHeight="1">
      <c r="B213" s="23"/>
      <c r="C213" s="5"/>
      <c r="D213" s="5"/>
      <c r="E213" s="5"/>
      <c r="F213" s="5"/>
      <c r="G213" s="5"/>
      <c r="H213" s="23"/>
      <c r="I213" s="23"/>
      <c r="J213" s="23"/>
      <c r="K213" s="23"/>
      <c r="L213" s="23"/>
      <c r="M213" s="23"/>
      <c r="N213" s="23"/>
      <c r="O213" s="364"/>
      <c r="P213" s="185"/>
    </row>
    <row r="214" spans="2:16" ht="15">
      <c r="B214" s="261"/>
      <c r="C214" s="90">
        <v>2016</v>
      </c>
      <c r="D214" s="90">
        <v>2017</v>
      </c>
      <c r="E214" s="90" t="s">
        <v>626</v>
      </c>
      <c r="F214" s="90" t="s">
        <v>627</v>
      </c>
      <c r="G214" s="90" t="s">
        <v>628</v>
      </c>
      <c r="H214" s="90" t="s">
        <v>629</v>
      </c>
      <c r="I214" s="90" t="s">
        <v>630</v>
      </c>
      <c r="J214" s="90" t="s">
        <v>631</v>
      </c>
      <c r="K214" s="90" t="s">
        <v>632</v>
      </c>
      <c r="L214" s="90" t="s">
        <v>633</v>
      </c>
      <c r="M214" s="90" t="s">
        <v>11</v>
      </c>
      <c r="N214" s="90" t="s">
        <v>12</v>
      </c>
      <c r="O214" s="401" t="s">
        <v>685</v>
      </c>
      <c r="P214" s="401" t="s">
        <v>1131</v>
      </c>
    </row>
    <row r="215" spans="2:16" ht="15">
      <c r="B215" s="262" t="s">
        <v>581</v>
      </c>
      <c r="C215" s="262"/>
      <c r="D215" s="262"/>
      <c r="E215" s="262"/>
      <c r="F215" s="262"/>
      <c r="G215" s="262"/>
      <c r="H215" s="262"/>
      <c r="I215" s="262"/>
      <c r="J215" s="262"/>
      <c r="K215" s="262"/>
      <c r="L215" s="262"/>
      <c r="M215" s="262"/>
      <c r="N215" s="262"/>
      <c r="O215" s="402"/>
      <c r="P215" s="402"/>
    </row>
    <row r="216" spans="2:16" ht="15">
      <c r="B216" s="263" t="s">
        <v>582</v>
      </c>
      <c r="C216" s="264"/>
      <c r="D216" s="264"/>
      <c r="E216" s="264"/>
      <c r="F216" s="264"/>
      <c r="G216" s="264"/>
      <c r="H216" s="264"/>
      <c r="I216" s="264"/>
      <c r="J216" s="264"/>
      <c r="K216" s="264"/>
      <c r="L216" s="264"/>
      <c r="M216" s="264"/>
      <c r="N216" s="264"/>
      <c r="O216" s="298"/>
      <c r="P216" s="298"/>
    </row>
    <row r="217" spans="2:16" ht="15.5">
      <c r="B217" s="265" t="s">
        <v>583</v>
      </c>
      <c r="C217" s="50">
        <v>23401</v>
      </c>
      <c r="D217" s="50">
        <v>39363</v>
      </c>
      <c r="E217" s="50">
        <v>3970</v>
      </c>
      <c r="F217" s="50">
        <v>43640</v>
      </c>
      <c r="G217" s="50">
        <v>42599</v>
      </c>
      <c r="H217" s="50">
        <v>49315</v>
      </c>
      <c r="I217" s="50">
        <v>11868</v>
      </c>
      <c r="J217" s="50">
        <v>19614</v>
      </c>
      <c r="K217" s="50">
        <v>19135</v>
      </c>
      <c r="L217" s="50">
        <v>24281</v>
      </c>
      <c r="M217" s="50">
        <v>28465</v>
      </c>
      <c r="N217" s="50">
        <v>32278</v>
      </c>
      <c r="O217" s="394">
        <v>49396</v>
      </c>
      <c r="P217" s="394">
        <v>55799.534785999997</v>
      </c>
    </row>
    <row r="218" spans="2:16" ht="15.5">
      <c r="B218" s="265" t="s">
        <v>584</v>
      </c>
      <c r="C218" s="50">
        <v>53205</v>
      </c>
      <c r="D218" s="50">
        <f>48412+3064</f>
        <v>51476</v>
      </c>
      <c r="E218" s="50">
        <v>87951</v>
      </c>
      <c r="F218" s="50">
        <v>54602</v>
      </c>
      <c r="G218" s="50">
        <v>56129</v>
      </c>
      <c r="H218" s="50">
        <v>57373</v>
      </c>
      <c r="I218" s="50">
        <v>94438</v>
      </c>
      <c r="J218" s="50">
        <v>89135</v>
      </c>
      <c r="K218" s="50">
        <v>80692</v>
      </c>
      <c r="L218" s="50">
        <v>77486</v>
      </c>
      <c r="M218" s="50">
        <v>64245</v>
      </c>
      <c r="N218" s="50">
        <v>60220</v>
      </c>
      <c r="O218" s="394">
        <v>28742</v>
      </c>
      <c r="P218" s="394">
        <v>20632.426694999998</v>
      </c>
    </row>
    <row r="219" spans="2:16" ht="15.5">
      <c r="B219" s="265" t="s">
        <v>585</v>
      </c>
      <c r="C219" s="50">
        <v>5</v>
      </c>
      <c r="D219" s="50">
        <v>7</v>
      </c>
      <c r="E219" s="50">
        <v>7</v>
      </c>
      <c r="F219" s="50">
        <v>7</v>
      </c>
      <c r="G219" s="50">
        <v>82</v>
      </c>
      <c r="H219" s="50">
        <v>12</v>
      </c>
      <c r="I219" s="50">
        <v>15</v>
      </c>
      <c r="J219" s="50">
        <v>15</v>
      </c>
      <c r="K219" s="50">
        <v>8</v>
      </c>
      <c r="L219" s="50">
        <v>8</v>
      </c>
      <c r="M219" s="50">
        <v>202</v>
      </c>
      <c r="N219" s="50">
        <v>8</v>
      </c>
      <c r="O219" s="394">
        <v>240</v>
      </c>
      <c r="P219" s="394">
        <v>11.244033</v>
      </c>
    </row>
    <row r="220" spans="2:16" ht="15.5">
      <c r="B220" s="265" t="s">
        <v>586</v>
      </c>
      <c r="C220" s="50">
        <v>298</v>
      </c>
      <c r="D220" s="50">
        <v>291</v>
      </c>
      <c r="E220" s="50">
        <v>200</v>
      </c>
      <c r="F220" s="50">
        <v>664</v>
      </c>
      <c r="G220" s="50">
        <v>579</v>
      </c>
      <c r="H220" s="50">
        <v>549</v>
      </c>
      <c r="I220" s="50">
        <v>352</v>
      </c>
      <c r="J220" s="50">
        <v>263</v>
      </c>
      <c r="K220" s="50">
        <v>182</v>
      </c>
      <c r="L220" s="50">
        <v>533</v>
      </c>
      <c r="M220" s="50">
        <v>536</v>
      </c>
      <c r="N220" s="50">
        <v>430</v>
      </c>
      <c r="O220" s="394">
        <v>291</v>
      </c>
      <c r="P220" s="394">
        <v>803.86814300000003</v>
      </c>
    </row>
    <row r="221" spans="2:16" ht="15.5">
      <c r="B221" s="265" t="s">
        <v>587</v>
      </c>
      <c r="C221" s="50">
        <v>0</v>
      </c>
      <c r="D221" s="50">
        <v>0</v>
      </c>
      <c r="E221" s="50">
        <v>0</v>
      </c>
      <c r="F221" s="50">
        <v>0</v>
      </c>
      <c r="G221" s="50">
        <v>0</v>
      </c>
      <c r="H221" s="50">
        <v>0</v>
      </c>
      <c r="I221" s="50">
        <v>0</v>
      </c>
      <c r="J221" s="50">
        <v>0</v>
      </c>
      <c r="K221" s="50">
        <v>0</v>
      </c>
      <c r="L221" s="50">
        <v>0</v>
      </c>
      <c r="M221" s="50">
        <v>0</v>
      </c>
      <c r="N221" s="50">
        <v>0</v>
      </c>
      <c r="O221" s="394">
        <v>0</v>
      </c>
      <c r="P221" s="394">
        <v>0</v>
      </c>
    </row>
    <row r="222" spans="2:16" ht="15.5">
      <c r="B222" s="265" t="s">
        <v>588</v>
      </c>
      <c r="C222" s="50">
        <v>0</v>
      </c>
      <c r="D222" s="50">
        <v>0</v>
      </c>
      <c r="E222" s="50">
        <v>0</v>
      </c>
      <c r="F222" s="50">
        <v>0</v>
      </c>
      <c r="G222" s="50">
        <v>0</v>
      </c>
      <c r="H222" s="50">
        <v>0</v>
      </c>
      <c r="I222" s="50">
        <v>0</v>
      </c>
      <c r="J222" s="50">
        <v>0</v>
      </c>
      <c r="K222" s="50">
        <v>0</v>
      </c>
      <c r="L222" s="50">
        <v>0</v>
      </c>
      <c r="M222" s="50">
        <v>0</v>
      </c>
      <c r="N222" s="50">
        <v>0</v>
      </c>
      <c r="O222" s="394">
        <v>0</v>
      </c>
      <c r="P222" s="394">
        <v>0</v>
      </c>
    </row>
    <row r="223" spans="2:16" ht="15">
      <c r="B223" s="65" t="s">
        <v>589</v>
      </c>
      <c r="C223" s="245">
        <f t="shared" ref="C223:N223" si="24">SUM(C217:C222)</f>
        <v>76909</v>
      </c>
      <c r="D223" s="245">
        <f t="shared" si="24"/>
        <v>91137</v>
      </c>
      <c r="E223" s="245">
        <f t="shared" si="24"/>
        <v>92128</v>
      </c>
      <c r="F223" s="245">
        <f t="shared" si="24"/>
        <v>98913</v>
      </c>
      <c r="G223" s="245">
        <f t="shared" si="24"/>
        <v>99389</v>
      </c>
      <c r="H223" s="245">
        <f t="shared" si="24"/>
        <v>107249</v>
      </c>
      <c r="I223" s="245">
        <f t="shared" si="24"/>
        <v>106673</v>
      </c>
      <c r="J223" s="245">
        <f t="shared" si="24"/>
        <v>109027</v>
      </c>
      <c r="K223" s="245">
        <f t="shared" si="24"/>
        <v>100017</v>
      </c>
      <c r="L223" s="245">
        <f t="shared" si="24"/>
        <v>102308</v>
      </c>
      <c r="M223" s="245">
        <f t="shared" si="24"/>
        <v>93448</v>
      </c>
      <c r="N223" s="245">
        <f t="shared" si="24"/>
        <v>92936</v>
      </c>
      <c r="O223" s="300">
        <v>78669</v>
      </c>
      <c r="P223" s="300">
        <f>SUM(P217:P222)</f>
        <v>77247.073656999986</v>
      </c>
    </row>
    <row r="224" spans="2:16" ht="15">
      <c r="B224" s="263" t="s">
        <v>590</v>
      </c>
      <c r="C224" s="264"/>
      <c r="D224" s="264"/>
      <c r="E224" s="264"/>
      <c r="F224" s="264"/>
      <c r="G224" s="264"/>
      <c r="H224" s="264"/>
      <c r="I224" s="264"/>
      <c r="J224" s="264"/>
      <c r="K224" s="264"/>
      <c r="L224" s="264"/>
      <c r="M224" s="264"/>
      <c r="N224" s="264"/>
      <c r="O224" s="298"/>
      <c r="P224" s="298"/>
    </row>
    <row r="225" spans="2:16" ht="15.5">
      <c r="B225" s="265" t="s">
        <v>591</v>
      </c>
      <c r="C225" s="50">
        <v>0</v>
      </c>
      <c r="D225" s="50">
        <v>0</v>
      </c>
      <c r="E225" s="50">
        <v>0</v>
      </c>
      <c r="F225" s="50">
        <v>0</v>
      </c>
      <c r="G225" s="50">
        <v>0</v>
      </c>
      <c r="H225" s="50">
        <v>0</v>
      </c>
      <c r="I225" s="50">
        <v>0</v>
      </c>
      <c r="J225" s="50">
        <v>0</v>
      </c>
      <c r="K225" s="50">
        <v>0</v>
      </c>
      <c r="L225" s="50">
        <v>0</v>
      </c>
      <c r="M225" s="50">
        <v>0</v>
      </c>
      <c r="N225" s="50">
        <v>0</v>
      </c>
      <c r="O225" s="394">
        <v>0</v>
      </c>
      <c r="P225" s="394">
        <v>0</v>
      </c>
    </row>
    <row r="226" spans="2:16" ht="15.5">
      <c r="B226" s="265" t="s">
        <v>592</v>
      </c>
      <c r="C226" s="50">
        <v>0</v>
      </c>
      <c r="D226" s="50">
        <v>0</v>
      </c>
      <c r="E226" s="50">
        <v>0</v>
      </c>
      <c r="F226" s="50">
        <v>0</v>
      </c>
      <c r="G226" s="50">
        <v>0</v>
      </c>
      <c r="H226" s="50">
        <v>0</v>
      </c>
      <c r="I226" s="50">
        <v>0</v>
      </c>
      <c r="J226" s="50">
        <v>0</v>
      </c>
      <c r="K226" s="50">
        <v>0</v>
      </c>
      <c r="L226" s="50">
        <v>0</v>
      </c>
      <c r="M226" s="50">
        <v>0</v>
      </c>
      <c r="N226" s="50">
        <v>0</v>
      </c>
      <c r="O226" s="394">
        <v>0</v>
      </c>
      <c r="P226" s="394">
        <v>0</v>
      </c>
    </row>
    <row r="227" spans="2:16" ht="15.5">
      <c r="B227" s="265" t="s">
        <v>593</v>
      </c>
      <c r="C227" s="50">
        <v>0</v>
      </c>
      <c r="D227" s="50">
        <v>0</v>
      </c>
      <c r="E227" s="50">
        <v>0</v>
      </c>
      <c r="F227" s="50">
        <v>0</v>
      </c>
      <c r="G227" s="50">
        <v>0</v>
      </c>
      <c r="H227" s="50">
        <v>0</v>
      </c>
      <c r="I227" s="50">
        <v>0</v>
      </c>
      <c r="J227" s="50">
        <v>0</v>
      </c>
      <c r="K227" s="50">
        <v>0</v>
      </c>
      <c r="L227" s="50">
        <v>0</v>
      </c>
      <c r="M227" s="50">
        <v>0</v>
      </c>
      <c r="N227" s="50">
        <v>0</v>
      </c>
      <c r="O227" s="394">
        <v>0</v>
      </c>
      <c r="P227" s="394">
        <v>0</v>
      </c>
    </row>
    <row r="228" spans="2:16" ht="15.5">
      <c r="B228" s="265" t="s">
        <v>594</v>
      </c>
      <c r="C228" s="50">
        <v>0</v>
      </c>
      <c r="D228" s="50">
        <v>0</v>
      </c>
      <c r="E228" s="50">
        <v>0</v>
      </c>
      <c r="F228" s="50">
        <v>0</v>
      </c>
      <c r="G228" s="50">
        <v>0</v>
      </c>
      <c r="H228" s="50">
        <v>0</v>
      </c>
      <c r="I228" s="50">
        <v>0</v>
      </c>
      <c r="J228" s="50">
        <v>0</v>
      </c>
      <c r="K228" s="50">
        <v>0</v>
      </c>
      <c r="L228" s="50">
        <v>0</v>
      </c>
      <c r="M228" s="50">
        <v>0</v>
      </c>
      <c r="N228" s="50">
        <v>0</v>
      </c>
      <c r="O228" s="394">
        <v>0</v>
      </c>
      <c r="P228" s="394">
        <v>0</v>
      </c>
    </row>
    <row r="229" spans="2:16" ht="15.5">
      <c r="B229" s="265" t="s">
        <v>584</v>
      </c>
      <c r="C229" s="50">
        <v>68709</v>
      </c>
      <c r="D229" s="50">
        <v>43386</v>
      </c>
      <c r="E229" s="50">
        <v>33047</v>
      </c>
      <c r="F229" s="50">
        <v>29148</v>
      </c>
      <c r="G229" s="50">
        <v>13574</v>
      </c>
      <c r="H229" s="50">
        <v>8311</v>
      </c>
      <c r="I229" s="50">
        <v>0</v>
      </c>
      <c r="J229" s="50">
        <v>0</v>
      </c>
      <c r="K229" s="50">
        <v>0</v>
      </c>
      <c r="L229" s="50">
        <v>0</v>
      </c>
      <c r="M229" s="50">
        <v>0</v>
      </c>
      <c r="N229" s="50">
        <v>0</v>
      </c>
      <c r="O229" s="394">
        <v>0</v>
      </c>
      <c r="P229" s="394">
        <v>0</v>
      </c>
    </row>
    <row r="230" spans="2:16" ht="15.5">
      <c r="B230" s="265" t="s">
        <v>595</v>
      </c>
      <c r="C230" s="50">
        <v>0</v>
      </c>
      <c r="D230" s="50">
        <v>0</v>
      </c>
      <c r="E230" s="50">
        <v>0</v>
      </c>
      <c r="F230" s="50">
        <v>0</v>
      </c>
      <c r="G230" s="50">
        <v>0</v>
      </c>
      <c r="H230" s="50">
        <v>0</v>
      </c>
      <c r="I230" s="50">
        <v>0</v>
      </c>
      <c r="J230" s="50">
        <v>0</v>
      </c>
      <c r="K230" s="50">
        <v>0</v>
      </c>
      <c r="L230" s="50">
        <v>0</v>
      </c>
      <c r="M230" s="50">
        <v>0</v>
      </c>
      <c r="N230" s="50">
        <v>0</v>
      </c>
      <c r="O230" s="394">
        <v>0</v>
      </c>
      <c r="P230" s="394">
        <v>0</v>
      </c>
    </row>
    <row r="231" spans="2:16" ht="15.5">
      <c r="B231" s="265" t="s">
        <v>596</v>
      </c>
      <c r="C231" s="50">
        <v>243</v>
      </c>
      <c r="D231" s="50">
        <v>355</v>
      </c>
      <c r="E231" s="50">
        <v>328</v>
      </c>
      <c r="F231" s="50">
        <v>301</v>
      </c>
      <c r="G231" s="50">
        <v>303</v>
      </c>
      <c r="H231" s="50">
        <v>278</v>
      </c>
      <c r="I231" s="50">
        <v>363</v>
      </c>
      <c r="J231" s="50">
        <v>277</v>
      </c>
      <c r="K231" s="50">
        <v>254</v>
      </c>
      <c r="L231" s="50">
        <v>234</v>
      </c>
      <c r="M231" s="50">
        <v>207</v>
      </c>
      <c r="N231" s="50">
        <v>183</v>
      </c>
      <c r="O231" s="394">
        <v>160</v>
      </c>
      <c r="P231" s="394">
        <v>142.84178399999999</v>
      </c>
    </row>
    <row r="232" spans="2:16" ht="15.5">
      <c r="B232" s="265" t="s">
        <v>597</v>
      </c>
      <c r="C232" s="50">
        <v>0</v>
      </c>
      <c r="D232" s="50">
        <v>0</v>
      </c>
      <c r="E232" s="50">
        <v>0</v>
      </c>
      <c r="F232" s="50">
        <v>0</v>
      </c>
      <c r="G232" s="50">
        <v>0</v>
      </c>
      <c r="H232" s="50">
        <v>0</v>
      </c>
      <c r="I232" s="50">
        <v>0</v>
      </c>
      <c r="J232" s="50">
        <v>0</v>
      </c>
      <c r="K232" s="50">
        <v>0</v>
      </c>
      <c r="L232" s="50">
        <v>0</v>
      </c>
      <c r="M232" s="50">
        <v>0</v>
      </c>
      <c r="N232" s="50">
        <v>0</v>
      </c>
      <c r="O232" s="394">
        <v>0</v>
      </c>
      <c r="P232" s="394">
        <v>0</v>
      </c>
    </row>
    <row r="233" spans="2:16" ht="15.5">
      <c r="B233" s="265" t="s">
        <v>598</v>
      </c>
      <c r="C233" s="50">
        <v>105</v>
      </c>
      <c r="D233" s="50">
        <v>182</v>
      </c>
      <c r="E233" s="50">
        <v>173</v>
      </c>
      <c r="F233" s="50">
        <v>165</v>
      </c>
      <c r="G233" s="50">
        <v>157</v>
      </c>
      <c r="H233" s="50">
        <v>172</v>
      </c>
      <c r="I233" s="50">
        <v>163</v>
      </c>
      <c r="J233" s="50">
        <v>160</v>
      </c>
      <c r="K233" s="50">
        <v>150</v>
      </c>
      <c r="L233" s="50">
        <v>142</v>
      </c>
      <c r="M233" s="50">
        <v>132</v>
      </c>
      <c r="N233" s="50">
        <v>149</v>
      </c>
      <c r="O233" s="394">
        <v>138</v>
      </c>
      <c r="P233" s="394">
        <v>127.437786</v>
      </c>
    </row>
    <row r="234" spans="2:16" ht="15.5">
      <c r="B234" s="265" t="s">
        <v>586</v>
      </c>
      <c r="C234" s="50">
        <v>0</v>
      </c>
      <c r="D234" s="50">
        <v>0</v>
      </c>
      <c r="E234" s="50">
        <v>0</v>
      </c>
      <c r="F234" s="50">
        <v>0</v>
      </c>
      <c r="G234" s="50">
        <v>0</v>
      </c>
      <c r="H234" s="50">
        <v>0</v>
      </c>
      <c r="I234" s="50">
        <v>0</v>
      </c>
      <c r="J234" s="50">
        <v>0</v>
      </c>
      <c r="K234" s="50">
        <v>0</v>
      </c>
      <c r="L234" s="50">
        <v>0</v>
      </c>
      <c r="M234" s="50">
        <v>0</v>
      </c>
      <c r="N234" s="50">
        <v>0</v>
      </c>
      <c r="O234" s="394">
        <v>0</v>
      </c>
      <c r="P234" s="394">
        <v>0</v>
      </c>
    </row>
    <row r="235" spans="2:16" ht="15.5">
      <c r="B235" s="265" t="s">
        <v>599</v>
      </c>
      <c r="C235" s="50">
        <v>4049</v>
      </c>
      <c r="D235" s="50">
        <v>0</v>
      </c>
      <c r="E235" s="50">
        <v>164</v>
      </c>
      <c r="F235" s="50">
        <v>309</v>
      </c>
      <c r="G235" s="50">
        <v>559</v>
      </c>
      <c r="H235" s="50">
        <v>1608</v>
      </c>
      <c r="I235" s="50">
        <v>1624</v>
      </c>
      <c r="J235" s="50">
        <v>1841</v>
      </c>
      <c r="K235" s="50">
        <v>1756</v>
      </c>
      <c r="L235" s="50">
        <v>1843</v>
      </c>
      <c r="M235" s="50">
        <v>2213</v>
      </c>
      <c r="N235" s="50">
        <v>2542</v>
      </c>
      <c r="O235" s="394">
        <v>2889</v>
      </c>
      <c r="P235" s="394">
        <v>1512.610109</v>
      </c>
    </row>
    <row r="236" spans="2:16" ht="15.5">
      <c r="B236" s="265" t="s">
        <v>600</v>
      </c>
      <c r="C236" s="50">
        <v>0</v>
      </c>
      <c r="D236" s="50">
        <v>0</v>
      </c>
      <c r="E236" s="50">
        <v>0</v>
      </c>
      <c r="F236" s="50">
        <v>0</v>
      </c>
      <c r="G236" s="50">
        <v>0</v>
      </c>
      <c r="H236" s="50">
        <v>0</v>
      </c>
      <c r="I236" s="50">
        <v>-5</v>
      </c>
      <c r="J236" s="50">
        <v>50</v>
      </c>
      <c r="K236" s="50">
        <v>43</v>
      </c>
      <c r="L236" s="50">
        <v>114</v>
      </c>
      <c r="M236" s="50">
        <v>99</v>
      </c>
      <c r="N236" s="50">
        <v>87</v>
      </c>
      <c r="O236" s="394">
        <v>99</v>
      </c>
      <c r="P236" s="394">
        <v>84.695992000000004</v>
      </c>
    </row>
    <row r="237" spans="2:16" ht="15.5">
      <c r="B237" s="265" t="s">
        <v>588</v>
      </c>
      <c r="C237" s="50">
        <v>0</v>
      </c>
      <c r="D237" s="50">
        <v>0</v>
      </c>
      <c r="E237" s="50">
        <v>0</v>
      </c>
      <c r="F237" s="50">
        <v>0</v>
      </c>
      <c r="G237" s="50">
        <v>0</v>
      </c>
      <c r="H237" s="50">
        <v>0</v>
      </c>
      <c r="I237" s="50">
        <v>0</v>
      </c>
      <c r="J237" s="50">
        <v>0</v>
      </c>
      <c r="K237" s="50">
        <v>0</v>
      </c>
      <c r="L237" s="50">
        <v>0</v>
      </c>
      <c r="M237" s="50">
        <v>0</v>
      </c>
      <c r="N237" s="50">
        <v>0</v>
      </c>
      <c r="O237" s="394">
        <v>0</v>
      </c>
      <c r="P237" s="394">
        <v>0</v>
      </c>
    </row>
    <row r="238" spans="2:16" ht="15">
      <c r="B238" s="263" t="s">
        <v>601</v>
      </c>
      <c r="C238" s="246">
        <f t="shared" ref="C238:N238" si="25">SUM(C225:C237)</f>
        <v>73106</v>
      </c>
      <c r="D238" s="246">
        <f t="shared" si="25"/>
        <v>43923</v>
      </c>
      <c r="E238" s="246">
        <f t="shared" si="25"/>
        <v>33712</v>
      </c>
      <c r="F238" s="246">
        <f t="shared" si="25"/>
        <v>29923</v>
      </c>
      <c r="G238" s="246">
        <f t="shared" si="25"/>
        <v>14593</v>
      </c>
      <c r="H238" s="246">
        <f t="shared" si="25"/>
        <v>10369</v>
      </c>
      <c r="I238" s="246">
        <f t="shared" si="25"/>
        <v>2145</v>
      </c>
      <c r="J238" s="246">
        <f t="shared" si="25"/>
        <v>2328</v>
      </c>
      <c r="K238" s="246">
        <f t="shared" si="25"/>
        <v>2203</v>
      </c>
      <c r="L238" s="246">
        <f t="shared" si="25"/>
        <v>2333</v>
      </c>
      <c r="M238" s="246">
        <f t="shared" si="25"/>
        <v>2651</v>
      </c>
      <c r="N238" s="246">
        <f t="shared" si="25"/>
        <v>2961</v>
      </c>
      <c r="O238" s="301">
        <v>3286</v>
      </c>
      <c r="P238" s="301">
        <f>SUM(P225:P237)</f>
        <v>1867.5856709999998</v>
      </c>
    </row>
    <row r="239" spans="2:16" ht="15">
      <c r="B239" s="65" t="s">
        <v>602</v>
      </c>
      <c r="C239" s="245">
        <f t="shared" ref="C239:N239" si="26">+C223+C238</f>
        <v>150015</v>
      </c>
      <c r="D239" s="245">
        <f t="shared" si="26"/>
        <v>135060</v>
      </c>
      <c r="E239" s="245">
        <f t="shared" si="26"/>
        <v>125840</v>
      </c>
      <c r="F239" s="245">
        <f t="shared" si="26"/>
        <v>128836</v>
      </c>
      <c r="G239" s="245">
        <f t="shared" si="26"/>
        <v>113982</v>
      </c>
      <c r="H239" s="245">
        <f t="shared" si="26"/>
        <v>117618</v>
      </c>
      <c r="I239" s="245">
        <f t="shared" si="26"/>
        <v>108818</v>
      </c>
      <c r="J239" s="245">
        <f t="shared" si="26"/>
        <v>111355</v>
      </c>
      <c r="K239" s="245">
        <f t="shared" si="26"/>
        <v>102220</v>
      </c>
      <c r="L239" s="245">
        <f t="shared" si="26"/>
        <v>104641</v>
      </c>
      <c r="M239" s="245">
        <f t="shared" si="26"/>
        <v>96099</v>
      </c>
      <c r="N239" s="245">
        <f t="shared" si="26"/>
        <v>95897</v>
      </c>
      <c r="O239" s="300">
        <v>81955</v>
      </c>
      <c r="P239" s="300">
        <f>+P223+P238</f>
        <v>79114.65932799998</v>
      </c>
    </row>
    <row r="240" spans="2:16" ht="15">
      <c r="B240" s="67"/>
      <c r="C240" s="266"/>
      <c r="D240" s="266"/>
      <c r="E240" s="266"/>
      <c r="F240" s="266"/>
      <c r="G240" s="266"/>
      <c r="H240" s="266"/>
      <c r="I240" s="266"/>
      <c r="J240" s="266"/>
      <c r="K240" s="266"/>
      <c r="L240" s="266"/>
      <c r="M240" s="266"/>
      <c r="N240" s="266"/>
      <c r="O240" s="302"/>
      <c r="P240" s="302"/>
    </row>
    <row r="241" spans="2:16" ht="15">
      <c r="B241" s="262" t="s">
        <v>603</v>
      </c>
      <c r="C241" s="267"/>
      <c r="D241" s="267"/>
      <c r="E241" s="267"/>
      <c r="F241" s="267"/>
      <c r="G241" s="267"/>
      <c r="H241" s="267"/>
      <c r="I241" s="267"/>
      <c r="J241" s="267"/>
      <c r="K241" s="267"/>
      <c r="L241" s="267"/>
      <c r="M241" s="267"/>
      <c r="N241" s="267"/>
      <c r="O241" s="303"/>
      <c r="P241" s="303"/>
    </row>
    <row r="242" spans="2:16" ht="15">
      <c r="B242" s="263" t="s">
        <v>604</v>
      </c>
      <c r="C242" s="268"/>
      <c r="D242" s="268"/>
      <c r="E242" s="268"/>
      <c r="F242" s="268"/>
      <c r="G242" s="268"/>
      <c r="H242" s="268"/>
      <c r="I242" s="268"/>
      <c r="J242" s="268"/>
      <c r="K242" s="268"/>
      <c r="L242" s="268"/>
      <c r="M242" s="268"/>
      <c r="N242" s="268"/>
      <c r="O242" s="304"/>
      <c r="P242" s="304"/>
    </row>
    <row r="243" spans="2:16" ht="15.5">
      <c r="B243" s="265" t="s">
        <v>605</v>
      </c>
      <c r="C243" s="50">
        <v>26862</v>
      </c>
      <c r="D243" s="50">
        <v>25545</v>
      </c>
      <c r="E243" s="50">
        <v>23227</v>
      </c>
      <c r="F243" s="50">
        <v>25175</v>
      </c>
      <c r="G243" s="50">
        <v>18378</v>
      </c>
      <c r="H243" s="50">
        <v>20071</v>
      </c>
      <c r="I243" s="50">
        <v>17704</v>
      </c>
      <c r="J243" s="50">
        <v>19303</v>
      </c>
      <c r="K243" s="50">
        <v>20521</v>
      </c>
      <c r="L243" s="50">
        <v>21756</v>
      </c>
      <c r="M243" s="50">
        <v>21861</v>
      </c>
      <c r="N243" s="50">
        <v>22835</v>
      </c>
      <c r="O243" s="394">
        <v>9368</v>
      </c>
      <c r="P243" s="394">
        <v>9941.8127139999997</v>
      </c>
    </row>
    <row r="244" spans="2:16" ht="15.5">
      <c r="B244" s="265" t="s">
        <v>606</v>
      </c>
      <c r="C244" s="50">
        <v>388</v>
      </c>
      <c r="D244" s="50">
        <v>620</v>
      </c>
      <c r="E244" s="50">
        <v>1100</v>
      </c>
      <c r="F244" s="50">
        <v>1752</v>
      </c>
      <c r="G244" s="50">
        <v>782</v>
      </c>
      <c r="H244" s="50">
        <v>958</v>
      </c>
      <c r="I244" s="50">
        <v>505</v>
      </c>
      <c r="J244" s="50">
        <v>750</v>
      </c>
      <c r="K244" s="50">
        <v>1005</v>
      </c>
      <c r="L244" s="50">
        <v>2052</v>
      </c>
      <c r="M244" s="50">
        <v>2685</v>
      </c>
      <c r="N244" s="50">
        <v>2025</v>
      </c>
      <c r="O244" s="394">
        <v>1696</v>
      </c>
      <c r="P244" s="394">
        <v>3977.6526309999999</v>
      </c>
    </row>
    <row r="245" spans="2:16" ht="15.5">
      <c r="B245" s="265" t="s">
        <v>607</v>
      </c>
      <c r="C245" s="50">
        <v>26</v>
      </c>
      <c r="D245" s="50">
        <v>33</v>
      </c>
      <c r="E245" s="50">
        <v>27</v>
      </c>
      <c r="F245" s="50">
        <v>31</v>
      </c>
      <c r="G245" s="50">
        <v>35</v>
      </c>
      <c r="H245" s="50">
        <v>31</v>
      </c>
      <c r="I245" s="50">
        <v>21</v>
      </c>
      <c r="J245" s="50">
        <v>23</v>
      </c>
      <c r="K245" s="50">
        <v>24</v>
      </c>
      <c r="L245" s="50">
        <v>29</v>
      </c>
      <c r="M245" s="50">
        <v>22</v>
      </c>
      <c r="N245" s="50">
        <v>32</v>
      </c>
      <c r="O245" s="394">
        <v>31</v>
      </c>
      <c r="P245" s="394">
        <v>35.794066000000001</v>
      </c>
    </row>
    <row r="246" spans="2:16" ht="15.5">
      <c r="B246" s="265" t="s">
        <v>585</v>
      </c>
      <c r="C246" s="50">
        <v>881</v>
      </c>
      <c r="D246" s="50">
        <v>772</v>
      </c>
      <c r="E246" s="50">
        <v>599</v>
      </c>
      <c r="F246" s="50">
        <v>329</v>
      </c>
      <c r="G246" s="50">
        <v>2</v>
      </c>
      <c r="H246" s="50">
        <v>381</v>
      </c>
      <c r="I246" s="50">
        <v>622</v>
      </c>
      <c r="J246" s="50">
        <v>376</v>
      </c>
      <c r="K246" s="50">
        <v>447</v>
      </c>
      <c r="L246" s="50">
        <v>711</v>
      </c>
      <c r="M246" s="50">
        <v>3</v>
      </c>
      <c r="N246" s="50">
        <v>277</v>
      </c>
      <c r="O246" s="394">
        <v>4</v>
      </c>
      <c r="P246" s="394">
        <v>402.43116500000002</v>
      </c>
    </row>
    <row r="247" spans="2:16" ht="15.5">
      <c r="B247" s="265" t="s">
        <v>608</v>
      </c>
      <c r="C247" s="50">
        <v>194</v>
      </c>
      <c r="D247" s="50">
        <v>8</v>
      </c>
      <c r="E247" s="50">
        <v>0</v>
      </c>
      <c r="F247" s="50">
        <v>0</v>
      </c>
      <c r="G247" s="50">
        <v>391</v>
      </c>
      <c r="H247" s="50">
        <v>0</v>
      </c>
      <c r="I247" s="50">
        <v>817</v>
      </c>
      <c r="J247" s="50">
        <v>1142</v>
      </c>
      <c r="K247" s="50">
        <v>1204</v>
      </c>
      <c r="L247" s="50">
        <v>403</v>
      </c>
      <c r="M247" s="50">
        <v>723</v>
      </c>
      <c r="N247" s="50">
        <v>808</v>
      </c>
      <c r="O247" s="394">
        <v>712</v>
      </c>
      <c r="P247" s="394">
        <v>993.08586100000002</v>
      </c>
    </row>
    <row r="248" spans="2:16" ht="15.5">
      <c r="B248" s="265" t="s">
        <v>609</v>
      </c>
      <c r="C248" s="50">
        <v>814</v>
      </c>
      <c r="D248" s="50">
        <v>983</v>
      </c>
      <c r="E248" s="50">
        <v>142</v>
      </c>
      <c r="F248" s="50">
        <v>204</v>
      </c>
      <c r="G248" s="50">
        <v>269</v>
      </c>
      <c r="H248" s="50">
        <v>597</v>
      </c>
      <c r="I248" s="50">
        <v>151</v>
      </c>
      <c r="J248" s="50">
        <v>193</v>
      </c>
      <c r="K248" s="50">
        <v>241</v>
      </c>
      <c r="L248" s="50">
        <v>463</v>
      </c>
      <c r="M248" s="50">
        <v>713</v>
      </c>
      <c r="N248" s="50">
        <v>200</v>
      </c>
      <c r="O248" s="394">
        <v>245</v>
      </c>
      <c r="P248" s="394">
        <v>359.39655299999998</v>
      </c>
    </row>
    <row r="249" spans="2:16" ht="15.5">
      <c r="B249" s="265" t="s">
        <v>610</v>
      </c>
      <c r="C249" s="50">
        <v>0</v>
      </c>
      <c r="D249" s="50">
        <v>0</v>
      </c>
      <c r="E249" s="50">
        <v>0</v>
      </c>
      <c r="F249" s="50">
        <v>0</v>
      </c>
      <c r="G249" s="50">
        <v>0</v>
      </c>
      <c r="H249" s="50">
        <v>0</v>
      </c>
      <c r="I249" s="50">
        <v>0</v>
      </c>
      <c r="J249" s="50">
        <v>0</v>
      </c>
      <c r="K249" s="50">
        <v>0</v>
      </c>
      <c r="L249" s="50">
        <v>0</v>
      </c>
      <c r="M249" s="50">
        <v>0</v>
      </c>
      <c r="N249" s="50">
        <v>0</v>
      </c>
      <c r="O249" s="394">
        <v>0</v>
      </c>
      <c r="P249" s="394">
        <v>3091.8369189999999</v>
      </c>
    </row>
    <row r="250" spans="2:16" ht="15.5">
      <c r="B250" s="265" t="s">
        <v>684</v>
      </c>
      <c r="C250" s="50">
        <v>0</v>
      </c>
      <c r="D250" s="50">
        <v>0</v>
      </c>
      <c r="E250" s="50">
        <v>0</v>
      </c>
      <c r="F250" s="50">
        <v>0</v>
      </c>
      <c r="G250" s="50">
        <v>0</v>
      </c>
      <c r="H250" s="50">
        <v>0</v>
      </c>
      <c r="I250" s="50">
        <v>0</v>
      </c>
      <c r="J250" s="50">
        <v>0</v>
      </c>
      <c r="K250" s="50">
        <v>0</v>
      </c>
      <c r="L250" s="50">
        <v>0</v>
      </c>
      <c r="M250" s="50">
        <v>0</v>
      </c>
      <c r="N250" s="50">
        <v>0</v>
      </c>
      <c r="O250" s="394">
        <v>0</v>
      </c>
      <c r="P250" s="394">
        <v>0</v>
      </c>
    </row>
    <row r="251" spans="2:16" ht="15">
      <c r="B251" s="263" t="s">
        <v>611</v>
      </c>
      <c r="C251" s="246">
        <f t="shared" ref="C251:N251" si="27">SUM(C243:C250)</f>
        <v>29165</v>
      </c>
      <c r="D251" s="246">
        <f t="shared" si="27"/>
        <v>27961</v>
      </c>
      <c r="E251" s="246">
        <f t="shared" si="27"/>
        <v>25095</v>
      </c>
      <c r="F251" s="246">
        <f t="shared" si="27"/>
        <v>27491</v>
      </c>
      <c r="G251" s="246">
        <f t="shared" si="27"/>
        <v>19857</v>
      </c>
      <c r="H251" s="246">
        <f t="shared" si="27"/>
        <v>22038</v>
      </c>
      <c r="I251" s="246">
        <f t="shared" si="27"/>
        <v>19820</v>
      </c>
      <c r="J251" s="246">
        <f t="shared" si="27"/>
        <v>21787</v>
      </c>
      <c r="K251" s="246">
        <f t="shared" si="27"/>
        <v>23442</v>
      </c>
      <c r="L251" s="246">
        <f t="shared" si="27"/>
        <v>25414</v>
      </c>
      <c r="M251" s="246">
        <f t="shared" si="27"/>
        <v>26007</v>
      </c>
      <c r="N251" s="246">
        <f t="shared" si="27"/>
        <v>26177</v>
      </c>
      <c r="O251" s="301">
        <v>12056</v>
      </c>
      <c r="P251" s="301">
        <f>SUM(P243:P250)</f>
        <v>18802.009909</v>
      </c>
    </row>
    <row r="252" spans="2:16" ht="15">
      <c r="B252" s="269" t="s">
        <v>612</v>
      </c>
      <c r="C252" s="270"/>
      <c r="D252" s="270"/>
      <c r="E252" s="270"/>
      <c r="F252" s="270"/>
      <c r="G252" s="270"/>
      <c r="H252" s="270"/>
      <c r="I252" s="270"/>
      <c r="J252" s="270"/>
      <c r="K252" s="270"/>
      <c r="L252" s="270"/>
      <c r="M252" s="270"/>
      <c r="N252" s="270"/>
      <c r="O252" s="305"/>
      <c r="P252" s="305"/>
    </row>
    <row r="253" spans="2:16" ht="15.5">
      <c r="B253" s="265" t="s">
        <v>605</v>
      </c>
      <c r="C253" s="50">
        <v>95874</v>
      </c>
      <c r="D253" s="50">
        <v>82408</v>
      </c>
      <c r="E253" s="50">
        <v>76134</v>
      </c>
      <c r="F253" s="50">
        <v>76709</v>
      </c>
      <c r="G253" s="50">
        <v>69631</v>
      </c>
      <c r="H253" s="50">
        <v>70138</v>
      </c>
      <c r="I253" s="50">
        <v>63599</v>
      </c>
      <c r="J253" s="50">
        <v>63823</v>
      </c>
      <c r="K253" s="50">
        <v>52484</v>
      </c>
      <c r="L253" s="50">
        <v>52799</v>
      </c>
      <c r="M253" s="50">
        <v>44322</v>
      </c>
      <c r="N253" s="50">
        <v>44755</v>
      </c>
      <c r="O253" s="394">
        <v>45575</v>
      </c>
      <c r="P253" s="394">
        <v>46191.339499000002</v>
      </c>
    </row>
    <row r="254" spans="2:16" ht="15.5">
      <c r="B254" s="265" t="s">
        <v>606</v>
      </c>
      <c r="C254" s="50">
        <v>0</v>
      </c>
      <c r="D254" s="50">
        <v>0</v>
      </c>
      <c r="E254" s="50">
        <v>0</v>
      </c>
      <c r="F254" s="50">
        <v>0</v>
      </c>
      <c r="G254" s="50">
        <v>0</v>
      </c>
      <c r="H254" s="50">
        <v>0</v>
      </c>
      <c r="I254" s="50">
        <v>0</v>
      </c>
      <c r="J254" s="50">
        <v>24</v>
      </c>
      <c r="K254" s="50">
        <v>20</v>
      </c>
      <c r="L254" s="50">
        <v>63</v>
      </c>
      <c r="M254" s="50">
        <v>49</v>
      </c>
      <c r="N254" s="50">
        <v>39</v>
      </c>
      <c r="O254" s="394">
        <v>42</v>
      </c>
      <c r="P254" s="394">
        <v>29.737808000000001</v>
      </c>
    </row>
    <row r="255" spans="2:16" ht="15.5">
      <c r="B255" s="265" t="s">
        <v>613</v>
      </c>
      <c r="C255" s="50">
        <v>0</v>
      </c>
      <c r="D255" s="50">
        <v>0</v>
      </c>
      <c r="E255" s="50">
        <v>0</v>
      </c>
      <c r="F255" s="50">
        <v>0</v>
      </c>
      <c r="G255" s="50">
        <v>0</v>
      </c>
      <c r="H255" s="50">
        <v>0</v>
      </c>
      <c r="I255" s="50">
        <v>0</v>
      </c>
      <c r="J255" s="50">
        <v>0</v>
      </c>
      <c r="K255" s="50">
        <v>0</v>
      </c>
      <c r="L255" s="50">
        <v>0</v>
      </c>
      <c r="M255" s="50">
        <v>0</v>
      </c>
      <c r="N255" s="50">
        <v>0</v>
      </c>
      <c r="O255" s="394">
        <v>0</v>
      </c>
      <c r="P255" s="394">
        <v>0</v>
      </c>
    </row>
    <row r="256" spans="2:16" ht="15.5">
      <c r="B256" s="265" t="s">
        <v>607</v>
      </c>
      <c r="C256" s="50">
        <v>0</v>
      </c>
      <c r="D256" s="50">
        <v>0</v>
      </c>
      <c r="E256" s="50">
        <v>0</v>
      </c>
      <c r="F256" s="50">
        <v>0</v>
      </c>
      <c r="G256" s="50">
        <v>0</v>
      </c>
      <c r="H256" s="50">
        <v>0</v>
      </c>
      <c r="I256" s="50">
        <v>0</v>
      </c>
      <c r="J256" s="50">
        <v>0</v>
      </c>
      <c r="K256" s="50">
        <v>0</v>
      </c>
      <c r="L256" s="50">
        <v>0</v>
      </c>
      <c r="M256" s="50">
        <v>0</v>
      </c>
      <c r="N256" s="50">
        <v>0</v>
      </c>
      <c r="O256" s="394">
        <v>0</v>
      </c>
      <c r="P256" s="394">
        <v>0</v>
      </c>
    </row>
    <row r="257" spans="2:16" ht="15.5">
      <c r="B257" s="265" t="s">
        <v>608</v>
      </c>
      <c r="C257" s="50">
        <v>0</v>
      </c>
      <c r="D257" s="50">
        <v>0</v>
      </c>
      <c r="E257" s="50">
        <v>0</v>
      </c>
      <c r="F257" s="50">
        <v>0</v>
      </c>
      <c r="G257" s="50">
        <v>0</v>
      </c>
      <c r="H257" s="50">
        <v>0</v>
      </c>
      <c r="I257" s="50">
        <v>0</v>
      </c>
      <c r="J257" s="50">
        <v>0</v>
      </c>
      <c r="K257" s="50">
        <v>0</v>
      </c>
      <c r="L257" s="50">
        <v>0</v>
      </c>
      <c r="M257" s="50">
        <v>0</v>
      </c>
      <c r="N257" s="50">
        <v>0</v>
      </c>
      <c r="O257" s="394">
        <v>0</v>
      </c>
      <c r="P257" s="394">
        <v>0</v>
      </c>
    </row>
    <row r="258" spans="2:16" ht="15.5">
      <c r="B258" s="265" t="s">
        <v>610</v>
      </c>
      <c r="C258" s="50">
        <v>0</v>
      </c>
      <c r="D258" s="50">
        <v>0</v>
      </c>
      <c r="E258" s="50">
        <v>0</v>
      </c>
      <c r="F258" s="50">
        <v>0</v>
      </c>
      <c r="G258" s="50">
        <v>0</v>
      </c>
      <c r="H258" s="50">
        <v>0</v>
      </c>
      <c r="I258" s="50">
        <v>0</v>
      </c>
      <c r="J258" s="50">
        <v>0</v>
      </c>
      <c r="K258" s="50">
        <v>0</v>
      </c>
      <c r="L258" s="50">
        <v>0</v>
      </c>
      <c r="M258" s="50">
        <v>0</v>
      </c>
      <c r="N258" s="50">
        <v>0</v>
      </c>
      <c r="O258" s="394">
        <v>0</v>
      </c>
      <c r="P258" s="394">
        <v>0</v>
      </c>
    </row>
    <row r="259" spans="2:16" ht="15.5">
      <c r="B259" s="265" t="s">
        <v>614</v>
      </c>
      <c r="C259" s="50">
        <v>0</v>
      </c>
      <c r="D259" s="50">
        <v>149</v>
      </c>
      <c r="E259" s="50">
        <v>0</v>
      </c>
      <c r="F259" s="50">
        <v>0</v>
      </c>
      <c r="G259" s="50">
        <v>0</v>
      </c>
      <c r="H259" s="50">
        <v>0</v>
      </c>
      <c r="I259" s="50">
        <v>0</v>
      </c>
      <c r="J259" s="50">
        <v>0</v>
      </c>
      <c r="K259" s="50">
        <v>0</v>
      </c>
      <c r="L259" s="50">
        <v>0</v>
      </c>
      <c r="M259" s="50">
        <v>0</v>
      </c>
      <c r="N259" s="50">
        <v>0</v>
      </c>
      <c r="O259" s="394">
        <v>0</v>
      </c>
      <c r="P259" s="394">
        <v>0</v>
      </c>
    </row>
    <row r="260" spans="2:16" ht="15">
      <c r="B260" s="263" t="s">
        <v>615</v>
      </c>
      <c r="C260" s="246">
        <f t="shared" ref="C260:N260" si="28">SUM(C253:C259)</f>
        <v>95874</v>
      </c>
      <c r="D260" s="246">
        <f t="shared" si="28"/>
        <v>82557</v>
      </c>
      <c r="E260" s="246">
        <f t="shared" si="28"/>
        <v>76134</v>
      </c>
      <c r="F260" s="246">
        <f t="shared" si="28"/>
        <v>76709</v>
      </c>
      <c r="G260" s="246">
        <f t="shared" si="28"/>
        <v>69631</v>
      </c>
      <c r="H260" s="246">
        <f t="shared" si="28"/>
        <v>70138</v>
      </c>
      <c r="I260" s="246">
        <f t="shared" si="28"/>
        <v>63599</v>
      </c>
      <c r="J260" s="246">
        <f t="shared" si="28"/>
        <v>63847</v>
      </c>
      <c r="K260" s="246">
        <f t="shared" si="28"/>
        <v>52504</v>
      </c>
      <c r="L260" s="246">
        <f t="shared" si="28"/>
        <v>52862</v>
      </c>
      <c r="M260" s="246">
        <f t="shared" si="28"/>
        <v>44371</v>
      </c>
      <c r="N260" s="246">
        <f t="shared" si="28"/>
        <v>44794</v>
      </c>
      <c r="O260" s="301">
        <v>45617</v>
      </c>
      <c r="P260" s="301">
        <f>SUM(P253:P259)</f>
        <v>46221.077307</v>
      </c>
    </row>
    <row r="261" spans="2:16" ht="15">
      <c r="B261" s="65" t="s">
        <v>616</v>
      </c>
      <c r="C261" s="245">
        <f t="shared" ref="C261:N261" si="29">+C251+C260</f>
        <v>125039</v>
      </c>
      <c r="D261" s="245">
        <f t="shared" si="29"/>
        <v>110518</v>
      </c>
      <c r="E261" s="245">
        <f t="shared" si="29"/>
        <v>101229</v>
      </c>
      <c r="F261" s="245">
        <f t="shared" si="29"/>
        <v>104200</v>
      </c>
      <c r="G261" s="245">
        <f t="shared" si="29"/>
        <v>89488</v>
      </c>
      <c r="H261" s="245">
        <f t="shared" si="29"/>
        <v>92176</v>
      </c>
      <c r="I261" s="245">
        <f t="shared" si="29"/>
        <v>83419</v>
      </c>
      <c r="J261" s="245">
        <f t="shared" si="29"/>
        <v>85634</v>
      </c>
      <c r="K261" s="245">
        <f t="shared" si="29"/>
        <v>75946</v>
      </c>
      <c r="L261" s="245">
        <f t="shared" si="29"/>
        <v>78276</v>
      </c>
      <c r="M261" s="245">
        <f t="shared" si="29"/>
        <v>70378</v>
      </c>
      <c r="N261" s="245">
        <f t="shared" si="29"/>
        <v>70971</v>
      </c>
      <c r="O261" s="300">
        <v>57673</v>
      </c>
      <c r="P261" s="300">
        <f>+P251+P260</f>
        <v>65023.087216</v>
      </c>
    </row>
    <row r="262" spans="2:16" ht="15">
      <c r="B262" s="67"/>
      <c r="C262" s="266"/>
      <c r="D262" s="266"/>
      <c r="E262" s="266"/>
      <c r="F262" s="266"/>
      <c r="G262" s="266"/>
      <c r="H262" s="266"/>
      <c r="I262" s="266"/>
      <c r="J262" s="266"/>
      <c r="K262" s="266"/>
      <c r="L262" s="266"/>
      <c r="M262" s="266"/>
      <c r="N262" s="266"/>
      <c r="O262" s="302"/>
      <c r="P262" s="302"/>
    </row>
    <row r="263" spans="2:16" ht="15">
      <c r="B263" s="269" t="s">
        <v>617</v>
      </c>
      <c r="C263" s="270"/>
      <c r="D263" s="270"/>
      <c r="E263" s="270"/>
      <c r="F263" s="270"/>
      <c r="G263" s="270"/>
      <c r="H263" s="270"/>
      <c r="I263" s="270"/>
      <c r="J263" s="270"/>
      <c r="K263" s="270"/>
      <c r="L263" s="270"/>
      <c r="M263" s="270"/>
      <c r="N263" s="270"/>
      <c r="O263" s="305"/>
      <c r="P263" s="305"/>
    </row>
    <row r="264" spans="2:16" ht="15.5">
      <c r="B264" s="265" t="s">
        <v>618</v>
      </c>
      <c r="C264" s="50">
        <v>30199</v>
      </c>
      <c r="D264" s="50">
        <v>30199</v>
      </c>
      <c r="E264" s="50">
        <v>30199</v>
      </c>
      <c r="F264" s="50">
        <v>30199</v>
      </c>
      <c r="G264" s="50">
        <v>30199</v>
      </c>
      <c r="H264" s="50">
        <v>30199</v>
      </c>
      <c r="I264" s="50">
        <v>30199</v>
      </c>
      <c r="J264" s="50">
        <v>30199</v>
      </c>
      <c r="K264" s="50">
        <v>30199</v>
      </c>
      <c r="L264" s="50">
        <v>30199</v>
      </c>
      <c r="M264" s="50">
        <v>30199</v>
      </c>
      <c r="N264" s="50">
        <v>30199</v>
      </c>
      <c r="O264" s="394">
        <v>30199</v>
      </c>
      <c r="P264" s="394">
        <v>30199.025601000001</v>
      </c>
    </row>
    <row r="265" spans="2:16" ht="15.5">
      <c r="B265" s="265" t="s">
        <v>619</v>
      </c>
      <c r="C265" s="50">
        <v>0</v>
      </c>
      <c r="D265" s="50">
        <v>0</v>
      </c>
      <c r="E265" s="50">
        <v>0</v>
      </c>
      <c r="F265" s="50">
        <v>0</v>
      </c>
      <c r="G265" s="50">
        <v>0</v>
      </c>
      <c r="H265" s="50">
        <v>0</v>
      </c>
      <c r="I265" s="50">
        <v>0</v>
      </c>
      <c r="J265" s="50">
        <v>0</v>
      </c>
      <c r="K265" s="50">
        <v>0</v>
      </c>
      <c r="L265" s="50">
        <v>0</v>
      </c>
      <c r="M265" s="50">
        <v>0</v>
      </c>
      <c r="N265" s="50">
        <v>0</v>
      </c>
      <c r="O265" s="394">
        <v>0</v>
      </c>
      <c r="P265" s="394">
        <v>0</v>
      </c>
    </row>
    <row r="266" spans="2:16" ht="15.5">
      <c r="B266" s="265" t="s">
        <v>620</v>
      </c>
      <c r="C266" s="50">
        <v>0</v>
      </c>
      <c r="D266" s="50">
        <v>0</v>
      </c>
      <c r="E266" s="50">
        <v>0</v>
      </c>
      <c r="F266" s="50">
        <v>0</v>
      </c>
      <c r="G266" s="50">
        <v>0</v>
      </c>
      <c r="H266" s="50">
        <v>0</v>
      </c>
      <c r="I266" s="50">
        <v>0</v>
      </c>
      <c r="J266" s="50">
        <v>0</v>
      </c>
      <c r="K266" s="50">
        <v>0</v>
      </c>
      <c r="L266" s="50">
        <v>0</v>
      </c>
      <c r="M266" s="50">
        <v>0</v>
      </c>
      <c r="N266" s="50">
        <v>0</v>
      </c>
      <c r="O266" s="394">
        <v>0</v>
      </c>
      <c r="P266" s="394">
        <v>0</v>
      </c>
    </row>
    <row r="267" spans="2:16" ht="15.5">
      <c r="B267" s="265" t="s">
        <v>621</v>
      </c>
      <c r="C267" s="50">
        <v>545</v>
      </c>
      <c r="D267" s="50">
        <v>-5224</v>
      </c>
      <c r="E267" s="50">
        <v>-5657</v>
      </c>
      <c r="F267" s="50">
        <v>-5657</v>
      </c>
      <c r="G267" s="50">
        <v>-5657</v>
      </c>
      <c r="H267" s="50">
        <v>-5657</v>
      </c>
      <c r="I267" s="50">
        <v>-4756</v>
      </c>
      <c r="J267" s="50">
        <v>-4756</v>
      </c>
      <c r="K267" s="50">
        <v>-4756</v>
      </c>
      <c r="L267" s="50">
        <v>-4756</v>
      </c>
      <c r="M267" s="50">
        <v>-3834</v>
      </c>
      <c r="N267" s="50">
        <v>-3834</v>
      </c>
      <c r="O267" s="394">
        <v>-3834</v>
      </c>
      <c r="P267" s="394">
        <v>-3834.435778</v>
      </c>
    </row>
    <row r="268" spans="2:16" ht="15.5">
      <c r="B268" s="265" t="s">
        <v>622</v>
      </c>
      <c r="C268" s="50">
        <v>-5768</v>
      </c>
      <c r="D268" s="50">
        <v>-433</v>
      </c>
      <c r="E268" s="50">
        <v>69</v>
      </c>
      <c r="F268" s="50">
        <v>94</v>
      </c>
      <c r="G268" s="50">
        <v>-48</v>
      </c>
      <c r="H268" s="50">
        <v>900</v>
      </c>
      <c r="I268" s="50">
        <v>-44</v>
      </c>
      <c r="J268" s="50">
        <v>278</v>
      </c>
      <c r="K268" s="50">
        <v>831</v>
      </c>
      <c r="L268" s="50">
        <v>922</v>
      </c>
      <c r="M268" s="50">
        <v>-644</v>
      </c>
      <c r="N268" s="50">
        <v>-1439</v>
      </c>
      <c r="O268" s="394">
        <v>-2083</v>
      </c>
      <c r="P268" s="394">
        <v>-12273.017712000001</v>
      </c>
    </row>
    <row r="269" spans="2:16" ht="15.5">
      <c r="B269" s="265" t="s">
        <v>623</v>
      </c>
      <c r="C269" s="50">
        <v>0</v>
      </c>
      <c r="D269" s="50">
        <v>0</v>
      </c>
      <c r="E269" s="50">
        <v>0</v>
      </c>
      <c r="F269" s="50">
        <v>0</v>
      </c>
      <c r="G269" s="50">
        <v>0</v>
      </c>
      <c r="H269" s="50">
        <v>0</v>
      </c>
      <c r="I269" s="50">
        <v>0</v>
      </c>
      <c r="J269" s="50">
        <v>0</v>
      </c>
      <c r="K269" s="50">
        <v>0</v>
      </c>
      <c r="L269" s="50">
        <v>0</v>
      </c>
      <c r="M269" s="50">
        <v>0</v>
      </c>
      <c r="N269" s="50">
        <v>0</v>
      </c>
      <c r="O269" s="394">
        <v>0</v>
      </c>
      <c r="P269" s="394">
        <v>0</v>
      </c>
    </row>
    <row r="270" spans="2:16" ht="15">
      <c r="B270" s="263" t="s">
        <v>624</v>
      </c>
      <c r="C270" s="246">
        <f t="shared" ref="C270:N270" si="30">SUM(C264:C269)</f>
        <v>24976</v>
      </c>
      <c r="D270" s="246">
        <f t="shared" si="30"/>
        <v>24542</v>
      </c>
      <c r="E270" s="246">
        <f t="shared" si="30"/>
        <v>24611</v>
      </c>
      <c r="F270" s="246">
        <f t="shared" si="30"/>
        <v>24636</v>
      </c>
      <c r="G270" s="246">
        <f t="shared" si="30"/>
        <v>24494</v>
      </c>
      <c r="H270" s="246">
        <f t="shared" si="30"/>
        <v>25442</v>
      </c>
      <c r="I270" s="246">
        <f t="shared" si="30"/>
        <v>25399</v>
      </c>
      <c r="J270" s="246">
        <f t="shared" si="30"/>
        <v>25721</v>
      </c>
      <c r="K270" s="246">
        <f t="shared" si="30"/>
        <v>26274</v>
      </c>
      <c r="L270" s="246">
        <f t="shared" si="30"/>
        <v>26365</v>
      </c>
      <c r="M270" s="246">
        <f t="shared" si="30"/>
        <v>25721</v>
      </c>
      <c r="N270" s="246">
        <f t="shared" si="30"/>
        <v>24926</v>
      </c>
      <c r="O270" s="301">
        <v>24282</v>
      </c>
      <c r="P270" s="301">
        <f>SUM(P264:P269)</f>
        <v>14091.572111000001</v>
      </c>
    </row>
    <row r="271" spans="2:16" ht="15">
      <c r="B271" s="65" t="s">
        <v>625</v>
      </c>
      <c r="C271" s="245">
        <f t="shared" ref="C271:N271" si="31">+C261+C270</f>
        <v>150015</v>
      </c>
      <c r="D271" s="245">
        <f t="shared" si="31"/>
        <v>135060</v>
      </c>
      <c r="E271" s="245">
        <f t="shared" si="31"/>
        <v>125840</v>
      </c>
      <c r="F271" s="245">
        <f t="shared" si="31"/>
        <v>128836</v>
      </c>
      <c r="G271" s="245">
        <f t="shared" si="31"/>
        <v>113982</v>
      </c>
      <c r="H271" s="245">
        <f t="shared" si="31"/>
        <v>117618</v>
      </c>
      <c r="I271" s="245">
        <f t="shared" si="31"/>
        <v>108818</v>
      </c>
      <c r="J271" s="245">
        <f t="shared" si="31"/>
        <v>111355</v>
      </c>
      <c r="K271" s="245">
        <f t="shared" si="31"/>
        <v>102220</v>
      </c>
      <c r="L271" s="245">
        <f t="shared" si="31"/>
        <v>104641</v>
      </c>
      <c r="M271" s="245">
        <f t="shared" si="31"/>
        <v>96099</v>
      </c>
      <c r="N271" s="245">
        <f t="shared" si="31"/>
        <v>95897</v>
      </c>
      <c r="O271" s="300">
        <v>81955</v>
      </c>
      <c r="P271" s="300">
        <f>+P261+P270</f>
        <v>79114.659327000001</v>
      </c>
    </row>
    <row r="272" spans="2:16" ht="15.5">
      <c r="O272" s="397"/>
      <c r="P272" s="185"/>
    </row>
    <row r="273" spans="2:16" ht="15.5">
      <c r="O273" s="397"/>
      <c r="P273" s="185"/>
    </row>
    <row r="274" spans="2:16" ht="15.5">
      <c r="B274" s="236" t="s">
        <v>506</v>
      </c>
      <c r="C274" s="75"/>
      <c r="D274" s="75"/>
      <c r="E274" s="76"/>
      <c r="F274" s="75"/>
      <c r="G274" s="75"/>
      <c r="H274" s="75"/>
      <c r="I274" s="76"/>
      <c r="J274" s="75"/>
      <c r="K274" s="75"/>
      <c r="L274" s="75"/>
      <c r="M274" s="76"/>
      <c r="N274" s="75"/>
      <c r="O274" s="75"/>
      <c r="P274" s="185"/>
    </row>
    <row r="275" spans="2:16" ht="15.5">
      <c r="B275" s="142" t="s">
        <v>563</v>
      </c>
      <c r="C275" s="5"/>
      <c r="D275" s="5"/>
      <c r="E275" s="5"/>
      <c r="F275" s="5"/>
      <c r="G275" s="5"/>
      <c r="H275" s="5"/>
      <c r="I275" s="5"/>
      <c r="J275" s="5"/>
      <c r="K275" s="5"/>
      <c r="L275" s="5"/>
      <c r="M275" s="5"/>
      <c r="N275" s="5"/>
      <c r="O275" s="397"/>
      <c r="P275" s="185"/>
    </row>
    <row r="276" spans="2:16" ht="6.65" customHeight="1">
      <c r="B276" s="77"/>
      <c r="C276" s="77"/>
      <c r="D276" s="77"/>
      <c r="E276" s="77"/>
      <c r="F276" s="77"/>
      <c r="G276" s="77"/>
      <c r="H276" s="77"/>
      <c r="I276" s="77"/>
      <c r="J276" s="77"/>
      <c r="K276" s="77"/>
      <c r="L276" s="77"/>
      <c r="M276" s="77"/>
      <c r="N276" s="77"/>
      <c r="O276" s="77"/>
      <c r="P276" s="185"/>
    </row>
    <row r="277" spans="2:16" ht="15">
      <c r="B277" s="78"/>
      <c r="C277" s="79">
        <v>2016</v>
      </c>
      <c r="D277" s="79">
        <v>2017</v>
      </c>
      <c r="E277" s="79" t="s">
        <v>626</v>
      </c>
      <c r="F277" s="79" t="s">
        <v>627</v>
      </c>
      <c r="G277" s="79" t="s">
        <v>628</v>
      </c>
      <c r="H277" s="79" t="s">
        <v>629</v>
      </c>
      <c r="I277" s="79" t="s">
        <v>630</v>
      </c>
      <c r="J277" s="79" t="s">
        <v>631</v>
      </c>
      <c r="K277" s="79" t="s">
        <v>632</v>
      </c>
      <c r="L277" s="79" t="s">
        <v>633</v>
      </c>
      <c r="M277" s="79" t="s">
        <v>11</v>
      </c>
      <c r="N277" s="79" t="s">
        <v>12</v>
      </c>
      <c r="O277" s="296" t="s">
        <v>685</v>
      </c>
      <c r="P277" s="647" t="s">
        <v>1131</v>
      </c>
    </row>
    <row r="278" spans="2:16" ht="7" customHeight="1">
      <c r="B278" s="178"/>
      <c r="C278" s="81"/>
      <c r="D278" s="81"/>
      <c r="E278" s="81"/>
      <c r="F278" s="81"/>
      <c r="G278" s="81"/>
      <c r="H278" s="81"/>
      <c r="I278" s="81"/>
      <c r="J278" s="81"/>
      <c r="K278" s="81"/>
      <c r="L278" s="81"/>
      <c r="M278" s="81"/>
      <c r="N278" s="81"/>
      <c r="O278" s="77"/>
      <c r="P278" s="185"/>
    </row>
    <row r="279" spans="2:16" ht="15.5">
      <c r="B279" s="179" t="s">
        <v>564</v>
      </c>
      <c r="C279" s="13">
        <v>281</v>
      </c>
      <c r="D279" s="13">
        <v>2025</v>
      </c>
      <c r="E279" s="13">
        <v>1717</v>
      </c>
      <c r="F279" s="13">
        <v>6658</v>
      </c>
      <c r="G279" s="13">
        <v>2706</v>
      </c>
      <c r="H279" s="13">
        <v>987</v>
      </c>
      <c r="I279" s="13">
        <v>2324</v>
      </c>
      <c r="J279" s="13">
        <v>553</v>
      </c>
      <c r="K279" s="13">
        <v>1113</v>
      </c>
      <c r="L279" s="13">
        <v>13380</v>
      </c>
      <c r="M279" s="13">
        <v>11145</v>
      </c>
      <c r="N279" s="13">
        <v>12270</v>
      </c>
      <c r="O279" s="380">
        <v>10653</v>
      </c>
      <c r="P279" s="380">
        <v>6157.2590990000008</v>
      </c>
    </row>
    <row r="280" spans="2:16" ht="15.5">
      <c r="B280" s="179" t="s">
        <v>565</v>
      </c>
      <c r="C280" s="13">
        <v>249</v>
      </c>
      <c r="D280" s="13">
        <v>1792</v>
      </c>
      <c r="E280" s="13">
        <v>1519</v>
      </c>
      <c r="F280" s="13">
        <v>5893</v>
      </c>
      <c r="G280" s="13">
        <v>2395</v>
      </c>
      <c r="H280" s="13">
        <v>873</v>
      </c>
      <c r="I280" s="13">
        <v>2057</v>
      </c>
      <c r="J280" s="13">
        <v>489</v>
      </c>
      <c r="K280" s="13">
        <v>985</v>
      </c>
      <c r="L280" s="13">
        <v>11873</v>
      </c>
      <c r="M280" s="13">
        <v>9690</v>
      </c>
      <c r="N280" s="13">
        <v>10676</v>
      </c>
      <c r="O280" s="380">
        <v>9266</v>
      </c>
      <c r="P280" s="380">
        <v>5354.1383469999992</v>
      </c>
    </row>
    <row r="281" spans="2:16" ht="15.5">
      <c r="B281" s="182" t="s">
        <v>566</v>
      </c>
      <c r="C281" s="15">
        <f t="shared" ref="C281:L281" si="32">+C279-C280</f>
        <v>32</v>
      </c>
      <c r="D281" s="15">
        <f t="shared" si="32"/>
        <v>233</v>
      </c>
      <c r="E281" s="15">
        <f t="shared" si="32"/>
        <v>198</v>
      </c>
      <c r="F281" s="15">
        <f t="shared" si="32"/>
        <v>765</v>
      </c>
      <c r="G281" s="15">
        <f t="shared" si="32"/>
        <v>311</v>
      </c>
      <c r="H281" s="15">
        <f t="shared" si="32"/>
        <v>114</v>
      </c>
      <c r="I281" s="15">
        <f t="shared" si="32"/>
        <v>267</v>
      </c>
      <c r="J281" s="15">
        <f t="shared" si="32"/>
        <v>64</v>
      </c>
      <c r="K281" s="15">
        <f t="shared" si="32"/>
        <v>128</v>
      </c>
      <c r="L281" s="15">
        <f t="shared" si="32"/>
        <v>1507</v>
      </c>
      <c r="M281" s="15">
        <v>1455</v>
      </c>
      <c r="N281" s="15">
        <v>1594</v>
      </c>
      <c r="O281" s="396">
        <v>1387</v>
      </c>
      <c r="P281" s="396">
        <v>803.12075200000163</v>
      </c>
    </row>
    <row r="282" spans="2:16" ht="7.5" customHeight="1">
      <c r="B282" s="179"/>
      <c r="C282" s="13"/>
      <c r="D282" s="13"/>
      <c r="E282" s="13"/>
      <c r="F282" s="13"/>
      <c r="G282" s="13"/>
      <c r="H282" s="13"/>
      <c r="I282" s="13"/>
      <c r="J282" s="13"/>
      <c r="K282" s="13"/>
      <c r="L282" s="13"/>
      <c r="M282" s="13"/>
      <c r="N282" s="13"/>
      <c r="O282" s="380"/>
      <c r="P282" s="380"/>
    </row>
    <row r="283" spans="2:16" ht="15.5">
      <c r="B283" s="179" t="s">
        <v>567</v>
      </c>
      <c r="C283" s="13">
        <v>14032</v>
      </c>
      <c r="D283" s="13">
        <v>15860</v>
      </c>
      <c r="E283" s="13">
        <v>2584</v>
      </c>
      <c r="F283" s="13">
        <v>4469</v>
      </c>
      <c r="G283" s="13">
        <v>2569</v>
      </c>
      <c r="H283" s="13">
        <v>4866</v>
      </c>
      <c r="I283" s="13">
        <v>2907</v>
      </c>
      <c r="J283" s="13">
        <v>5764</v>
      </c>
      <c r="K283" s="13">
        <v>5506</v>
      </c>
      <c r="L283" s="13">
        <v>7111</v>
      </c>
      <c r="M283" s="13">
        <v>3365</v>
      </c>
      <c r="N283" s="13">
        <v>8256</v>
      </c>
      <c r="O283" s="380">
        <v>1453</v>
      </c>
      <c r="P283" s="380">
        <v>6265.3019939999995</v>
      </c>
    </row>
    <row r="284" spans="2:16" ht="15.5">
      <c r="B284" s="179" t="s">
        <v>568</v>
      </c>
      <c r="C284" s="13">
        <v>6914</v>
      </c>
      <c r="D284" s="13">
        <v>1873</v>
      </c>
      <c r="E284" s="13">
        <v>909</v>
      </c>
      <c r="F284" s="13">
        <v>593</v>
      </c>
      <c r="G284" s="13">
        <v>482</v>
      </c>
      <c r="H284" s="13">
        <v>267</v>
      </c>
      <c r="I284" s="13">
        <v>54</v>
      </c>
      <c r="J284" s="13">
        <v>0</v>
      </c>
      <c r="K284" s="13">
        <v>0</v>
      </c>
      <c r="L284" s="13">
        <v>0</v>
      </c>
      <c r="M284" s="13">
        <v>0</v>
      </c>
      <c r="N284" s="13">
        <v>0</v>
      </c>
      <c r="O284" s="380">
        <v>0</v>
      </c>
      <c r="P284" s="380">
        <v>0</v>
      </c>
    </row>
    <row r="285" spans="2:16" ht="15.5">
      <c r="B285" s="179" t="s">
        <v>569</v>
      </c>
      <c r="C285" s="13">
        <v>0</v>
      </c>
      <c r="D285" s="13">
        <v>0</v>
      </c>
      <c r="E285" s="13">
        <v>0</v>
      </c>
      <c r="F285" s="13">
        <v>0</v>
      </c>
      <c r="G285" s="13">
        <v>0</v>
      </c>
      <c r="H285" s="13">
        <v>0</v>
      </c>
      <c r="I285" s="13">
        <v>0</v>
      </c>
      <c r="J285" s="13">
        <v>0</v>
      </c>
      <c r="K285" s="13">
        <v>0</v>
      </c>
      <c r="L285" s="13">
        <v>0</v>
      </c>
      <c r="M285" s="13">
        <v>0</v>
      </c>
      <c r="N285" s="13">
        <v>0</v>
      </c>
      <c r="O285" s="380">
        <v>0</v>
      </c>
      <c r="P285" s="380">
        <v>0</v>
      </c>
    </row>
    <row r="286" spans="2:16" ht="15.5">
      <c r="B286" s="179" t="s">
        <v>570</v>
      </c>
      <c r="C286" s="13">
        <v>13237</v>
      </c>
      <c r="D286" s="13">
        <v>14962</v>
      </c>
      <c r="E286" s="13">
        <v>2439</v>
      </c>
      <c r="F286" s="13">
        <v>4214</v>
      </c>
      <c r="G286" s="13">
        <v>2424</v>
      </c>
      <c r="H286" s="13">
        <v>4591</v>
      </c>
      <c r="I286" s="13">
        <v>2422</v>
      </c>
      <c r="J286" s="13">
        <v>4804</v>
      </c>
      <c r="K286" s="13">
        <v>4588</v>
      </c>
      <c r="L286" s="13">
        <v>5894</v>
      </c>
      <c r="M286" s="13">
        <v>2806</v>
      </c>
      <c r="N286" s="13">
        <v>6878</v>
      </c>
      <c r="O286" s="380">
        <v>2422</v>
      </c>
      <c r="P286" s="380">
        <v>5801.2055499999988</v>
      </c>
    </row>
    <row r="287" spans="2:16" ht="15.5">
      <c r="B287" s="182" t="s">
        <v>571</v>
      </c>
      <c r="C287" s="15">
        <f t="shared" ref="C287:L287" si="33">+SUM(C283:C285)-C286</f>
        <v>7709</v>
      </c>
      <c r="D287" s="15">
        <f t="shared" si="33"/>
        <v>2771</v>
      </c>
      <c r="E287" s="15">
        <f t="shared" si="33"/>
        <v>1054</v>
      </c>
      <c r="F287" s="15">
        <f t="shared" si="33"/>
        <v>848</v>
      </c>
      <c r="G287" s="15">
        <f t="shared" si="33"/>
        <v>627</v>
      </c>
      <c r="H287" s="15">
        <f t="shared" si="33"/>
        <v>542</v>
      </c>
      <c r="I287" s="15">
        <f t="shared" si="33"/>
        <v>539</v>
      </c>
      <c r="J287" s="15">
        <f t="shared" si="33"/>
        <v>960</v>
      </c>
      <c r="K287" s="15">
        <f t="shared" si="33"/>
        <v>918</v>
      </c>
      <c r="L287" s="15">
        <f t="shared" si="33"/>
        <v>1217</v>
      </c>
      <c r="M287" s="15">
        <v>559</v>
      </c>
      <c r="N287" s="15">
        <v>1378</v>
      </c>
      <c r="O287" s="396">
        <v>-969</v>
      </c>
      <c r="P287" s="396">
        <v>464.0964440000007</v>
      </c>
    </row>
    <row r="288" spans="2:16" ht="15.5">
      <c r="B288" s="180" t="s">
        <v>572</v>
      </c>
      <c r="C288" s="17">
        <f t="shared" ref="C288:L288" si="34">+C287+C281</f>
        <v>7741</v>
      </c>
      <c r="D288" s="17">
        <f t="shared" si="34"/>
        <v>3004</v>
      </c>
      <c r="E288" s="17">
        <f t="shared" si="34"/>
        <v>1252</v>
      </c>
      <c r="F288" s="17">
        <f t="shared" si="34"/>
        <v>1613</v>
      </c>
      <c r="G288" s="17">
        <f t="shared" si="34"/>
        <v>938</v>
      </c>
      <c r="H288" s="17">
        <f t="shared" si="34"/>
        <v>656</v>
      </c>
      <c r="I288" s="17">
        <f t="shared" si="34"/>
        <v>806</v>
      </c>
      <c r="J288" s="17">
        <f t="shared" si="34"/>
        <v>1024</v>
      </c>
      <c r="K288" s="17">
        <f t="shared" si="34"/>
        <v>1046</v>
      </c>
      <c r="L288" s="17">
        <f t="shared" si="34"/>
        <v>2724</v>
      </c>
      <c r="M288" s="17">
        <v>2014</v>
      </c>
      <c r="N288" s="17">
        <v>2972</v>
      </c>
      <c r="O288" s="381">
        <v>418</v>
      </c>
      <c r="P288" s="381">
        <v>1267.2171960000023</v>
      </c>
    </row>
    <row r="289" spans="2:16" ht="15.5">
      <c r="B289" s="10"/>
      <c r="C289" s="181"/>
      <c r="D289" s="181"/>
      <c r="E289" s="181"/>
      <c r="F289" s="181"/>
      <c r="G289" s="181"/>
      <c r="H289" s="181"/>
      <c r="I289" s="181"/>
      <c r="J289" s="181"/>
      <c r="K289" s="181"/>
      <c r="L289" s="181"/>
      <c r="M289" s="181"/>
      <c r="N289" s="181"/>
      <c r="O289" s="9"/>
      <c r="P289" s="9"/>
    </row>
    <row r="290" spans="2:16" ht="15.5">
      <c r="B290" s="179" t="s">
        <v>573</v>
      </c>
      <c r="C290" s="13">
        <v>47</v>
      </c>
      <c r="D290" s="13">
        <v>92</v>
      </c>
      <c r="E290" s="13">
        <v>66</v>
      </c>
      <c r="F290" s="13">
        <v>35</v>
      </c>
      <c r="G290" s="13">
        <v>35</v>
      </c>
      <c r="H290" s="13">
        <v>36</v>
      </c>
      <c r="I290" s="13">
        <v>83</v>
      </c>
      <c r="J290" s="13">
        <v>58</v>
      </c>
      <c r="K290" s="13">
        <v>199</v>
      </c>
      <c r="L290" s="13">
        <v>162</v>
      </c>
      <c r="M290" s="13">
        <v>60</v>
      </c>
      <c r="N290" s="13">
        <v>62</v>
      </c>
      <c r="O290" s="380">
        <v>74</v>
      </c>
      <c r="P290" s="380">
        <v>67.054520999999994</v>
      </c>
    </row>
    <row r="291" spans="2:16" ht="15.5">
      <c r="B291" s="179" t="s">
        <v>574</v>
      </c>
      <c r="C291" s="13">
        <v>0</v>
      </c>
      <c r="D291" s="13">
        <v>0</v>
      </c>
      <c r="E291" s="13">
        <v>0</v>
      </c>
      <c r="F291" s="13">
        <v>0</v>
      </c>
      <c r="G291" s="13">
        <v>0</v>
      </c>
      <c r="H291" s="13">
        <v>0</v>
      </c>
      <c r="I291" s="13">
        <v>0</v>
      </c>
      <c r="J291" s="13">
        <v>0</v>
      </c>
      <c r="K291" s="13">
        <v>0</v>
      </c>
      <c r="L291" s="13">
        <v>0</v>
      </c>
      <c r="M291" s="13">
        <v>0</v>
      </c>
      <c r="N291" s="13">
        <v>0</v>
      </c>
      <c r="O291" s="380">
        <v>0</v>
      </c>
      <c r="P291" s="380"/>
    </row>
    <row r="292" spans="2:16" ht="15.5">
      <c r="B292" s="179" t="s">
        <v>575</v>
      </c>
      <c r="C292" s="13">
        <v>24</v>
      </c>
      <c r="D292" s="13">
        <v>37</v>
      </c>
      <c r="E292" s="13">
        <v>13</v>
      </c>
      <c r="F292" s="13">
        <v>-9</v>
      </c>
      <c r="G292" s="13">
        <v>1</v>
      </c>
      <c r="H292" s="13">
        <v>-2</v>
      </c>
      <c r="I292" s="13">
        <v>78</v>
      </c>
      <c r="J292" s="13">
        <v>-69</v>
      </c>
      <c r="K292" s="13">
        <v>1</v>
      </c>
      <c r="L292" s="13">
        <v>-583</v>
      </c>
      <c r="M292" s="13">
        <v>5</v>
      </c>
      <c r="N292" s="13">
        <v>-9</v>
      </c>
      <c r="O292" s="380">
        <v>133</v>
      </c>
      <c r="P292" s="380">
        <v>-142.07255599999996</v>
      </c>
    </row>
    <row r="293" spans="2:16" ht="15.5">
      <c r="B293" s="180" t="s">
        <v>576</v>
      </c>
      <c r="C293" s="18">
        <f t="shared" ref="C293:L293" si="35">+C288-C290+C291+C292</f>
        <v>7718</v>
      </c>
      <c r="D293" s="18">
        <f t="shared" si="35"/>
        <v>2949</v>
      </c>
      <c r="E293" s="18">
        <f t="shared" si="35"/>
        <v>1199</v>
      </c>
      <c r="F293" s="18">
        <f t="shared" si="35"/>
        <v>1569</v>
      </c>
      <c r="G293" s="18">
        <f t="shared" si="35"/>
        <v>904</v>
      </c>
      <c r="H293" s="18">
        <f t="shared" si="35"/>
        <v>618</v>
      </c>
      <c r="I293" s="18">
        <f t="shared" si="35"/>
        <v>801</v>
      </c>
      <c r="J293" s="18">
        <f t="shared" si="35"/>
        <v>897</v>
      </c>
      <c r="K293" s="18">
        <f t="shared" si="35"/>
        <v>848</v>
      </c>
      <c r="L293" s="18">
        <f t="shared" si="35"/>
        <v>1979</v>
      </c>
      <c r="M293" s="18">
        <v>1959</v>
      </c>
      <c r="N293" s="18">
        <v>2901</v>
      </c>
      <c r="O293" s="382">
        <v>477</v>
      </c>
      <c r="P293" s="382">
        <v>1058.0901190000022</v>
      </c>
    </row>
    <row r="294" spans="2:16" ht="15.5">
      <c r="B294" s="179"/>
      <c r="C294" s="13"/>
      <c r="D294" s="13"/>
      <c r="E294" s="13"/>
      <c r="F294" s="13"/>
      <c r="G294" s="13"/>
      <c r="H294" s="13"/>
      <c r="I294" s="13"/>
      <c r="J294" s="13"/>
      <c r="K294" s="13"/>
      <c r="L294" s="13"/>
      <c r="M294" s="13"/>
      <c r="N294" s="13"/>
      <c r="O294" s="380"/>
      <c r="P294" s="380"/>
    </row>
    <row r="295" spans="2:16" ht="15.5">
      <c r="B295" s="179" t="s">
        <v>577</v>
      </c>
      <c r="C295" s="13">
        <v>-6803</v>
      </c>
      <c r="D295" s="13">
        <v>-3251</v>
      </c>
      <c r="E295" s="13">
        <v>-392</v>
      </c>
      <c r="F295" s="13">
        <v>-173</v>
      </c>
      <c r="G295" s="13">
        <v>-117</v>
      </c>
      <c r="H295" s="13">
        <v>95</v>
      </c>
      <c r="I295" s="13">
        <v>189</v>
      </c>
      <c r="J295" s="13">
        <v>143</v>
      </c>
      <c r="K295" s="13">
        <v>264</v>
      </c>
      <c r="L295" s="13">
        <v>162</v>
      </c>
      <c r="M295" s="13">
        <v>112</v>
      </c>
      <c r="N295" s="13">
        <v>183</v>
      </c>
      <c r="O295" s="380">
        <v>17</v>
      </c>
      <c r="P295" s="380">
        <v>226.27019899999999</v>
      </c>
    </row>
    <row r="296" spans="2:16" ht="15.5">
      <c r="B296" s="180" t="s">
        <v>578</v>
      </c>
      <c r="C296" s="18">
        <f t="shared" ref="C296:L296" si="36">+C293+C295</f>
        <v>915</v>
      </c>
      <c r="D296" s="18">
        <f t="shared" si="36"/>
        <v>-302</v>
      </c>
      <c r="E296" s="18">
        <f t="shared" si="36"/>
        <v>807</v>
      </c>
      <c r="F296" s="18">
        <f t="shared" si="36"/>
        <v>1396</v>
      </c>
      <c r="G296" s="18">
        <f t="shared" si="36"/>
        <v>787</v>
      </c>
      <c r="H296" s="18">
        <f t="shared" si="36"/>
        <v>713</v>
      </c>
      <c r="I296" s="18">
        <f t="shared" si="36"/>
        <v>990</v>
      </c>
      <c r="J296" s="18">
        <f t="shared" si="36"/>
        <v>1040</v>
      </c>
      <c r="K296" s="18">
        <f t="shared" si="36"/>
        <v>1112</v>
      </c>
      <c r="L296" s="18">
        <f t="shared" si="36"/>
        <v>2141</v>
      </c>
      <c r="M296" s="18">
        <v>2071</v>
      </c>
      <c r="N296" s="18">
        <v>3084</v>
      </c>
      <c r="O296" s="382">
        <v>494</v>
      </c>
      <c r="P296" s="382">
        <v>1284.3603180000023</v>
      </c>
    </row>
    <row r="297" spans="2:16" ht="15.5">
      <c r="B297" s="10"/>
      <c r="C297" s="181"/>
      <c r="D297" s="181"/>
      <c r="E297" s="181"/>
      <c r="F297" s="181"/>
      <c r="G297" s="181"/>
      <c r="H297" s="181"/>
      <c r="I297" s="181"/>
      <c r="J297" s="181"/>
      <c r="K297" s="181"/>
      <c r="L297" s="181"/>
      <c r="M297" s="181"/>
      <c r="N297" s="181"/>
      <c r="O297" s="9"/>
      <c r="P297" s="9"/>
    </row>
    <row r="298" spans="2:16" ht="15.5">
      <c r="B298" s="179" t="s">
        <v>579</v>
      </c>
      <c r="C298" s="13">
        <v>1424</v>
      </c>
      <c r="D298" s="13">
        <v>224</v>
      </c>
      <c r="E298" s="13">
        <v>116</v>
      </c>
      <c r="F298" s="13">
        <v>353</v>
      </c>
      <c r="G298" s="13">
        <v>162</v>
      </c>
      <c r="H298" s="13">
        <v>-2437</v>
      </c>
      <c r="I298" s="13">
        <v>268</v>
      </c>
      <c r="J298" s="13">
        <v>126</v>
      </c>
      <c r="K298" s="13">
        <v>245</v>
      </c>
      <c r="L298" s="13">
        <v>-1597</v>
      </c>
      <c r="M298" s="13">
        <v>459</v>
      </c>
      <c r="N298" s="13">
        <v>1166</v>
      </c>
      <c r="O298" s="380">
        <v>-152</v>
      </c>
      <c r="P298" s="380">
        <v>1869.7620349999997</v>
      </c>
    </row>
    <row r="299" spans="2:16" ht="15.5">
      <c r="B299" s="180" t="s">
        <v>580</v>
      </c>
      <c r="C299" s="18">
        <f t="shared" ref="C299:L299" si="37">+C296-C298</f>
        <v>-509</v>
      </c>
      <c r="D299" s="18">
        <f t="shared" si="37"/>
        <v>-526</v>
      </c>
      <c r="E299" s="18">
        <f t="shared" si="37"/>
        <v>691</v>
      </c>
      <c r="F299" s="18">
        <f t="shared" si="37"/>
        <v>1043</v>
      </c>
      <c r="G299" s="18">
        <f t="shared" si="37"/>
        <v>625</v>
      </c>
      <c r="H299" s="18">
        <f t="shared" si="37"/>
        <v>3150</v>
      </c>
      <c r="I299" s="18">
        <f t="shared" si="37"/>
        <v>722</v>
      </c>
      <c r="J299" s="18">
        <f t="shared" si="37"/>
        <v>914</v>
      </c>
      <c r="K299" s="18">
        <f t="shared" si="37"/>
        <v>867</v>
      </c>
      <c r="L299" s="18">
        <f t="shared" si="37"/>
        <v>3738</v>
      </c>
      <c r="M299" s="18">
        <v>1612</v>
      </c>
      <c r="N299" s="18">
        <v>1918</v>
      </c>
      <c r="O299" s="382">
        <v>646</v>
      </c>
      <c r="P299" s="382">
        <v>-585.40171699999746</v>
      </c>
    </row>
    <row r="300" spans="2:16" ht="15.5">
      <c r="O300" s="397"/>
      <c r="P300" s="185"/>
    </row>
    <row r="301" spans="2:16" ht="15.5">
      <c r="B301" s="236" t="s">
        <v>507</v>
      </c>
      <c r="C301" s="5"/>
      <c r="D301" s="5"/>
      <c r="E301" s="5"/>
      <c r="F301" s="5"/>
      <c r="G301" s="5"/>
      <c r="H301" s="20"/>
      <c r="I301" s="20"/>
      <c r="J301" s="20"/>
      <c r="K301" s="20"/>
      <c r="L301" s="20"/>
      <c r="M301" s="20"/>
      <c r="N301" s="20"/>
      <c r="O301" s="362"/>
      <c r="P301" s="185"/>
    </row>
    <row r="302" spans="2:16" ht="15">
      <c r="B302" s="142" t="s">
        <v>563</v>
      </c>
      <c r="C302" s="5"/>
      <c r="D302" s="5"/>
      <c r="E302" s="5"/>
      <c r="F302" s="5"/>
      <c r="G302" s="5"/>
      <c r="H302" s="22"/>
      <c r="I302" s="22"/>
      <c r="J302" s="22"/>
      <c r="K302" s="22"/>
      <c r="L302" s="22"/>
      <c r="M302" s="22"/>
      <c r="N302" s="22"/>
      <c r="O302" s="363"/>
      <c r="P302" s="185"/>
    </row>
    <row r="303" spans="2:16" ht="15.5">
      <c r="B303" s="23"/>
      <c r="C303" s="5"/>
      <c r="D303" s="5"/>
      <c r="E303" s="5"/>
      <c r="F303" s="5"/>
      <c r="G303" s="5"/>
      <c r="H303" s="23"/>
      <c r="I303" s="23"/>
      <c r="J303" s="23"/>
      <c r="K303" s="23"/>
      <c r="L303" s="23"/>
      <c r="M303" s="23"/>
      <c r="N303" s="23"/>
      <c r="O303" s="364"/>
      <c r="P303" s="185"/>
    </row>
    <row r="304" spans="2:16" ht="15.5" thickBot="1">
      <c r="B304" s="261"/>
      <c r="C304" s="90">
        <v>2016</v>
      </c>
      <c r="D304" s="90">
        <v>2017</v>
      </c>
      <c r="E304" s="90" t="s">
        <v>626</v>
      </c>
      <c r="F304" s="90" t="s">
        <v>627</v>
      </c>
      <c r="G304" s="90" t="s">
        <v>628</v>
      </c>
      <c r="H304" s="90" t="s">
        <v>629</v>
      </c>
      <c r="I304" s="90" t="s">
        <v>630</v>
      </c>
      <c r="J304" s="90" t="s">
        <v>631</v>
      </c>
      <c r="K304" s="90" t="s">
        <v>632</v>
      </c>
      <c r="L304" s="90" t="s">
        <v>633</v>
      </c>
      <c r="M304" s="90" t="s">
        <v>11</v>
      </c>
      <c r="N304" s="90" t="s">
        <v>12</v>
      </c>
      <c r="O304" s="401" t="s">
        <v>685</v>
      </c>
      <c r="P304" s="401" t="s">
        <v>1131</v>
      </c>
    </row>
    <row r="305" spans="2:16" ht="15">
      <c r="B305" s="239" t="s">
        <v>581</v>
      </c>
      <c r="C305" s="240"/>
      <c r="D305" s="240"/>
      <c r="E305" s="240"/>
      <c r="F305" s="240"/>
      <c r="G305" s="240"/>
      <c r="H305" s="240"/>
      <c r="I305" s="240"/>
      <c r="J305" s="240"/>
      <c r="K305" s="240"/>
      <c r="L305" s="262"/>
      <c r="M305" s="262"/>
      <c r="N305" s="262"/>
      <c r="O305" s="402"/>
      <c r="P305" s="402"/>
    </row>
    <row r="306" spans="2:16" ht="15">
      <c r="B306" s="263" t="s">
        <v>582</v>
      </c>
      <c r="C306" s="264"/>
      <c r="D306" s="264"/>
      <c r="E306" s="264"/>
      <c r="F306" s="264"/>
      <c r="G306" s="264"/>
      <c r="H306" s="264"/>
      <c r="I306" s="264"/>
      <c r="J306" s="264"/>
      <c r="K306" s="264"/>
      <c r="L306" s="264"/>
      <c r="M306" s="264"/>
      <c r="N306" s="264"/>
      <c r="O306" s="298"/>
      <c r="P306" s="298"/>
    </row>
    <row r="307" spans="2:16" ht="15.5">
      <c r="B307" s="265" t="s">
        <v>583</v>
      </c>
      <c r="C307" s="50">
        <v>8589</v>
      </c>
      <c r="D307" s="50">
        <v>9002</v>
      </c>
      <c r="E307" s="50">
        <v>11478</v>
      </c>
      <c r="F307" s="50">
        <v>20549</v>
      </c>
      <c r="G307" s="50">
        <v>17385</v>
      </c>
      <c r="H307" s="50">
        <v>14719</v>
      </c>
      <c r="I307" s="50">
        <v>24671</v>
      </c>
      <c r="J307" s="50">
        <v>26403</v>
      </c>
      <c r="K307" s="50">
        <v>5</v>
      </c>
      <c r="L307" s="50">
        <v>4</v>
      </c>
      <c r="M307" s="50">
        <v>10</v>
      </c>
      <c r="N307" s="50">
        <v>8</v>
      </c>
      <c r="O307" s="394">
        <v>9</v>
      </c>
      <c r="P307" s="394">
        <v>241.61016900000001</v>
      </c>
    </row>
    <row r="308" spans="2:16" ht="15.5">
      <c r="B308" s="265" t="s">
        <v>584</v>
      </c>
      <c r="C308" s="50">
        <f>76947+3878</f>
        <v>80825</v>
      </c>
      <c r="D308" s="50">
        <f>51539+3178</f>
        <v>54717</v>
      </c>
      <c r="E308" s="50">
        <v>30369</v>
      </c>
      <c r="F308" s="50">
        <v>24774</v>
      </c>
      <c r="G308" s="50">
        <v>16799</v>
      </c>
      <c r="H308" s="50">
        <v>11076</v>
      </c>
      <c r="I308" s="50">
        <v>5068</v>
      </c>
      <c r="J308" s="50">
        <v>4100</v>
      </c>
      <c r="K308" s="50">
        <v>34636</v>
      </c>
      <c r="L308" s="50">
        <v>21856</v>
      </c>
      <c r="M308" s="50">
        <v>48130</v>
      </c>
      <c r="N308" s="50">
        <v>51856</v>
      </c>
      <c r="O308" s="394">
        <v>16679</v>
      </c>
      <c r="P308" s="394">
        <v>19389.040292999998</v>
      </c>
    </row>
    <row r="309" spans="2:16" ht="15.5">
      <c r="B309" s="265" t="s">
        <v>585</v>
      </c>
      <c r="C309" s="50">
        <v>7</v>
      </c>
      <c r="D309" s="50">
        <v>11</v>
      </c>
      <c r="E309" s="50">
        <v>11</v>
      </c>
      <c r="F309" s="50">
        <v>11</v>
      </c>
      <c r="G309" s="50">
        <v>178</v>
      </c>
      <c r="H309" s="50">
        <v>8</v>
      </c>
      <c r="I309" s="50">
        <v>12</v>
      </c>
      <c r="J309" s="50">
        <v>12</v>
      </c>
      <c r="K309" s="50">
        <v>257</v>
      </c>
      <c r="L309" s="50">
        <v>394</v>
      </c>
      <c r="M309" s="50">
        <v>8</v>
      </c>
      <c r="N309" s="50">
        <v>724</v>
      </c>
      <c r="O309" s="394">
        <v>1367</v>
      </c>
      <c r="P309" s="394">
        <v>8.1025510000000001</v>
      </c>
    </row>
    <row r="310" spans="2:16" ht="15.5">
      <c r="B310" s="265" t="s">
        <v>586</v>
      </c>
      <c r="C310" s="50">
        <v>654</v>
      </c>
      <c r="D310" s="50">
        <v>565</v>
      </c>
      <c r="E310" s="50">
        <v>881</v>
      </c>
      <c r="F310" s="50">
        <v>1375</v>
      </c>
      <c r="G310" s="50">
        <v>724</v>
      </c>
      <c r="H310" s="50">
        <v>972</v>
      </c>
      <c r="I310" s="50">
        <v>463</v>
      </c>
      <c r="J310" s="50">
        <v>344</v>
      </c>
      <c r="K310" s="50">
        <v>219</v>
      </c>
      <c r="L310" s="50">
        <v>602</v>
      </c>
      <c r="M310" s="50">
        <v>1593</v>
      </c>
      <c r="N310" s="50">
        <v>870</v>
      </c>
      <c r="O310" s="394">
        <v>400</v>
      </c>
      <c r="P310" s="394">
        <v>240.82564099999999</v>
      </c>
    </row>
    <row r="311" spans="2:16" ht="15.5">
      <c r="B311" s="265" t="s">
        <v>587</v>
      </c>
      <c r="C311" s="50">
        <v>0</v>
      </c>
      <c r="D311" s="50">
        <v>0</v>
      </c>
      <c r="E311" s="50">
        <v>0</v>
      </c>
      <c r="F311" s="50">
        <v>0</v>
      </c>
      <c r="G311" s="50">
        <v>0</v>
      </c>
      <c r="H311" s="50">
        <v>0</v>
      </c>
      <c r="I311" s="50">
        <v>0</v>
      </c>
      <c r="J311" s="50">
        <v>0</v>
      </c>
      <c r="K311" s="50">
        <v>0</v>
      </c>
      <c r="L311" s="50">
        <v>0</v>
      </c>
      <c r="M311" s="50">
        <v>0</v>
      </c>
      <c r="N311" s="50">
        <v>0</v>
      </c>
      <c r="O311" s="394">
        <v>0</v>
      </c>
      <c r="P311" s="394">
        <v>0</v>
      </c>
    </row>
    <row r="312" spans="2:16" ht="15.5">
      <c r="B312" s="265" t="s">
        <v>588</v>
      </c>
      <c r="C312" s="50">
        <v>0</v>
      </c>
      <c r="D312" s="50">
        <v>0</v>
      </c>
      <c r="E312" s="50">
        <v>0</v>
      </c>
      <c r="F312" s="50">
        <v>0</v>
      </c>
      <c r="G312" s="50">
        <v>0</v>
      </c>
      <c r="H312" s="50">
        <v>7265</v>
      </c>
      <c r="I312" s="50">
        <v>0</v>
      </c>
      <c r="J312" s="50">
        <v>0</v>
      </c>
      <c r="K312" s="50">
        <v>0</v>
      </c>
      <c r="L312" s="50">
        <v>23777</v>
      </c>
      <c r="M312" s="50">
        <v>0</v>
      </c>
      <c r="N312" s="50">
        <v>0</v>
      </c>
      <c r="O312" s="394">
        <v>17225</v>
      </c>
      <c r="P312" s="394">
        <v>17490.714198000001</v>
      </c>
    </row>
    <row r="313" spans="2:16" ht="15">
      <c r="B313" s="65" t="s">
        <v>589</v>
      </c>
      <c r="C313" s="245">
        <f t="shared" ref="C313:N313" si="38">SUM(C307:C312)</f>
        <v>90075</v>
      </c>
      <c r="D313" s="245">
        <f t="shared" si="38"/>
        <v>64295</v>
      </c>
      <c r="E313" s="245">
        <f t="shared" si="38"/>
        <v>42739</v>
      </c>
      <c r="F313" s="245">
        <f t="shared" si="38"/>
        <v>46709</v>
      </c>
      <c r="G313" s="245">
        <f t="shared" si="38"/>
        <v>35086</v>
      </c>
      <c r="H313" s="245">
        <f t="shared" si="38"/>
        <v>34040</v>
      </c>
      <c r="I313" s="245">
        <f t="shared" si="38"/>
        <v>30214</v>
      </c>
      <c r="J313" s="245">
        <f t="shared" si="38"/>
        <v>30859</v>
      </c>
      <c r="K313" s="245">
        <f t="shared" si="38"/>
        <v>35117</v>
      </c>
      <c r="L313" s="245">
        <f t="shared" si="38"/>
        <v>46633</v>
      </c>
      <c r="M313" s="245">
        <f t="shared" si="38"/>
        <v>49741</v>
      </c>
      <c r="N313" s="245">
        <f t="shared" si="38"/>
        <v>53458</v>
      </c>
      <c r="O313" s="300">
        <v>35680</v>
      </c>
      <c r="P313" s="300">
        <f>SUM(P307:P312)</f>
        <v>37370.292851999999</v>
      </c>
    </row>
    <row r="314" spans="2:16" ht="15">
      <c r="B314" s="263" t="s">
        <v>590</v>
      </c>
      <c r="C314" s="264"/>
      <c r="D314" s="264"/>
      <c r="E314" s="264"/>
      <c r="F314" s="264"/>
      <c r="G314" s="264"/>
      <c r="H314" s="264"/>
      <c r="I314" s="264"/>
      <c r="J314" s="264"/>
      <c r="K314" s="264"/>
      <c r="L314" s="264"/>
      <c r="M314" s="264"/>
      <c r="N314" s="264"/>
      <c r="O314" s="298"/>
      <c r="P314" s="298"/>
    </row>
    <row r="315" spans="2:16" ht="15.5">
      <c r="B315" s="265" t="s">
        <v>591</v>
      </c>
      <c r="C315" s="50">
        <v>0</v>
      </c>
      <c r="D315" s="50">
        <v>0</v>
      </c>
      <c r="E315" s="50">
        <v>0</v>
      </c>
      <c r="F315" s="50">
        <v>0</v>
      </c>
      <c r="G315" s="50">
        <v>0</v>
      </c>
      <c r="H315" s="50">
        <v>0</v>
      </c>
      <c r="I315" s="50">
        <v>0</v>
      </c>
      <c r="J315" s="50">
        <v>0</v>
      </c>
      <c r="K315" s="50">
        <v>0</v>
      </c>
      <c r="L315" s="50">
        <v>0</v>
      </c>
      <c r="M315" s="50">
        <v>0</v>
      </c>
      <c r="N315" s="50">
        <v>0</v>
      </c>
      <c r="O315" s="394">
        <v>0</v>
      </c>
      <c r="P315" s="394">
        <v>0</v>
      </c>
    </row>
    <row r="316" spans="2:16" ht="15.5">
      <c r="B316" s="265" t="s">
        <v>592</v>
      </c>
      <c r="C316" s="50">
        <v>0</v>
      </c>
      <c r="D316" s="50">
        <v>0</v>
      </c>
      <c r="E316" s="50">
        <v>0</v>
      </c>
      <c r="F316" s="50">
        <v>0</v>
      </c>
      <c r="G316" s="50">
        <v>0</v>
      </c>
      <c r="H316" s="50">
        <v>0</v>
      </c>
      <c r="I316" s="50">
        <v>0</v>
      </c>
      <c r="J316" s="50">
        <v>0</v>
      </c>
      <c r="K316" s="50">
        <v>0</v>
      </c>
      <c r="L316" s="50">
        <v>0</v>
      </c>
      <c r="M316" s="50">
        <v>0</v>
      </c>
      <c r="N316" s="50">
        <v>0</v>
      </c>
      <c r="O316" s="394">
        <v>0</v>
      </c>
      <c r="P316" s="394">
        <v>0</v>
      </c>
    </row>
    <row r="317" spans="2:16" ht="15.5">
      <c r="B317" s="265" t="s">
        <v>593</v>
      </c>
      <c r="C317" s="50">
        <v>0</v>
      </c>
      <c r="D317" s="50">
        <v>0</v>
      </c>
      <c r="E317" s="50">
        <v>0</v>
      </c>
      <c r="F317" s="50">
        <v>0</v>
      </c>
      <c r="G317" s="50">
        <v>0</v>
      </c>
      <c r="H317" s="50">
        <v>0</v>
      </c>
      <c r="I317" s="50">
        <v>0</v>
      </c>
      <c r="J317" s="50">
        <v>0</v>
      </c>
      <c r="K317" s="50">
        <v>0</v>
      </c>
      <c r="L317" s="50">
        <v>0</v>
      </c>
      <c r="M317" s="50">
        <v>0</v>
      </c>
      <c r="N317" s="50">
        <v>0</v>
      </c>
      <c r="O317" s="394">
        <v>0</v>
      </c>
      <c r="P317" s="394">
        <v>0</v>
      </c>
    </row>
    <row r="318" spans="2:16" ht="15.5">
      <c r="B318" s="265" t="s">
        <v>594</v>
      </c>
      <c r="C318" s="50">
        <v>0</v>
      </c>
      <c r="D318" s="50">
        <v>0</v>
      </c>
      <c r="E318" s="50">
        <v>0</v>
      </c>
      <c r="F318" s="50">
        <v>0</v>
      </c>
      <c r="G318" s="50">
        <v>0</v>
      </c>
      <c r="H318" s="50">
        <v>0</v>
      </c>
      <c r="I318" s="50">
        <v>0</v>
      </c>
      <c r="J318" s="50">
        <v>0</v>
      </c>
      <c r="K318" s="50">
        <v>0</v>
      </c>
      <c r="L318" s="50">
        <v>0</v>
      </c>
      <c r="M318" s="50">
        <v>0</v>
      </c>
      <c r="N318" s="50">
        <v>0</v>
      </c>
      <c r="O318" s="394">
        <v>0</v>
      </c>
      <c r="P318" s="394">
        <v>0</v>
      </c>
    </row>
    <row r="319" spans="2:16" ht="15.5">
      <c r="B319" s="265" t="s">
        <v>584</v>
      </c>
      <c r="C319" s="50">
        <v>26457</v>
      </c>
      <c r="D319" s="50">
        <v>0</v>
      </c>
      <c r="E319" s="50">
        <v>0</v>
      </c>
      <c r="F319" s="50">
        <v>0</v>
      </c>
      <c r="G319" s="50">
        <v>0</v>
      </c>
      <c r="H319" s="50">
        <v>0</v>
      </c>
      <c r="I319" s="50">
        <v>0</v>
      </c>
      <c r="J319" s="50">
        <v>0</v>
      </c>
      <c r="K319" s="50">
        <v>0</v>
      </c>
      <c r="L319" s="50">
        <v>0</v>
      </c>
      <c r="M319" s="50">
        <v>0</v>
      </c>
      <c r="N319" s="50">
        <v>0</v>
      </c>
      <c r="O319" s="394">
        <v>0</v>
      </c>
      <c r="P319" s="394">
        <v>0</v>
      </c>
    </row>
    <row r="320" spans="2:16" ht="15.5">
      <c r="B320" s="265" t="s">
        <v>595</v>
      </c>
      <c r="C320" s="50">
        <v>0</v>
      </c>
      <c r="D320" s="50">
        <v>0</v>
      </c>
      <c r="E320" s="50">
        <v>0</v>
      </c>
      <c r="F320" s="50">
        <v>0</v>
      </c>
      <c r="G320" s="50">
        <v>0</v>
      </c>
      <c r="H320" s="50">
        <v>0</v>
      </c>
      <c r="I320" s="50">
        <v>0</v>
      </c>
      <c r="J320" s="50">
        <v>0</v>
      </c>
      <c r="K320" s="50">
        <v>0</v>
      </c>
      <c r="L320" s="50">
        <v>0</v>
      </c>
      <c r="M320" s="50">
        <v>0</v>
      </c>
      <c r="N320" s="50">
        <v>0</v>
      </c>
      <c r="O320" s="394">
        <v>0</v>
      </c>
      <c r="P320" s="394">
        <v>0</v>
      </c>
    </row>
    <row r="321" spans="2:16" ht="15.5">
      <c r="B321" s="265" t="s">
        <v>596</v>
      </c>
      <c r="C321" s="50">
        <v>157</v>
      </c>
      <c r="D321" s="50">
        <v>214</v>
      </c>
      <c r="E321" s="50">
        <v>196</v>
      </c>
      <c r="F321" s="50">
        <v>181</v>
      </c>
      <c r="G321" s="50">
        <v>164</v>
      </c>
      <c r="H321" s="50">
        <v>162</v>
      </c>
      <c r="I321" s="50">
        <v>250</v>
      </c>
      <c r="J321" s="50">
        <v>152</v>
      </c>
      <c r="K321" s="50">
        <v>136</v>
      </c>
      <c r="L321" s="50">
        <v>114</v>
      </c>
      <c r="M321" s="50">
        <v>92</v>
      </c>
      <c r="N321" s="50">
        <v>70</v>
      </c>
      <c r="O321" s="394">
        <v>56</v>
      </c>
      <c r="P321" s="394">
        <v>47.91375</v>
      </c>
    </row>
    <row r="322" spans="2:16" ht="15.5">
      <c r="B322" s="265" t="s">
        <v>597</v>
      </c>
      <c r="C322" s="50">
        <v>0</v>
      </c>
      <c r="D322" s="50">
        <v>0</v>
      </c>
      <c r="E322" s="50">
        <v>0</v>
      </c>
      <c r="F322" s="50">
        <v>0</v>
      </c>
      <c r="G322" s="50">
        <v>0</v>
      </c>
      <c r="H322" s="50">
        <v>0</v>
      </c>
      <c r="I322" s="50">
        <v>0</v>
      </c>
      <c r="J322" s="50">
        <v>0</v>
      </c>
      <c r="K322" s="50">
        <v>0</v>
      </c>
      <c r="L322" s="50">
        <v>0</v>
      </c>
      <c r="M322" s="50">
        <v>0</v>
      </c>
      <c r="N322" s="50">
        <v>0</v>
      </c>
      <c r="O322" s="394">
        <v>0</v>
      </c>
      <c r="P322" s="394">
        <v>0</v>
      </c>
    </row>
    <row r="323" spans="2:16" ht="15.5">
      <c r="B323" s="265" t="s">
        <v>598</v>
      </c>
      <c r="C323" s="50">
        <v>124</v>
      </c>
      <c r="D323" s="50">
        <v>205</v>
      </c>
      <c r="E323" s="50">
        <v>187</v>
      </c>
      <c r="F323" s="50">
        <v>170</v>
      </c>
      <c r="G323" s="50">
        <v>152</v>
      </c>
      <c r="H323" s="50">
        <v>164</v>
      </c>
      <c r="I323" s="50">
        <v>150</v>
      </c>
      <c r="J323" s="50">
        <v>130</v>
      </c>
      <c r="K323" s="50">
        <v>109</v>
      </c>
      <c r="L323" s="50">
        <v>91</v>
      </c>
      <c r="M323" s="50">
        <v>70</v>
      </c>
      <c r="N323" s="50">
        <v>105</v>
      </c>
      <c r="O323" s="394">
        <v>70</v>
      </c>
      <c r="P323" s="394">
        <v>39.648566000000002</v>
      </c>
    </row>
    <row r="324" spans="2:16" ht="15.5">
      <c r="B324" s="265" t="s">
        <v>586</v>
      </c>
      <c r="C324" s="50">
        <v>0</v>
      </c>
      <c r="D324" s="50">
        <v>0</v>
      </c>
      <c r="E324" s="50">
        <v>0</v>
      </c>
      <c r="F324" s="50">
        <v>0</v>
      </c>
      <c r="G324" s="50">
        <v>0</v>
      </c>
      <c r="H324" s="50">
        <v>0</v>
      </c>
      <c r="I324" s="50">
        <v>0</v>
      </c>
      <c r="J324" s="50">
        <v>0</v>
      </c>
      <c r="K324" s="50">
        <v>0</v>
      </c>
      <c r="L324" s="50">
        <v>0</v>
      </c>
      <c r="M324" s="50">
        <v>0</v>
      </c>
      <c r="N324" s="50">
        <v>0</v>
      </c>
      <c r="O324" s="394">
        <v>0</v>
      </c>
      <c r="P324" s="394">
        <v>0</v>
      </c>
    </row>
    <row r="325" spans="2:16" ht="15.5">
      <c r="B325" s="265" t="s">
        <v>599</v>
      </c>
      <c r="C325" s="50">
        <v>1652</v>
      </c>
      <c r="D325" s="50">
        <v>1428</v>
      </c>
      <c r="E325" s="50">
        <v>1311</v>
      </c>
      <c r="F325" s="50">
        <v>959</v>
      </c>
      <c r="G325" s="50">
        <v>797</v>
      </c>
      <c r="H325" s="50">
        <v>3234</v>
      </c>
      <c r="I325" s="50">
        <v>2967</v>
      </c>
      <c r="J325" s="50">
        <v>2840</v>
      </c>
      <c r="K325" s="50">
        <v>2595</v>
      </c>
      <c r="L325" s="50">
        <v>4192</v>
      </c>
      <c r="M325" s="50">
        <v>3733</v>
      </c>
      <c r="N325" s="50">
        <v>2961</v>
      </c>
      <c r="O325" s="394">
        <v>5244</v>
      </c>
      <c r="P325" s="394">
        <v>849.11385700000005</v>
      </c>
    </row>
    <row r="326" spans="2:16" ht="15.5">
      <c r="B326" s="265" t="s">
        <v>600</v>
      </c>
      <c r="C326" s="50">
        <v>0</v>
      </c>
      <c r="D326" s="50">
        <v>0</v>
      </c>
      <c r="E326" s="50">
        <v>0</v>
      </c>
      <c r="F326" s="50">
        <v>0</v>
      </c>
      <c r="G326" s="50">
        <v>0</v>
      </c>
      <c r="H326" s="50">
        <v>0</v>
      </c>
      <c r="I326" s="50">
        <v>-8</v>
      </c>
      <c r="J326" s="50">
        <v>92</v>
      </c>
      <c r="K326" s="50">
        <v>71</v>
      </c>
      <c r="L326" s="50">
        <v>44</v>
      </c>
      <c r="M326" s="50">
        <v>27</v>
      </c>
      <c r="N326" s="50">
        <v>50</v>
      </c>
      <c r="O326" s="394">
        <v>54</v>
      </c>
      <c r="P326" s="394">
        <v>30.590509999999998</v>
      </c>
    </row>
    <row r="327" spans="2:16" ht="15.5">
      <c r="B327" s="265" t="s">
        <v>588</v>
      </c>
      <c r="C327" s="50">
        <v>0</v>
      </c>
      <c r="D327" s="50">
        <v>0</v>
      </c>
      <c r="E327" s="50">
        <v>0</v>
      </c>
      <c r="F327" s="50">
        <v>0</v>
      </c>
      <c r="G327" s="50">
        <v>0</v>
      </c>
      <c r="H327" s="50">
        <v>0</v>
      </c>
      <c r="I327" s="50">
        <v>0</v>
      </c>
      <c r="J327" s="50">
        <v>0</v>
      </c>
      <c r="K327" s="50">
        <v>0</v>
      </c>
      <c r="L327" s="50">
        <v>0</v>
      </c>
      <c r="M327" s="50">
        <v>0</v>
      </c>
      <c r="N327" s="50">
        <v>0</v>
      </c>
      <c r="O327" s="394">
        <v>0</v>
      </c>
      <c r="P327" s="394">
        <v>0</v>
      </c>
    </row>
    <row r="328" spans="2:16" ht="15">
      <c r="B328" s="263" t="s">
        <v>601</v>
      </c>
      <c r="C328" s="246">
        <f t="shared" ref="C328:N328" si="39">SUM(C315:C327)</f>
        <v>28390</v>
      </c>
      <c r="D328" s="246">
        <f t="shared" si="39"/>
        <v>1847</v>
      </c>
      <c r="E328" s="246">
        <f t="shared" si="39"/>
        <v>1694</v>
      </c>
      <c r="F328" s="246">
        <f t="shared" si="39"/>
        <v>1310</v>
      </c>
      <c r="G328" s="246">
        <f t="shared" si="39"/>
        <v>1113</v>
      </c>
      <c r="H328" s="246">
        <f t="shared" si="39"/>
        <v>3560</v>
      </c>
      <c r="I328" s="246">
        <f t="shared" si="39"/>
        <v>3359</v>
      </c>
      <c r="J328" s="246">
        <f t="shared" si="39"/>
        <v>3214</v>
      </c>
      <c r="K328" s="246">
        <f t="shared" si="39"/>
        <v>2911</v>
      </c>
      <c r="L328" s="246">
        <f t="shared" si="39"/>
        <v>4441</v>
      </c>
      <c r="M328" s="246">
        <f t="shared" si="39"/>
        <v>3922</v>
      </c>
      <c r="N328" s="246">
        <f t="shared" si="39"/>
        <v>3186</v>
      </c>
      <c r="O328" s="301">
        <v>5424</v>
      </c>
      <c r="P328" s="301">
        <f>SUM(P315:P327)</f>
        <v>967.26668300000006</v>
      </c>
    </row>
    <row r="329" spans="2:16" ht="15">
      <c r="B329" s="65" t="s">
        <v>602</v>
      </c>
      <c r="C329" s="245">
        <f t="shared" ref="C329:N329" si="40">+C313+C328</f>
        <v>118465</v>
      </c>
      <c r="D329" s="245">
        <f t="shared" si="40"/>
        <v>66142</v>
      </c>
      <c r="E329" s="245">
        <f t="shared" si="40"/>
        <v>44433</v>
      </c>
      <c r="F329" s="245">
        <f t="shared" si="40"/>
        <v>48019</v>
      </c>
      <c r="G329" s="245">
        <f t="shared" si="40"/>
        <v>36199</v>
      </c>
      <c r="H329" s="245">
        <f t="shared" si="40"/>
        <v>37600</v>
      </c>
      <c r="I329" s="245">
        <f t="shared" si="40"/>
        <v>33573</v>
      </c>
      <c r="J329" s="245">
        <f t="shared" si="40"/>
        <v>34073</v>
      </c>
      <c r="K329" s="245">
        <f t="shared" si="40"/>
        <v>38028</v>
      </c>
      <c r="L329" s="245">
        <f t="shared" si="40"/>
        <v>51074</v>
      </c>
      <c r="M329" s="245">
        <f t="shared" si="40"/>
        <v>53663</v>
      </c>
      <c r="N329" s="245">
        <f t="shared" si="40"/>
        <v>56644</v>
      </c>
      <c r="O329" s="300">
        <v>41104</v>
      </c>
      <c r="P329" s="300">
        <f>+P313+P328</f>
        <v>38337.559535</v>
      </c>
    </row>
    <row r="330" spans="2:16" ht="15">
      <c r="B330" s="67"/>
      <c r="C330" s="266"/>
      <c r="D330" s="266"/>
      <c r="E330" s="266"/>
      <c r="F330" s="266"/>
      <c r="G330" s="266"/>
      <c r="H330" s="266"/>
      <c r="I330" s="266"/>
      <c r="J330" s="266"/>
      <c r="K330" s="266"/>
      <c r="L330" s="266"/>
      <c r="M330" s="266"/>
      <c r="N330" s="266"/>
      <c r="O330" s="302"/>
      <c r="P330" s="185"/>
    </row>
    <row r="331" spans="2:16" ht="15">
      <c r="B331" s="262" t="s">
        <v>603</v>
      </c>
      <c r="C331" s="267"/>
      <c r="D331" s="267"/>
      <c r="E331" s="267"/>
      <c r="F331" s="267"/>
      <c r="G331" s="267"/>
      <c r="H331" s="267"/>
      <c r="I331" s="267"/>
      <c r="J331" s="267"/>
      <c r="K331" s="267"/>
      <c r="L331" s="267"/>
      <c r="M331" s="267"/>
      <c r="N331" s="267"/>
      <c r="O331" s="303"/>
      <c r="P331" s="303"/>
    </row>
    <row r="332" spans="2:16" ht="15">
      <c r="B332" s="263" t="s">
        <v>604</v>
      </c>
      <c r="C332" s="268"/>
      <c r="D332" s="268"/>
      <c r="E332" s="268"/>
      <c r="F332" s="268"/>
      <c r="G332" s="268"/>
      <c r="H332" s="268"/>
      <c r="I332" s="268"/>
      <c r="J332" s="268"/>
      <c r="K332" s="268"/>
      <c r="L332" s="268"/>
      <c r="M332" s="268"/>
      <c r="N332" s="268"/>
      <c r="O332" s="304"/>
      <c r="P332" s="304"/>
    </row>
    <row r="333" spans="2:16" ht="15.5">
      <c r="B333" s="265" t="s">
        <v>605</v>
      </c>
      <c r="C333" s="50">
        <v>24761</v>
      </c>
      <c r="D333" s="50">
        <v>30717</v>
      </c>
      <c r="E333" s="50">
        <v>2174</v>
      </c>
      <c r="F333" s="50">
        <v>2189</v>
      </c>
      <c r="G333" s="50">
        <v>0</v>
      </c>
      <c r="H333" s="50">
        <v>0</v>
      </c>
      <c r="I333" s="50">
        <v>0</v>
      </c>
      <c r="J333" s="50">
        <v>0</v>
      </c>
      <c r="K333" s="50">
        <v>0</v>
      </c>
      <c r="L333" s="50">
        <v>0</v>
      </c>
      <c r="M333" s="50">
        <v>0</v>
      </c>
      <c r="N333" s="50">
        <v>0</v>
      </c>
      <c r="O333" s="394">
        <v>0</v>
      </c>
      <c r="P333" s="394">
        <v>0</v>
      </c>
    </row>
    <row r="334" spans="2:16" ht="15.5">
      <c r="B334" s="265" t="s">
        <v>606</v>
      </c>
      <c r="C334" s="50">
        <v>20649</v>
      </c>
      <c r="D334" s="50">
        <v>3500</v>
      </c>
      <c r="E334" s="50">
        <v>9837</v>
      </c>
      <c r="F334" s="50">
        <v>12627</v>
      </c>
      <c r="G334" s="50">
        <v>2801</v>
      </c>
      <c r="H334" s="50">
        <v>4349</v>
      </c>
      <c r="I334" s="50">
        <v>1016</v>
      </c>
      <c r="J334" s="50">
        <v>818</v>
      </c>
      <c r="K334" s="50">
        <v>1471</v>
      </c>
      <c r="L334" s="50">
        <v>10813</v>
      </c>
      <c r="M334" s="50">
        <v>9379</v>
      </c>
      <c r="N334" s="50">
        <v>12715</v>
      </c>
      <c r="O334" s="394">
        <v>5609</v>
      </c>
      <c r="P334" s="394">
        <v>7364.4876590000003</v>
      </c>
    </row>
    <row r="335" spans="2:16" ht="15.5">
      <c r="B335" s="265" t="s">
        <v>607</v>
      </c>
      <c r="C335" s="50">
        <v>38</v>
      </c>
      <c r="D335" s="50">
        <v>0</v>
      </c>
      <c r="E335" s="50">
        <v>34</v>
      </c>
      <c r="F335" s="50">
        <v>41</v>
      </c>
      <c r="G335" s="50">
        <v>48</v>
      </c>
      <c r="H335" s="50">
        <v>38</v>
      </c>
      <c r="I335" s="50">
        <v>29</v>
      </c>
      <c r="J335" s="50">
        <v>31</v>
      </c>
      <c r="K335" s="50">
        <v>33</v>
      </c>
      <c r="L335" s="50">
        <v>40</v>
      </c>
      <c r="M335" s="50">
        <v>30</v>
      </c>
      <c r="N335" s="50">
        <v>38</v>
      </c>
      <c r="O335" s="394">
        <v>47</v>
      </c>
      <c r="P335" s="394">
        <v>50.792693999999997</v>
      </c>
    </row>
    <row r="336" spans="2:16" ht="15.5">
      <c r="B336" s="265" t="s">
        <v>585</v>
      </c>
      <c r="C336" s="50">
        <v>1592</v>
      </c>
      <c r="D336" s="50">
        <v>606</v>
      </c>
      <c r="E336" s="50">
        <v>909</v>
      </c>
      <c r="F336" s="50">
        <v>583</v>
      </c>
      <c r="G336" s="50">
        <v>12</v>
      </c>
      <c r="H336" s="50">
        <v>920</v>
      </c>
      <c r="I336" s="50">
        <v>1522</v>
      </c>
      <c r="J336" s="50">
        <v>1566</v>
      </c>
      <c r="K336" s="50">
        <v>11</v>
      </c>
      <c r="L336" s="50">
        <v>7</v>
      </c>
      <c r="M336" s="50">
        <v>3664</v>
      </c>
      <c r="N336" s="50">
        <v>399</v>
      </c>
      <c r="O336" s="394">
        <v>2537</v>
      </c>
      <c r="P336" s="394">
        <v>515.93492400000002</v>
      </c>
    </row>
    <row r="337" spans="2:16" ht="15.5">
      <c r="B337" s="265" t="s">
        <v>608</v>
      </c>
      <c r="C337" s="50">
        <v>1312</v>
      </c>
      <c r="D337" s="50">
        <v>0</v>
      </c>
      <c r="E337" s="50">
        <v>0</v>
      </c>
      <c r="F337" s="50">
        <v>0</v>
      </c>
      <c r="G337" s="50">
        <v>1825</v>
      </c>
      <c r="H337" s="50">
        <v>0</v>
      </c>
      <c r="I337" s="50">
        <v>1159</v>
      </c>
      <c r="J337" s="50">
        <v>2323</v>
      </c>
      <c r="K337" s="50">
        <v>2171</v>
      </c>
      <c r="L337" s="50">
        <v>2795</v>
      </c>
      <c r="M337" s="50">
        <v>1631</v>
      </c>
      <c r="N337" s="50">
        <v>2096</v>
      </c>
      <c r="O337" s="394">
        <v>2951</v>
      </c>
      <c r="P337" s="394">
        <v>985.47605699999997</v>
      </c>
    </row>
    <row r="338" spans="2:16" ht="15.5">
      <c r="B338" s="265" t="s">
        <v>609</v>
      </c>
      <c r="C338" s="50">
        <v>235</v>
      </c>
      <c r="D338" s="50">
        <v>251</v>
      </c>
      <c r="E338" s="50">
        <v>162</v>
      </c>
      <c r="F338" s="50">
        <v>185</v>
      </c>
      <c r="G338" s="50">
        <v>211</v>
      </c>
      <c r="H338" s="50">
        <v>238</v>
      </c>
      <c r="I338" s="50">
        <v>169</v>
      </c>
      <c r="J338" s="50">
        <v>195</v>
      </c>
      <c r="K338" s="50">
        <v>2736</v>
      </c>
      <c r="L338" s="50">
        <v>6363</v>
      </c>
      <c r="M338" s="50">
        <v>11804</v>
      </c>
      <c r="N338" s="50">
        <v>12324</v>
      </c>
      <c r="O338" s="394">
        <v>242</v>
      </c>
      <c r="P338" s="394">
        <v>288.00876299999999</v>
      </c>
    </row>
    <row r="339" spans="2:16" ht="15.5">
      <c r="B339" s="265" t="s">
        <v>610</v>
      </c>
      <c r="C339" s="50">
        <v>0</v>
      </c>
      <c r="D339" s="50">
        <v>0</v>
      </c>
      <c r="E339" s="50">
        <v>0</v>
      </c>
      <c r="F339" s="50">
        <v>0</v>
      </c>
      <c r="G339" s="50">
        <v>0</v>
      </c>
      <c r="H339" s="50">
        <v>0</v>
      </c>
      <c r="I339" s="50">
        <v>4080</v>
      </c>
      <c r="J339" s="50">
        <v>2679</v>
      </c>
      <c r="K339" s="50">
        <v>4284</v>
      </c>
      <c r="L339" s="50">
        <v>0</v>
      </c>
      <c r="M339" s="50">
        <v>0</v>
      </c>
      <c r="N339" s="50">
        <v>0</v>
      </c>
      <c r="O339" s="394">
        <v>0</v>
      </c>
      <c r="P339" s="394">
        <v>0</v>
      </c>
    </row>
    <row r="340" spans="2:16" ht="15.5">
      <c r="B340" s="265" t="s">
        <v>684</v>
      </c>
      <c r="C340" s="50">
        <v>0</v>
      </c>
      <c r="D340" s="50">
        <v>0</v>
      </c>
      <c r="E340" s="50">
        <v>0</v>
      </c>
      <c r="F340" s="50">
        <v>0</v>
      </c>
      <c r="G340" s="50">
        <v>0</v>
      </c>
      <c r="H340" s="50">
        <v>0</v>
      </c>
      <c r="I340" s="50">
        <v>0</v>
      </c>
      <c r="J340" s="50">
        <v>0</v>
      </c>
      <c r="K340" s="50">
        <v>0</v>
      </c>
      <c r="L340" s="50">
        <v>0</v>
      </c>
      <c r="M340" s="50">
        <v>0</v>
      </c>
      <c r="N340" s="50">
        <v>0</v>
      </c>
      <c r="O340" s="394">
        <v>0</v>
      </c>
      <c r="P340" s="394">
        <v>0</v>
      </c>
    </row>
    <row r="341" spans="2:16" ht="15">
      <c r="B341" s="263" t="s">
        <v>611</v>
      </c>
      <c r="C341" s="246">
        <f t="shared" ref="C341:N341" si="41">SUM(C333:C340)</f>
        <v>48587</v>
      </c>
      <c r="D341" s="246">
        <f t="shared" si="41"/>
        <v>35074</v>
      </c>
      <c r="E341" s="246">
        <f t="shared" si="41"/>
        <v>13116</v>
      </c>
      <c r="F341" s="246">
        <f t="shared" si="41"/>
        <v>15625</v>
      </c>
      <c r="G341" s="246">
        <f t="shared" si="41"/>
        <v>4897</v>
      </c>
      <c r="H341" s="246">
        <f t="shared" si="41"/>
        <v>5545</v>
      </c>
      <c r="I341" s="246">
        <f t="shared" si="41"/>
        <v>7975</v>
      </c>
      <c r="J341" s="246">
        <f t="shared" si="41"/>
        <v>7612</v>
      </c>
      <c r="K341" s="246">
        <f t="shared" si="41"/>
        <v>10706</v>
      </c>
      <c r="L341" s="246">
        <f t="shared" si="41"/>
        <v>20018</v>
      </c>
      <c r="M341" s="246">
        <f t="shared" si="41"/>
        <v>26508</v>
      </c>
      <c r="N341" s="246">
        <f t="shared" si="41"/>
        <v>27572</v>
      </c>
      <c r="O341" s="301">
        <v>11386</v>
      </c>
      <c r="P341" s="301">
        <f>SUM(P333:P340)</f>
        <v>9204.7000970000008</v>
      </c>
    </row>
    <row r="342" spans="2:16" ht="15">
      <c r="B342" s="269" t="s">
        <v>612</v>
      </c>
      <c r="C342" s="270"/>
      <c r="D342" s="270"/>
      <c r="E342" s="270"/>
      <c r="F342" s="270"/>
      <c r="G342" s="270"/>
      <c r="H342" s="270"/>
      <c r="I342" s="270"/>
      <c r="J342" s="270"/>
      <c r="K342" s="270"/>
      <c r="L342" s="270"/>
      <c r="M342" s="270"/>
      <c r="N342" s="270"/>
      <c r="O342" s="305"/>
      <c r="P342" s="305"/>
    </row>
    <row r="343" spans="2:16" ht="15.5">
      <c r="B343" s="265" t="s">
        <v>605</v>
      </c>
      <c r="C343" s="50">
        <v>26297</v>
      </c>
      <c r="D343" s="50">
        <v>2124</v>
      </c>
      <c r="E343" s="50">
        <v>1683</v>
      </c>
      <c r="F343" s="50">
        <v>1717</v>
      </c>
      <c r="G343" s="50">
        <v>0</v>
      </c>
      <c r="H343" s="50">
        <v>0</v>
      </c>
      <c r="I343" s="50">
        <v>66</v>
      </c>
      <c r="J343" s="50">
        <v>0</v>
      </c>
      <c r="K343" s="50">
        <v>0</v>
      </c>
      <c r="L343" s="50">
        <v>0</v>
      </c>
      <c r="M343" s="50">
        <v>0</v>
      </c>
      <c r="N343" s="50">
        <v>0</v>
      </c>
      <c r="O343" s="394">
        <v>0</v>
      </c>
      <c r="P343" s="394">
        <v>0</v>
      </c>
    </row>
    <row r="344" spans="2:16" ht="15.5">
      <c r="B344" s="265" t="s">
        <v>606</v>
      </c>
      <c r="C344" s="50">
        <v>14112</v>
      </c>
      <c r="D344" s="50">
        <v>0</v>
      </c>
      <c r="E344" s="50">
        <v>0</v>
      </c>
      <c r="F344" s="50">
        <v>0</v>
      </c>
      <c r="G344" s="50">
        <v>0</v>
      </c>
      <c r="H344" s="50">
        <v>0</v>
      </c>
      <c r="I344" s="50">
        <v>0</v>
      </c>
      <c r="J344" s="50">
        <v>15</v>
      </c>
      <c r="K344" s="50">
        <v>9</v>
      </c>
      <c r="L344" s="50">
        <v>5</v>
      </c>
      <c r="M344" s="50">
        <v>1</v>
      </c>
      <c r="N344" s="50">
        <v>0</v>
      </c>
      <c r="O344" s="394">
        <v>0</v>
      </c>
      <c r="P344" s="394">
        <v>0</v>
      </c>
    </row>
    <row r="345" spans="2:16" ht="15.5">
      <c r="B345" s="265" t="s">
        <v>613</v>
      </c>
      <c r="C345" s="50">
        <v>0</v>
      </c>
      <c r="D345" s="50">
        <v>0</v>
      </c>
      <c r="E345" s="50">
        <v>0</v>
      </c>
      <c r="F345" s="50">
        <v>0</v>
      </c>
      <c r="G345" s="50">
        <v>0</v>
      </c>
      <c r="H345" s="50">
        <v>0</v>
      </c>
      <c r="I345" s="50">
        <v>0</v>
      </c>
      <c r="J345" s="50">
        <v>0</v>
      </c>
      <c r="K345" s="50">
        <v>0</v>
      </c>
      <c r="L345" s="50">
        <v>0</v>
      </c>
      <c r="M345" s="50">
        <v>0</v>
      </c>
      <c r="N345" s="50">
        <v>0</v>
      </c>
      <c r="O345" s="394">
        <v>0</v>
      </c>
      <c r="P345" s="394">
        <v>0</v>
      </c>
    </row>
    <row r="346" spans="2:16" ht="15.5">
      <c r="B346" s="265" t="s">
        <v>607</v>
      </c>
      <c r="C346" s="50">
        <v>0</v>
      </c>
      <c r="D346" s="50">
        <v>0</v>
      </c>
      <c r="E346" s="50">
        <v>0</v>
      </c>
      <c r="F346" s="50">
        <v>0</v>
      </c>
      <c r="G346" s="50">
        <v>0</v>
      </c>
      <c r="H346" s="50">
        <v>0</v>
      </c>
      <c r="I346" s="50">
        <v>0</v>
      </c>
      <c r="J346" s="50">
        <v>0</v>
      </c>
      <c r="K346" s="50">
        <v>0</v>
      </c>
      <c r="L346" s="50">
        <v>0</v>
      </c>
      <c r="M346" s="50">
        <v>0</v>
      </c>
      <c r="N346" s="50">
        <v>0</v>
      </c>
      <c r="O346" s="394">
        <v>0</v>
      </c>
      <c r="P346" s="394">
        <v>0</v>
      </c>
    </row>
    <row r="347" spans="2:16" ht="15.5">
      <c r="B347" s="265" t="s">
        <v>608</v>
      </c>
      <c r="C347" s="50">
        <v>0</v>
      </c>
      <c r="D347" s="50">
        <v>0</v>
      </c>
      <c r="E347" s="50">
        <v>0</v>
      </c>
      <c r="F347" s="50">
        <v>0</v>
      </c>
      <c r="G347" s="50">
        <v>0</v>
      </c>
      <c r="H347" s="50">
        <v>0</v>
      </c>
      <c r="I347" s="50">
        <v>0</v>
      </c>
      <c r="J347" s="50">
        <v>0</v>
      </c>
      <c r="K347" s="50">
        <v>0</v>
      </c>
      <c r="L347" s="50">
        <v>0</v>
      </c>
      <c r="M347" s="50">
        <v>0</v>
      </c>
      <c r="N347" s="50">
        <v>0</v>
      </c>
      <c r="O347" s="394">
        <v>0</v>
      </c>
      <c r="P347" s="394">
        <v>0</v>
      </c>
    </row>
    <row r="348" spans="2:16" ht="15.5">
      <c r="B348" s="265" t="s">
        <v>610</v>
      </c>
      <c r="C348" s="50">
        <v>0</v>
      </c>
      <c r="D348" s="50">
        <v>0</v>
      </c>
      <c r="E348" s="50">
        <v>0</v>
      </c>
      <c r="F348" s="50">
        <v>0</v>
      </c>
      <c r="G348" s="50">
        <v>0</v>
      </c>
      <c r="H348" s="50">
        <v>0</v>
      </c>
      <c r="I348" s="50">
        <v>0</v>
      </c>
      <c r="J348" s="50">
        <v>0</v>
      </c>
      <c r="K348" s="50">
        <v>0</v>
      </c>
      <c r="L348" s="50">
        <v>0</v>
      </c>
      <c r="M348" s="50">
        <v>0</v>
      </c>
      <c r="N348" s="50">
        <v>0</v>
      </c>
      <c r="O348" s="394">
        <v>0</v>
      </c>
      <c r="P348" s="394">
        <v>0</v>
      </c>
    </row>
    <row r="349" spans="2:16" ht="15.5">
      <c r="B349" s="265" t="s">
        <v>614</v>
      </c>
      <c r="C349" s="50">
        <v>0</v>
      </c>
      <c r="D349" s="50">
        <v>0</v>
      </c>
      <c r="E349" s="50">
        <v>0</v>
      </c>
      <c r="F349" s="50">
        <v>0</v>
      </c>
      <c r="G349" s="50">
        <v>0</v>
      </c>
      <c r="H349" s="50">
        <v>0</v>
      </c>
      <c r="I349" s="50">
        <v>0</v>
      </c>
      <c r="J349" s="50">
        <v>0</v>
      </c>
      <c r="K349" s="50">
        <v>0</v>
      </c>
      <c r="L349" s="50">
        <v>0</v>
      </c>
      <c r="M349" s="50">
        <v>0</v>
      </c>
      <c r="N349" s="50">
        <v>0</v>
      </c>
      <c r="O349" s="394">
        <v>0</v>
      </c>
      <c r="P349" s="394">
        <v>0</v>
      </c>
    </row>
    <row r="350" spans="2:16" ht="15">
      <c r="B350" s="263" t="s">
        <v>615</v>
      </c>
      <c r="C350" s="246">
        <f t="shared" ref="C350:N350" si="42">SUM(C343:C349)</f>
        <v>40409</v>
      </c>
      <c r="D350" s="246">
        <f t="shared" si="42"/>
        <v>2124</v>
      </c>
      <c r="E350" s="246">
        <f t="shared" si="42"/>
        <v>1683</v>
      </c>
      <c r="F350" s="246">
        <f t="shared" si="42"/>
        <v>1717</v>
      </c>
      <c r="G350" s="246">
        <f t="shared" si="42"/>
        <v>0</v>
      </c>
      <c r="H350" s="246">
        <f t="shared" si="42"/>
        <v>0</v>
      </c>
      <c r="I350" s="246">
        <f t="shared" si="42"/>
        <v>66</v>
      </c>
      <c r="J350" s="246">
        <f t="shared" si="42"/>
        <v>15</v>
      </c>
      <c r="K350" s="246">
        <f t="shared" si="42"/>
        <v>9</v>
      </c>
      <c r="L350" s="246">
        <f t="shared" si="42"/>
        <v>5</v>
      </c>
      <c r="M350" s="246">
        <f t="shared" si="42"/>
        <v>1</v>
      </c>
      <c r="N350" s="246">
        <f t="shared" si="42"/>
        <v>0</v>
      </c>
      <c r="O350" s="301">
        <v>0</v>
      </c>
      <c r="P350" s="301">
        <v>0</v>
      </c>
    </row>
    <row r="351" spans="2:16" ht="15">
      <c r="B351" s="65" t="s">
        <v>616</v>
      </c>
      <c r="C351" s="245">
        <f t="shared" ref="C351:N351" si="43">+C341+C350</f>
        <v>88996</v>
      </c>
      <c r="D351" s="245">
        <f t="shared" si="43"/>
        <v>37198</v>
      </c>
      <c r="E351" s="245">
        <f t="shared" si="43"/>
        <v>14799</v>
      </c>
      <c r="F351" s="245">
        <f t="shared" si="43"/>
        <v>17342</v>
      </c>
      <c r="G351" s="245">
        <f t="shared" si="43"/>
        <v>4897</v>
      </c>
      <c r="H351" s="245">
        <f t="shared" si="43"/>
        <v>5545</v>
      </c>
      <c r="I351" s="245">
        <f t="shared" si="43"/>
        <v>8041</v>
      </c>
      <c r="J351" s="245">
        <f t="shared" si="43"/>
        <v>7627</v>
      </c>
      <c r="K351" s="245">
        <f t="shared" si="43"/>
        <v>10715</v>
      </c>
      <c r="L351" s="245">
        <f t="shared" si="43"/>
        <v>20023</v>
      </c>
      <c r="M351" s="245">
        <f t="shared" si="43"/>
        <v>26509</v>
      </c>
      <c r="N351" s="245">
        <f t="shared" si="43"/>
        <v>27572</v>
      </c>
      <c r="O351" s="300">
        <v>11386</v>
      </c>
      <c r="P351" s="300">
        <f>+P341+P350</f>
        <v>9204.7000970000008</v>
      </c>
    </row>
    <row r="352" spans="2:16" ht="15">
      <c r="B352" s="67"/>
      <c r="C352" s="266"/>
      <c r="D352" s="266"/>
      <c r="E352" s="266"/>
      <c r="F352" s="266"/>
      <c r="G352" s="266"/>
      <c r="H352" s="266"/>
      <c r="I352" s="266"/>
      <c r="J352" s="266"/>
      <c r="K352" s="266"/>
      <c r="L352" s="266"/>
      <c r="M352" s="266"/>
      <c r="N352" s="266"/>
      <c r="O352" s="302"/>
      <c r="P352" s="302"/>
    </row>
    <row r="353" spans="2:16" ht="15">
      <c r="B353" s="269" t="s">
        <v>617</v>
      </c>
      <c r="C353" s="270"/>
      <c r="D353" s="270"/>
      <c r="E353" s="270"/>
      <c r="F353" s="270"/>
      <c r="G353" s="270"/>
      <c r="H353" s="270"/>
      <c r="I353" s="270"/>
      <c r="J353" s="270"/>
      <c r="K353" s="270"/>
      <c r="L353" s="270"/>
      <c r="M353" s="270"/>
      <c r="N353" s="270"/>
      <c r="O353" s="305"/>
      <c r="P353" s="305"/>
    </row>
    <row r="354" spans="2:16" ht="15.5">
      <c r="B354" s="265" t="s">
        <v>618</v>
      </c>
      <c r="C354" s="50">
        <v>26546</v>
      </c>
      <c r="D354" s="50">
        <v>26546</v>
      </c>
      <c r="E354" s="50">
        <v>26546</v>
      </c>
      <c r="F354" s="50">
        <v>26546</v>
      </c>
      <c r="G354" s="50">
        <v>26546</v>
      </c>
      <c r="H354" s="50">
        <v>26546</v>
      </c>
      <c r="I354" s="50">
        <v>19301</v>
      </c>
      <c r="J354" s="50">
        <v>19301</v>
      </c>
      <c r="K354" s="50">
        <v>19301</v>
      </c>
      <c r="L354" s="50">
        <v>19301</v>
      </c>
      <c r="M354" s="50">
        <v>19301</v>
      </c>
      <c r="N354" s="50">
        <v>19301</v>
      </c>
      <c r="O354" s="394">
        <v>19301</v>
      </c>
      <c r="P354" s="394">
        <v>19301.260407000002</v>
      </c>
    </row>
    <row r="355" spans="2:16" ht="15.5">
      <c r="B355" s="265" t="s">
        <v>619</v>
      </c>
      <c r="C355" s="50">
        <v>0</v>
      </c>
      <c r="D355" s="50">
        <v>0</v>
      </c>
      <c r="E355" s="50">
        <v>0</v>
      </c>
      <c r="F355" s="50">
        <v>0</v>
      </c>
      <c r="G355" s="50">
        <v>0</v>
      </c>
      <c r="H355" s="50">
        <v>0</v>
      </c>
      <c r="I355" s="50">
        <v>0</v>
      </c>
      <c r="J355" s="50">
        <v>0</v>
      </c>
      <c r="K355" s="50">
        <v>0</v>
      </c>
      <c r="L355" s="50">
        <v>0</v>
      </c>
      <c r="M355" s="50">
        <v>0</v>
      </c>
      <c r="N355" s="50">
        <v>0</v>
      </c>
      <c r="O355" s="394">
        <v>0</v>
      </c>
      <c r="P355" s="394">
        <v>0</v>
      </c>
    </row>
    <row r="356" spans="2:16" ht="15.5">
      <c r="B356" s="265" t="s">
        <v>620</v>
      </c>
      <c r="C356" s="50">
        <v>0</v>
      </c>
      <c r="D356" s="50">
        <v>0</v>
      </c>
      <c r="E356" s="50">
        <v>0</v>
      </c>
      <c r="F356" s="50">
        <v>0</v>
      </c>
      <c r="G356" s="50">
        <v>0</v>
      </c>
      <c r="H356" s="50">
        <v>0</v>
      </c>
      <c r="I356" s="50">
        <v>0</v>
      </c>
      <c r="J356" s="50">
        <v>0</v>
      </c>
      <c r="K356" s="50">
        <v>0</v>
      </c>
      <c r="L356" s="50">
        <v>0</v>
      </c>
      <c r="M356" s="50">
        <v>0</v>
      </c>
      <c r="N356" s="50">
        <v>0</v>
      </c>
      <c r="O356" s="394">
        <v>0</v>
      </c>
      <c r="P356" s="394">
        <v>0</v>
      </c>
    </row>
    <row r="357" spans="2:16" ht="15.5">
      <c r="B357" s="265" t="s">
        <v>621</v>
      </c>
      <c r="C357" s="50">
        <v>3432</v>
      </c>
      <c r="D357" s="50">
        <v>2923</v>
      </c>
      <c r="E357" s="50">
        <v>2397</v>
      </c>
      <c r="F357" s="50">
        <v>2397</v>
      </c>
      <c r="G357" s="50">
        <v>2397</v>
      </c>
      <c r="H357" s="50">
        <v>0</v>
      </c>
      <c r="I357" s="50">
        <v>5509</v>
      </c>
      <c r="J357" s="50">
        <v>5509</v>
      </c>
      <c r="K357" s="50">
        <v>5509</v>
      </c>
      <c r="L357" s="50">
        <v>5509</v>
      </c>
      <c r="M357" s="50">
        <v>6241</v>
      </c>
      <c r="N357" s="50">
        <v>6241</v>
      </c>
      <c r="O357" s="394">
        <v>6241</v>
      </c>
      <c r="P357" s="394">
        <v>6241.2794510000003</v>
      </c>
    </row>
    <row r="358" spans="2:16" ht="15.5">
      <c r="B358" s="265" t="s">
        <v>622</v>
      </c>
      <c r="C358" s="50">
        <v>-509</v>
      </c>
      <c r="D358" s="50">
        <v>-526</v>
      </c>
      <c r="E358" s="50">
        <v>691</v>
      </c>
      <c r="F358" s="50">
        <v>1734</v>
      </c>
      <c r="G358" s="50">
        <v>2359</v>
      </c>
      <c r="H358" s="50">
        <v>5509</v>
      </c>
      <c r="I358" s="50">
        <v>722</v>
      </c>
      <c r="J358" s="50">
        <v>1636</v>
      </c>
      <c r="K358" s="50">
        <v>2503</v>
      </c>
      <c r="L358" s="50">
        <v>6241</v>
      </c>
      <c r="M358" s="50">
        <v>1612</v>
      </c>
      <c r="N358" s="50">
        <v>3530</v>
      </c>
      <c r="O358" s="394">
        <v>4176</v>
      </c>
      <c r="P358" s="394">
        <v>3590.3195780000001</v>
      </c>
    </row>
    <row r="359" spans="2:16" ht="15.5">
      <c r="B359" s="265" t="s">
        <v>623</v>
      </c>
      <c r="C359" s="50">
        <v>0</v>
      </c>
      <c r="D359" s="50">
        <v>0</v>
      </c>
      <c r="E359" s="50">
        <v>0</v>
      </c>
      <c r="F359" s="50">
        <v>0</v>
      </c>
      <c r="G359" s="50">
        <v>0</v>
      </c>
      <c r="H359" s="50">
        <v>0</v>
      </c>
      <c r="I359" s="50">
        <v>0</v>
      </c>
      <c r="J359" s="50">
        <v>0</v>
      </c>
      <c r="K359" s="50">
        <v>0</v>
      </c>
      <c r="L359" s="50">
        <v>0</v>
      </c>
      <c r="M359" s="50">
        <v>0</v>
      </c>
      <c r="N359" s="50">
        <v>0</v>
      </c>
      <c r="O359" s="394">
        <v>0</v>
      </c>
      <c r="P359" s="394">
        <v>0</v>
      </c>
    </row>
    <row r="360" spans="2:16" ht="15">
      <c r="B360" s="263" t="s">
        <v>624</v>
      </c>
      <c r="C360" s="246">
        <f t="shared" ref="C360:N360" si="44">SUM(C354:C359)</f>
        <v>29469</v>
      </c>
      <c r="D360" s="246">
        <f t="shared" si="44"/>
        <v>28943</v>
      </c>
      <c r="E360" s="246">
        <f t="shared" si="44"/>
        <v>29634</v>
      </c>
      <c r="F360" s="246">
        <f t="shared" si="44"/>
        <v>30677</v>
      </c>
      <c r="G360" s="246">
        <f t="shared" si="44"/>
        <v>31302</v>
      </c>
      <c r="H360" s="246">
        <f t="shared" si="44"/>
        <v>32055</v>
      </c>
      <c r="I360" s="246">
        <f t="shared" si="44"/>
        <v>25532</v>
      </c>
      <c r="J360" s="246">
        <f t="shared" si="44"/>
        <v>26446</v>
      </c>
      <c r="K360" s="246">
        <f t="shared" si="44"/>
        <v>27313</v>
      </c>
      <c r="L360" s="246">
        <f t="shared" si="44"/>
        <v>31051</v>
      </c>
      <c r="M360" s="246">
        <f t="shared" si="44"/>
        <v>27154</v>
      </c>
      <c r="N360" s="246">
        <f t="shared" si="44"/>
        <v>29072</v>
      </c>
      <c r="O360" s="301">
        <v>29718</v>
      </c>
      <c r="P360" s="301">
        <f>SUM(P354:P359)</f>
        <v>29132.859436000002</v>
      </c>
    </row>
    <row r="361" spans="2:16" ht="15">
      <c r="B361" s="65" t="s">
        <v>625</v>
      </c>
      <c r="C361" s="245">
        <f t="shared" ref="C361:N361" si="45">+C351+C360</f>
        <v>118465</v>
      </c>
      <c r="D361" s="245">
        <f t="shared" si="45"/>
        <v>66141</v>
      </c>
      <c r="E361" s="245">
        <f t="shared" si="45"/>
        <v>44433</v>
      </c>
      <c r="F361" s="245">
        <f t="shared" si="45"/>
        <v>48019</v>
      </c>
      <c r="G361" s="245">
        <f t="shared" si="45"/>
        <v>36199</v>
      </c>
      <c r="H361" s="245">
        <f t="shared" si="45"/>
        <v>37600</v>
      </c>
      <c r="I361" s="245">
        <f t="shared" si="45"/>
        <v>33573</v>
      </c>
      <c r="J361" s="245">
        <f t="shared" si="45"/>
        <v>34073</v>
      </c>
      <c r="K361" s="245">
        <f t="shared" si="45"/>
        <v>38028</v>
      </c>
      <c r="L361" s="245">
        <f t="shared" si="45"/>
        <v>51074</v>
      </c>
      <c r="M361" s="245">
        <f t="shared" si="45"/>
        <v>53663</v>
      </c>
      <c r="N361" s="245">
        <f t="shared" si="45"/>
        <v>56644</v>
      </c>
      <c r="O361" s="300">
        <v>41104</v>
      </c>
      <c r="P361" s="300">
        <f>+P360+P351</f>
        <v>38337.559533000007</v>
      </c>
    </row>
    <row r="362" spans="2:16" ht="15.5">
      <c r="O362" s="397"/>
      <c r="P362" s="185"/>
    </row>
    <row r="363" spans="2:16" ht="15.5">
      <c r="O363" s="397"/>
      <c r="P363" s="185"/>
    </row>
    <row r="364" spans="2:16" ht="15.5">
      <c r="B364" s="236" t="s">
        <v>508</v>
      </c>
      <c r="C364" s="75"/>
      <c r="D364" s="75"/>
      <c r="E364" s="76"/>
      <c r="F364" s="75"/>
      <c r="G364" s="75"/>
      <c r="H364" s="75"/>
      <c r="I364" s="76"/>
      <c r="J364" s="75"/>
      <c r="K364" s="75"/>
      <c r="L364" s="75"/>
      <c r="M364" s="76"/>
      <c r="N364" s="75"/>
      <c r="O364" s="75"/>
      <c r="P364" s="185"/>
    </row>
    <row r="365" spans="2:16" ht="15.5">
      <c r="B365" s="142" t="s">
        <v>563</v>
      </c>
      <c r="C365" s="5"/>
      <c r="D365" s="5"/>
      <c r="E365" s="5"/>
      <c r="F365" s="5"/>
      <c r="G365" s="5"/>
      <c r="H365" s="5"/>
      <c r="I365" s="5"/>
      <c r="J365" s="5"/>
      <c r="K365" s="5"/>
      <c r="L365" s="5"/>
      <c r="M365" s="5"/>
      <c r="N365" s="5"/>
      <c r="O365" s="397"/>
      <c r="P365" s="185"/>
    </row>
    <row r="366" spans="2:16" ht="7.5" customHeight="1">
      <c r="B366" s="77"/>
      <c r="C366" s="77"/>
      <c r="D366" s="77"/>
      <c r="E366" s="77"/>
      <c r="F366" s="77"/>
      <c r="G366" s="77"/>
      <c r="H366" s="77"/>
      <c r="I366" s="77"/>
      <c r="J366" s="77"/>
      <c r="K366" s="77"/>
      <c r="L366" s="77"/>
      <c r="M366" s="77"/>
      <c r="N366" s="77"/>
      <c r="O366" s="77"/>
      <c r="P366" s="185"/>
    </row>
    <row r="367" spans="2:16" ht="15">
      <c r="B367" s="78"/>
      <c r="C367" s="79">
        <v>2016</v>
      </c>
      <c r="D367" s="79">
        <v>2017</v>
      </c>
      <c r="E367" s="79" t="s">
        <v>626</v>
      </c>
      <c r="F367" s="79" t="s">
        <v>627</v>
      </c>
      <c r="G367" s="79" t="s">
        <v>628</v>
      </c>
      <c r="H367" s="79" t="s">
        <v>629</v>
      </c>
      <c r="I367" s="79" t="s">
        <v>630</v>
      </c>
      <c r="J367" s="79" t="s">
        <v>631</v>
      </c>
      <c r="K367" s="79" t="s">
        <v>632</v>
      </c>
      <c r="L367" s="79" t="s">
        <v>633</v>
      </c>
      <c r="M367" s="79" t="s">
        <v>11</v>
      </c>
      <c r="N367" s="79" t="s">
        <v>12</v>
      </c>
      <c r="O367" s="296" t="s">
        <v>685</v>
      </c>
      <c r="P367" s="647" t="s">
        <v>1131</v>
      </c>
    </row>
    <row r="368" spans="2:16" ht="2.5" customHeight="1">
      <c r="B368" s="178"/>
      <c r="C368" s="81"/>
      <c r="D368" s="81"/>
      <c r="E368" s="81"/>
      <c r="F368" s="81"/>
      <c r="G368" s="81"/>
      <c r="H368" s="81"/>
      <c r="I368" s="81"/>
      <c r="J368" s="81"/>
      <c r="K368" s="81"/>
      <c r="L368" s="81"/>
      <c r="M368" s="81"/>
      <c r="N368" s="81"/>
      <c r="O368" s="77"/>
      <c r="P368" s="185"/>
    </row>
    <row r="369" spans="2:16" ht="15.5">
      <c r="B369" s="179" t="s">
        <v>13</v>
      </c>
      <c r="C369" s="13">
        <v>65</v>
      </c>
      <c r="D369" s="13">
        <v>120</v>
      </c>
      <c r="E369" s="13">
        <v>105</v>
      </c>
      <c r="F369" s="13">
        <v>12</v>
      </c>
      <c r="G369" s="13">
        <v>138</v>
      </c>
      <c r="H369" s="13">
        <v>168</v>
      </c>
      <c r="I369" s="13">
        <v>1393</v>
      </c>
      <c r="J369" s="13">
        <v>717</v>
      </c>
      <c r="K369" s="13">
        <v>756</v>
      </c>
      <c r="L369" s="13">
        <v>1676</v>
      </c>
      <c r="M369" s="13">
        <v>37</v>
      </c>
      <c r="N369" s="13">
        <v>224</v>
      </c>
      <c r="O369" s="380">
        <v>141</v>
      </c>
      <c r="P369" s="380">
        <v>1015.343393</v>
      </c>
    </row>
    <row r="370" spans="2:16" ht="15.5">
      <c r="B370" s="179" t="s">
        <v>14</v>
      </c>
      <c r="C370" s="13">
        <v>58</v>
      </c>
      <c r="D370" s="13">
        <v>106</v>
      </c>
      <c r="E370" s="13">
        <v>93</v>
      </c>
      <c r="F370" s="13">
        <v>10</v>
      </c>
      <c r="G370" s="13">
        <v>123</v>
      </c>
      <c r="H370" s="13">
        <v>149</v>
      </c>
      <c r="I370" s="13">
        <v>1233</v>
      </c>
      <c r="J370" s="13">
        <v>635</v>
      </c>
      <c r="K370" s="13">
        <v>669</v>
      </c>
      <c r="L370" s="13">
        <v>1483</v>
      </c>
      <c r="M370" s="13">
        <v>32</v>
      </c>
      <c r="N370" s="13">
        <v>195</v>
      </c>
      <c r="O370" s="380">
        <v>122</v>
      </c>
      <c r="P370" s="380">
        <v>882.90729899999997</v>
      </c>
    </row>
    <row r="371" spans="2:16" ht="15.5">
      <c r="B371" s="182" t="s">
        <v>15</v>
      </c>
      <c r="C371" s="15">
        <f t="shared" ref="C371:M371" si="46">+C369-C370</f>
        <v>7</v>
      </c>
      <c r="D371" s="15">
        <f t="shared" si="46"/>
        <v>14</v>
      </c>
      <c r="E371" s="15">
        <f t="shared" si="46"/>
        <v>12</v>
      </c>
      <c r="F371" s="15">
        <f t="shared" si="46"/>
        <v>2</v>
      </c>
      <c r="G371" s="15">
        <f t="shared" si="46"/>
        <v>15</v>
      </c>
      <c r="H371" s="15">
        <f t="shared" si="46"/>
        <v>19</v>
      </c>
      <c r="I371" s="15">
        <f t="shared" si="46"/>
        <v>160</v>
      </c>
      <c r="J371" s="15">
        <f t="shared" si="46"/>
        <v>82</v>
      </c>
      <c r="K371" s="15">
        <f t="shared" si="46"/>
        <v>87</v>
      </c>
      <c r="L371" s="15">
        <f t="shared" si="46"/>
        <v>193</v>
      </c>
      <c r="M371" s="15">
        <f t="shared" si="46"/>
        <v>5</v>
      </c>
      <c r="N371" s="15">
        <f>+N369-N370</f>
        <v>29</v>
      </c>
      <c r="O371" s="396">
        <v>19</v>
      </c>
      <c r="P371" s="396">
        <v>132.43609400000003</v>
      </c>
    </row>
    <row r="372" spans="2:16" ht="7.5" customHeight="1">
      <c r="B372" s="179"/>
      <c r="C372" s="13"/>
      <c r="D372" s="13"/>
      <c r="E372" s="13"/>
      <c r="F372" s="13"/>
      <c r="G372" s="13"/>
      <c r="H372" s="13"/>
      <c r="I372" s="13"/>
      <c r="J372" s="13"/>
      <c r="K372" s="13"/>
      <c r="L372" s="13"/>
      <c r="M372" s="13"/>
      <c r="N372" s="13"/>
      <c r="O372" s="380"/>
      <c r="P372" s="380"/>
    </row>
    <row r="373" spans="2:16" ht="15.5">
      <c r="B373" s="179" t="s">
        <v>499</v>
      </c>
      <c r="C373" s="13">
        <v>9556</v>
      </c>
      <c r="D373" s="13">
        <v>8502</v>
      </c>
      <c r="E373" s="13">
        <v>3058</v>
      </c>
      <c r="F373" s="13">
        <v>2083</v>
      </c>
      <c r="G373" s="13">
        <v>1675</v>
      </c>
      <c r="H373" s="13">
        <v>2351</v>
      </c>
      <c r="I373" s="13">
        <v>3526</v>
      </c>
      <c r="J373" s="13">
        <v>2027</v>
      </c>
      <c r="K373" s="13">
        <v>1726</v>
      </c>
      <c r="L373" s="13">
        <v>2225</v>
      </c>
      <c r="M373" s="13">
        <v>3704</v>
      </c>
      <c r="N373" s="13">
        <v>2436</v>
      </c>
      <c r="O373" s="380">
        <v>1830</v>
      </c>
      <c r="P373" s="380">
        <v>2723.318949</v>
      </c>
    </row>
    <row r="374" spans="2:16" ht="15.5">
      <c r="B374" s="179" t="s">
        <v>500</v>
      </c>
      <c r="C374" s="13">
        <v>15216</v>
      </c>
      <c r="D374" s="13">
        <v>11612</v>
      </c>
      <c r="E374" s="13">
        <v>2726</v>
      </c>
      <c r="F374" s="13">
        <v>2041</v>
      </c>
      <c r="G374" s="13">
        <v>1993</v>
      </c>
      <c r="H374" s="13">
        <v>1908</v>
      </c>
      <c r="I374" s="13">
        <v>2707</v>
      </c>
      <c r="J374" s="13">
        <v>2657</v>
      </c>
      <c r="K374" s="13">
        <v>2596</v>
      </c>
      <c r="L374" s="13">
        <v>2453</v>
      </c>
      <c r="M374" s="13">
        <v>2271</v>
      </c>
      <c r="N374" s="13">
        <v>1641</v>
      </c>
      <c r="O374" s="380">
        <v>938</v>
      </c>
      <c r="P374" s="380">
        <v>-564.52588099999991</v>
      </c>
    </row>
    <row r="375" spans="2:16" ht="15.5">
      <c r="B375" s="179" t="s">
        <v>22</v>
      </c>
      <c r="C375" s="13">
        <v>0</v>
      </c>
      <c r="D375" s="13">
        <v>0</v>
      </c>
      <c r="E375" s="13">
        <v>0</v>
      </c>
      <c r="F375" s="13">
        <v>0</v>
      </c>
      <c r="G375" s="13">
        <v>0</v>
      </c>
      <c r="H375" s="13">
        <v>0</v>
      </c>
      <c r="I375" s="13">
        <v>0</v>
      </c>
      <c r="J375" s="13">
        <v>0</v>
      </c>
      <c r="K375" s="13">
        <v>0</v>
      </c>
      <c r="L375" s="13">
        <v>0</v>
      </c>
      <c r="M375" s="13">
        <v>0</v>
      </c>
      <c r="N375" s="13">
        <v>0</v>
      </c>
      <c r="O375" s="380">
        <v>0</v>
      </c>
      <c r="P375" s="380">
        <v>0</v>
      </c>
    </row>
    <row r="376" spans="2:16" ht="15.5">
      <c r="B376" s="179" t="s">
        <v>23</v>
      </c>
      <c r="C376" s="13">
        <v>9020</v>
      </c>
      <c r="D376" s="13">
        <v>8023</v>
      </c>
      <c r="E376" s="13">
        <v>2885</v>
      </c>
      <c r="F376" s="13">
        <v>1973</v>
      </c>
      <c r="G376" s="13">
        <v>1591</v>
      </c>
      <c r="H376" s="13">
        <v>2249</v>
      </c>
      <c r="I376" s="13">
        <v>3341</v>
      </c>
      <c r="J376" s="13">
        <v>1932</v>
      </c>
      <c r="K376" s="13">
        <v>1650</v>
      </c>
      <c r="L376" s="13">
        <v>2122</v>
      </c>
      <c r="M376" s="13">
        <v>3479</v>
      </c>
      <c r="N376" s="13">
        <v>2277</v>
      </c>
      <c r="O376" s="380">
        <v>1717</v>
      </c>
      <c r="P376" s="380">
        <v>2521.591617</v>
      </c>
    </row>
    <row r="377" spans="2:16" ht="15.5">
      <c r="B377" s="182" t="s">
        <v>24</v>
      </c>
      <c r="C377" s="15">
        <f t="shared" ref="C377:N377" si="47">+SUM(C373:C375)-C376</f>
        <v>15752</v>
      </c>
      <c r="D377" s="15">
        <f t="shared" si="47"/>
        <v>12091</v>
      </c>
      <c r="E377" s="15">
        <f t="shared" si="47"/>
        <v>2899</v>
      </c>
      <c r="F377" s="15">
        <f t="shared" si="47"/>
        <v>2151</v>
      </c>
      <c r="G377" s="15">
        <f t="shared" si="47"/>
        <v>2077</v>
      </c>
      <c r="H377" s="15">
        <f t="shared" si="47"/>
        <v>2010</v>
      </c>
      <c r="I377" s="15">
        <f t="shared" si="47"/>
        <v>2892</v>
      </c>
      <c r="J377" s="15">
        <f t="shared" si="47"/>
        <v>2752</v>
      </c>
      <c r="K377" s="15">
        <f t="shared" si="47"/>
        <v>2672</v>
      </c>
      <c r="L377" s="15">
        <f t="shared" si="47"/>
        <v>2556</v>
      </c>
      <c r="M377" s="15">
        <f t="shared" si="47"/>
        <v>2496</v>
      </c>
      <c r="N377" s="15">
        <f t="shared" si="47"/>
        <v>1800</v>
      </c>
      <c r="O377" s="396">
        <v>1051</v>
      </c>
      <c r="P377" s="396">
        <v>-362.79854900000009</v>
      </c>
    </row>
    <row r="378" spans="2:16" ht="15.5">
      <c r="B378" s="180" t="s">
        <v>25</v>
      </c>
      <c r="C378" s="17">
        <f t="shared" ref="C378:N378" si="48">+C377+C371</f>
        <v>15759</v>
      </c>
      <c r="D378" s="17">
        <f t="shared" si="48"/>
        <v>12105</v>
      </c>
      <c r="E378" s="17">
        <f t="shared" si="48"/>
        <v>2911</v>
      </c>
      <c r="F378" s="17">
        <f t="shared" si="48"/>
        <v>2153</v>
      </c>
      <c r="G378" s="17">
        <f t="shared" si="48"/>
        <v>2092</v>
      </c>
      <c r="H378" s="17">
        <f t="shared" si="48"/>
        <v>2029</v>
      </c>
      <c r="I378" s="17">
        <f t="shared" si="48"/>
        <v>3052</v>
      </c>
      <c r="J378" s="17">
        <f t="shared" si="48"/>
        <v>2834</v>
      </c>
      <c r="K378" s="17">
        <f t="shared" si="48"/>
        <v>2759</v>
      </c>
      <c r="L378" s="17">
        <f t="shared" si="48"/>
        <v>2749</v>
      </c>
      <c r="M378" s="17">
        <f t="shared" si="48"/>
        <v>2501</v>
      </c>
      <c r="N378" s="17">
        <f t="shared" si="48"/>
        <v>1829</v>
      </c>
      <c r="O378" s="381">
        <v>1070</v>
      </c>
      <c r="P378" s="381">
        <v>-230.36245500000007</v>
      </c>
    </row>
    <row r="379" spans="2:16" ht="15.5">
      <c r="B379" s="10"/>
      <c r="C379" s="181"/>
      <c r="D379" s="181"/>
      <c r="E379" s="181"/>
      <c r="F379" s="181"/>
      <c r="G379" s="181"/>
      <c r="H379" s="181"/>
      <c r="I379" s="181"/>
      <c r="J379" s="181"/>
      <c r="K379" s="181"/>
      <c r="L379" s="181"/>
      <c r="M379" s="181"/>
      <c r="N379" s="181"/>
      <c r="O379" s="9"/>
      <c r="P379" s="9"/>
    </row>
    <row r="380" spans="2:16" ht="15.5">
      <c r="B380" s="179" t="s">
        <v>26</v>
      </c>
      <c r="C380" s="13">
        <v>50</v>
      </c>
      <c r="D380" s="13">
        <v>61</v>
      </c>
      <c r="E380" s="13">
        <v>20</v>
      </c>
      <c r="F380" s="13">
        <v>18</v>
      </c>
      <c r="G380" s="13">
        <v>17</v>
      </c>
      <c r="H380" s="13">
        <v>19</v>
      </c>
      <c r="I380" s="13">
        <v>20</v>
      </c>
      <c r="J380" s="13">
        <v>31</v>
      </c>
      <c r="K380" s="13">
        <v>34</v>
      </c>
      <c r="L380" s="13">
        <v>35</v>
      </c>
      <c r="M380" s="13">
        <v>35</v>
      </c>
      <c r="N380" s="13">
        <v>38</v>
      </c>
      <c r="O380" s="380">
        <v>41</v>
      </c>
      <c r="P380" s="380">
        <v>38.307843999999996</v>
      </c>
    </row>
    <row r="381" spans="2:16" ht="15.5">
      <c r="B381" s="179" t="s">
        <v>27</v>
      </c>
      <c r="C381" s="13">
        <v>0</v>
      </c>
      <c r="D381" s="13">
        <v>0</v>
      </c>
      <c r="E381" s="13">
        <v>0</v>
      </c>
      <c r="F381" s="13">
        <v>0</v>
      </c>
      <c r="G381" s="13">
        <v>0</v>
      </c>
      <c r="H381" s="13">
        <v>0</v>
      </c>
      <c r="I381" s="13">
        <v>0</v>
      </c>
      <c r="J381" s="13">
        <v>0</v>
      </c>
      <c r="K381" s="13">
        <v>0</v>
      </c>
      <c r="L381" s="13">
        <v>0</v>
      </c>
      <c r="M381" s="13">
        <v>0</v>
      </c>
      <c r="N381" s="13">
        <v>0</v>
      </c>
      <c r="O381" s="380">
        <v>0</v>
      </c>
      <c r="P381" s="380"/>
    </row>
    <row r="382" spans="2:16" ht="15.5">
      <c r="B382" s="179" t="s">
        <v>28</v>
      </c>
      <c r="C382" s="13">
        <v>-85</v>
      </c>
      <c r="D382" s="13">
        <v>45</v>
      </c>
      <c r="E382" s="13">
        <v>0</v>
      </c>
      <c r="F382" s="13">
        <v>12</v>
      </c>
      <c r="G382" s="13">
        <v>1</v>
      </c>
      <c r="H382" s="13">
        <v>1</v>
      </c>
      <c r="I382" s="13">
        <v>0</v>
      </c>
      <c r="J382" s="13">
        <v>4</v>
      </c>
      <c r="K382" s="13">
        <v>69</v>
      </c>
      <c r="L382" s="13">
        <v>14</v>
      </c>
      <c r="M382" s="13">
        <v>2</v>
      </c>
      <c r="N382" s="13">
        <v>-26</v>
      </c>
      <c r="O382" s="380">
        <v>29</v>
      </c>
      <c r="P382" s="380">
        <v>-20.576566</v>
      </c>
    </row>
    <row r="383" spans="2:16" ht="15.5">
      <c r="B383" s="180" t="s">
        <v>29</v>
      </c>
      <c r="C383" s="18">
        <f t="shared" ref="C383:M383" si="49">+C378-C380+C381+C382</f>
        <v>15624</v>
      </c>
      <c r="D383" s="18">
        <f t="shared" si="49"/>
        <v>12089</v>
      </c>
      <c r="E383" s="18">
        <f t="shared" si="49"/>
        <v>2891</v>
      </c>
      <c r="F383" s="18">
        <f t="shared" si="49"/>
        <v>2147</v>
      </c>
      <c r="G383" s="18">
        <f t="shared" si="49"/>
        <v>2076</v>
      </c>
      <c r="H383" s="18">
        <f t="shared" si="49"/>
        <v>2011</v>
      </c>
      <c r="I383" s="18">
        <f t="shared" si="49"/>
        <v>3032</v>
      </c>
      <c r="J383" s="18">
        <f t="shared" si="49"/>
        <v>2807</v>
      </c>
      <c r="K383" s="18">
        <f t="shared" si="49"/>
        <v>2794</v>
      </c>
      <c r="L383" s="18">
        <f t="shared" si="49"/>
        <v>2728</v>
      </c>
      <c r="M383" s="18">
        <f t="shared" si="49"/>
        <v>2468</v>
      </c>
      <c r="N383" s="18">
        <f>+N378-N380+N381+N382</f>
        <v>1765</v>
      </c>
      <c r="O383" s="382">
        <v>1058</v>
      </c>
      <c r="P383" s="382">
        <v>-289.24686500000007</v>
      </c>
    </row>
    <row r="384" spans="2:16" ht="15.5">
      <c r="B384" s="179"/>
      <c r="C384" s="13"/>
      <c r="D384" s="13"/>
      <c r="E384" s="13"/>
      <c r="F384" s="13"/>
      <c r="G384" s="13"/>
      <c r="H384" s="13"/>
      <c r="I384" s="13"/>
      <c r="J384" s="13"/>
      <c r="K384" s="13"/>
      <c r="L384" s="13"/>
      <c r="M384" s="13"/>
      <c r="N384" s="13"/>
      <c r="O384" s="380"/>
      <c r="P384" s="380"/>
    </row>
    <row r="385" spans="2:16" ht="15.5">
      <c r="B385" s="179" t="s">
        <v>30</v>
      </c>
      <c r="C385" s="13">
        <v>-5609</v>
      </c>
      <c r="D385" s="13">
        <v>-3906</v>
      </c>
      <c r="E385" s="13">
        <v>-720</v>
      </c>
      <c r="F385" s="13">
        <v>-829</v>
      </c>
      <c r="G385" s="13">
        <v>-753</v>
      </c>
      <c r="H385" s="13">
        <v>-663</v>
      </c>
      <c r="I385" s="13">
        <v>-835</v>
      </c>
      <c r="J385" s="13">
        <v>-750</v>
      </c>
      <c r="K385" s="13">
        <v>-727</v>
      </c>
      <c r="L385" s="13">
        <v>-506</v>
      </c>
      <c r="M385" s="13">
        <v>-619</v>
      </c>
      <c r="N385" s="13">
        <v>-606</v>
      </c>
      <c r="O385" s="380">
        <v>-549</v>
      </c>
      <c r="P385" s="380">
        <v>-619.42520399999989</v>
      </c>
    </row>
    <row r="386" spans="2:16" ht="15.5">
      <c r="B386" s="180" t="s">
        <v>31</v>
      </c>
      <c r="C386" s="18">
        <f t="shared" ref="C386:M386" si="50">+C383+C385</f>
        <v>10015</v>
      </c>
      <c r="D386" s="18">
        <f t="shared" si="50"/>
        <v>8183</v>
      </c>
      <c r="E386" s="18">
        <f t="shared" si="50"/>
        <v>2171</v>
      </c>
      <c r="F386" s="18">
        <f t="shared" si="50"/>
        <v>1318</v>
      </c>
      <c r="G386" s="18">
        <f t="shared" si="50"/>
        <v>1323</v>
      </c>
      <c r="H386" s="18">
        <f t="shared" si="50"/>
        <v>1348</v>
      </c>
      <c r="I386" s="18">
        <f t="shared" si="50"/>
        <v>2197</v>
      </c>
      <c r="J386" s="18">
        <f t="shared" si="50"/>
        <v>2057</v>
      </c>
      <c r="K386" s="18">
        <f t="shared" si="50"/>
        <v>2067</v>
      </c>
      <c r="L386" s="18">
        <f t="shared" si="50"/>
        <v>2222</v>
      </c>
      <c r="M386" s="18">
        <f t="shared" si="50"/>
        <v>1849</v>
      </c>
      <c r="N386" s="18">
        <f>+N383+N385</f>
        <v>1159</v>
      </c>
      <c r="O386" s="382">
        <v>509</v>
      </c>
      <c r="P386" s="382">
        <v>-908.67206899999996</v>
      </c>
    </row>
    <row r="387" spans="2:16" ht="15.5">
      <c r="B387" s="10"/>
      <c r="C387" s="181"/>
      <c r="D387" s="181"/>
      <c r="E387" s="181"/>
      <c r="F387" s="181"/>
      <c r="G387" s="181"/>
      <c r="H387" s="181"/>
      <c r="I387" s="181"/>
      <c r="J387" s="181"/>
      <c r="K387" s="181"/>
      <c r="L387" s="181"/>
      <c r="M387" s="181"/>
      <c r="N387" s="181"/>
      <c r="O387" s="9"/>
      <c r="P387" s="9"/>
    </row>
    <row r="388" spans="2:16" ht="15.5">
      <c r="B388" s="179" t="s">
        <v>32</v>
      </c>
      <c r="C388" s="13">
        <v>2385</v>
      </c>
      <c r="D388" s="13">
        <v>2087</v>
      </c>
      <c r="E388" s="13">
        <v>587</v>
      </c>
      <c r="F388" s="13">
        <v>256</v>
      </c>
      <c r="G388" s="13">
        <v>357</v>
      </c>
      <c r="H388" s="13">
        <v>364</v>
      </c>
      <c r="I388" s="13">
        <v>593</v>
      </c>
      <c r="J388" s="13">
        <v>595</v>
      </c>
      <c r="K388" s="13">
        <v>558</v>
      </c>
      <c r="L388" s="13">
        <v>679</v>
      </c>
      <c r="M388" s="13">
        <v>500</v>
      </c>
      <c r="N388" s="13">
        <v>312</v>
      </c>
      <c r="O388" s="380">
        <v>194</v>
      </c>
      <c r="P388" s="380">
        <v>-245.34145799999999</v>
      </c>
    </row>
    <row r="389" spans="2:16" ht="15.5">
      <c r="B389" s="180" t="s">
        <v>35</v>
      </c>
      <c r="C389" s="18">
        <f t="shared" ref="C389:N389" si="51">+C386-C388</f>
        <v>7630</v>
      </c>
      <c r="D389" s="18">
        <f t="shared" si="51"/>
        <v>6096</v>
      </c>
      <c r="E389" s="18">
        <f t="shared" si="51"/>
        <v>1584</v>
      </c>
      <c r="F389" s="18">
        <f t="shared" si="51"/>
        <v>1062</v>
      </c>
      <c r="G389" s="18">
        <f t="shared" si="51"/>
        <v>966</v>
      </c>
      <c r="H389" s="18">
        <f t="shared" si="51"/>
        <v>984</v>
      </c>
      <c r="I389" s="18">
        <f t="shared" si="51"/>
        <v>1604</v>
      </c>
      <c r="J389" s="18">
        <f t="shared" si="51"/>
        <v>1462</v>
      </c>
      <c r="K389" s="18">
        <f t="shared" si="51"/>
        <v>1509</v>
      </c>
      <c r="L389" s="18">
        <f t="shared" si="51"/>
        <v>1543</v>
      </c>
      <c r="M389" s="18">
        <f t="shared" si="51"/>
        <v>1349</v>
      </c>
      <c r="N389" s="18">
        <f t="shared" si="51"/>
        <v>847</v>
      </c>
      <c r="O389" s="382">
        <v>315</v>
      </c>
      <c r="P389" s="382">
        <v>-663.33061099999998</v>
      </c>
    </row>
    <row r="390" spans="2:16" ht="15.5">
      <c r="O390" s="397"/>
      <c r="P390" s="185"/>
    </row>
    <row r="391" spans="2:16" ht="15.5">
      <c r="O391" s="397"/>
      <c r="P391" s="185"/>
    </row>
    <row r="392" spans="2:16" ht="15.5">
      <c r="B392" s="236" t="s">
        <v>509</v>
      </c>
      <c r="C392" s="5"/>
      <c r="D392" s="5"/>
      <c r="E392" s="5"/>
      <c r="F392" s="5"/>
      <c r="G392" s="5"/>
      <c r="H392" s="20"/>
      <c r="I392" s="20"/>
      <c r="J392" s="20"/>
      <c r="K392" s="20"/>
      <c r="L392" s="20"/>
      <c r="M392" s="20"/>
      <c r="N392" s="20"/>
      <c r="O392" s="362"/>
      <c r="P392" s="185"/>
    </row>
    <row r="393" spans="2:16" ht="15">
      <c r="B393" s="142" t="s">
        <v>498</v>
      </c>
      <c r="C393" s="5"/>
      <c r="D393" s="5"/>
      <c r="E393" s="5"/>
      <c r="F393" s="5"/>
      <c r="G393" s="5"/>
      <c r="H393" s="22"/>
      <c r="I393" s="22"/>
      <c r="J393" s="22"/>
      <c r="K393" s="22"/>
      <c r="L393" s="22"/>
      <c r="M393" s="22"/>
      <c r="N393" s="22"/>
      <c r="O393" s="363"/>
      <c r="P393" s="185"/>
    </row>
    <row r="394" spans="2:16" ht="15.5">
      <c r="B394" s="23"/>
      <c r="C394" s="5"/>
      <c r="D394" s="5"/>
      <c r="E394" s="5"/>
      <c r="F394" s="5"/>
      <c r="G394" s="5"/>
      <c r="H394" s="23"/>
      <c r="I394" s="23"/>
      <c r="J394" s="23"/>
      <c r="K394" s="23"/>
      <c r="L394" s="23"/>
      <c r="M394" s="23"/>
      <c r="N394" s="23"/>
      <c r="O394" s="364"/>
      <c r="P394" s="185"/>
    </row>
    <row r="395" spans="2:16" ht="15">
      <c r="B395" s="261"/>
      <c r="C395" s="90">
        <v>2016</v>
      </c>
      <c r="D395" s="90">
        <v>2017</v>
      </c>
      <c r="E395" s="90" t="s">
        <v>3</v>
      </c>
      <c r="F395" s="90" t="s">
        <v>4</v>
      </c>
      <c r="G395" s="90" t="s">
        <v>5</v>
      </c>
      <c r="H395" s="90" t="s">
        <v>6</v>
      </c>
      <c r="I395" s="90" t="s">
        <v>7</v>
      </c>
      <c r="J395" s="90" t="s">
        <v>8</v>
      </c>
      <c r="K395" s="90" t="s">
        <v>9</v>
      </c>
      <c r="L395" s="90" t="s">
        <v>10</v>
      </c>
      <c r="M395" s="90" t="s">
        <v>11</v>
      </c>
      <c r="N395" s="90" t="s">
        <v>12</v>
      </c>
      <c r="O395" s="401" t="s">
        <v>685</v>
      </c>
      <c r="P395" s="401" t="s">
        <v>1131</v>
      </c>
    </row>
    <row r="396" spans="2:16" ht="15">
      <c r="B396" s="262" t="s">
        <v>37</v>
      </c>
      <c r="C396" s="262"/>
      <c r="D396" s="262"/>
      <c r="E396" s="262"/>
      <c r="F396" s="262"/>
      <c r="G396" s="262"/>
      <c r="H396" s="262"/>
      <c r="I396" s="262"/>
      <c r="J396" s="262"/>
      <c r="K396" s="262"/>
      <c r="L396" s="262"/>
      <c r="M396" s="262"/>
      <c r="N396" s="262"/>
      <c r="O396" s="402"/>
      <c r="P396" s="402"/>
    </row>
    <row r="397" spans="2:16" ht="15">
      <c r="B397" s="263" t="s">
        <v>38</v>
      </c>
      <c r="C397" s="264"/>
      <c r="D397" s="264"/>
      <c r="E397" s="264"/>
      <c r="F397" s="264"/>
      <c r="G397" s="264"/>
      <c r="H397" s="264"/>
      <c r="I397" s="264"/>
      <c r="J397" s="264"/>
      <c r="K397" s="264"/>
      <c r="L397" s="264"/>
      <c r="M397" s="264"/>
      <c r="N397" s="264"/>
      <c r="O397" s="298"/>
      <c r="P397" s="298"/>
    </row>
    <row r="398" spans="2:16" ht="15.5">
      <c r="B398" s="265" t="s">
        <v>39</v>
      </c>
      <c r="C398" s="50">
        <v>15394</v>
      </c>
      <c r="D398" s="50">
        <v>17639</v>
      </c>
      <c r="E398" s="50">
        <v>18705</v>
      </c>
      <c r="F398" s="50">
        <v>11239</v>
      </c>
      <c r="G398" s="50">
        <v>7968</v>
      </c>
      <c r="H398" s="50">
        <v>10916</v>
      </c>
      <c r="I398" s="50">
        <v>11448</v>
      </c>
      <c r="J398" s="50">
        <v>11565</v>
      </c>
      <c r="K398" s="50">
        <v>6960</v>
      </c>
      <c r="L398" s="50">
        <v>11688</v>
      </c>
      <c r="M398" s="50">
        <v>13229</v>
      </c>
      <c r="N398" s="50">
        <v>9632</v>
      </c>
      <c r="O398" s="394">
        <v>9546</v>
      </c>
      <c r="P398" s="394">
        <v>6624.6703779999998</v>
      </c>
    </row>
    <row r="399" spans="2:16" ht="15.5">
      <c r="B399" s="265" t="s">
        <v>584</v>
      </c>
      <c r="C399" s="50">
        <v>42568</v>
      </c>
      <c r="D399" s="50">
        <v>31078</v>
      </c>
      <c r="E399" s="50">
        <v>31940</v>
      </c>
      <c r="F399" s="50">
        <v>31103</v>
      </c>
      <c r="G399" s="50">
        <v>33366</v>
      </c>
      <c r="H399" s="50">
        <v>37959</v>
      </c>
      <c r="I399" s="50">
        <v>36697</v>
      </c>
      <c r="J399" s="50">
        <v>39189</v>
      </c>
      <c r="K399" s="50">
        <v>39422</v>
      </c>
      <c r="L399" s="50">
        <v>41920</v>
      </c>
      <c r="M399" s="50">
        <v>37880</v>
      </c>
      <c r="N399" s="50">
        <v>41718</v>
      </c>
      <c r="O399" s="394">
        <v>37840</v>
      </c>
      <c r="P399" s="394">
        <v>43580.052444000001</v>
      </c>
    </row>
    <row r="400" spans="2:16" ht="15.5">
      <c r="B400" s="265" t="s">
        <v>585</v>
      </c>
      <c r="C400" s="50">
        <v>4</v>
      </c>
      <c r="D400" s="50">
        <v>51</v>
      </c>
      <c r="E400" s="50">
        <v>145</v>
      </c>
      <c r="F400" s="50">
        <v>752</v>
      </c>
      <c r="G400" s="50">
        <v>1735</v>
      </c>
      <c r="H400" s="50">
        <v>2763</v>
      </c>
      <c r="I400" s="50">
        <v>4113</v>
      </c>
      <c r="J400" s="50">
        <v>2286</v>
      </c>
      <c r="K400" s="50">
        <v>3716</v>
      </c>
      <c r="L400" s="50">
        <v>5316</v>
      </c>
      <c r="M400" s="50">
        <v>7382</v>
      </c>
      <c r="N400" s="50">
        <v>8408</v>
      </c>
      <c r="O400" s="394">
        <v>3734</v>
      </c>
      <c r="P400" s="394">
        <v>4976.1125540000003</v>
      </c>
    </row>
    <row r="401" spans="2:16" ht="15.5">
      <c r="B401" s="265" t="s">
        <v>586</v>
      </c>
      <c r="C401" s="50">
        <v>199</v>
      </c>
      <c r="D401" s="50">
        <v>267</v>
      </c>
      <c r="E401" s="50">
        <v>163</v>
      </c>
      <c r="F401" s="50">
        <v>654</v>
      </c>
      <c r="G401" s="50">
        <v>552</v>
      </c>
      <c r="H401" s="50">
        <v>434</v>
      </c>
      <c r="I401" s="50">
        <v>339</v>
      </c>
      <c r="J401" s="50">
        <v>271</v>
      </c>
      <c r="K401" s="50">
        <v>171</v>
      </c>
      <c r="L401" s="50">
        <v>439</v>
      </c>
      <c r="M401" s="50">
        <v>502</v>
      </c>
      <c r="N401" s="50">
        <v>409</v>
      </c>
      <c r="O401" s="394">
        <v>254</v>
      </c>
      <c r="P401" s="394">
        <v>627.04787099999999</v>
      </c>
    </row>
    <row r="402" spans="2:16" ht="15.5">
      <c r="B402" s="265" t="s">
        <v>113</v>
      </c>
      <c r="C402" s="50">
        <v>0</v>
      </c>
      <c r="D402" s="50">
        <v>0</v>
      </c>
      <c r="E402" s="50">
        <v>0</v>
      </c>
      <c r="F402" s="50">
        <v>0</v>
      </c>
      <c r="G402" s="50">
        <v>0</v>
      </c>
      <c r="H402" s="50">
        <v>0</v>
      </c>
      <c r="I402" s="50">
        <v>0</v>
      </c>
      <c r="J402" s="50">
        <v>0</v>
      </c>
      <c r="K402" s="50">
        <v>0</v>
      </c>
      <c r="L402" s="50">
        <v>0</v>
      </c>
      <c r="M402" s="50">
        <v>0</v>
      </c>
      <c r="N402" s="50">
        <v>0</v>
      </c>
      <c r="O402" s="394">
        <v>0</v>
      </c>
      <c r="P402" s="394">
        <v>0</v>
      </c>
    </row>
    <row r="403" spans="2:16" ht="15.5">
      <c r="B403" s="265" t="s">
        <v>588</v>
      </c>
      <c r="C403" s="50">
        <v>0</v>
      </c>
      <c r="D403" s="50">
        <v>0</v>
      </c>
      <c r="E403" s="50">
        <v>0</v>
      </c>
      <c r="F403" s="50">
        <v>0</v>
      </c>
      <c r="G403" s="50">
        <v>0</v>
      </c>
      <c r="H403" s="50">
        <v>0</v>
      </c>
      <c r="I403" s="50">
        <v>0</v>
      </c>
      <c r="J403" s="50">
        <v>0</v>
      </c>
      <c r="K403" s="50">
        <v>0</v>
      </c>
      <c r="L403" s="50">
        <v>0</v>
      </c>
      <c r="M403" s="50">
        <v>0</v>
      </c>
      <c r="N403" s="50">
        <v>0</v>
      </c>
      <c r="O403" s="394">
        <v>0</v>
      </c>
      <c r="P403" s="394">
        <v>0</v>
      </c>
    </row>
    <row r="404" spans="2:16" ht="15">
      <c r="B404" s="65" t="s">
        <v>45</v>
      </c>
      <c r="C404" s="245">
        <v>58165</v>
      </c>
      <c r="D404" s="245">
        <v>49035</v>
      </c>
      <c r="E404" s="245">
        <v>50953</v>
      </c>
      <c r="F404" s="245">
        <v>43748</v>
      </c>
      <c r="G404" s="245">
        <v>43621</v>
      </c>
      <c r="H404" s="245">
        <v>52072</v>
      </c>
      <c r="I404" s="245">
        <v>52597</v>
      </c>
      <c r="J404" s="245">
        <v>53311</v>
      </c>
      <c r="K404" s="245">
        <v>50269</v>
      </c>
      <c r="L404" s="245">
        <v>59363</v>
      </c>
      <c r="M404" s="245">
        <v>58993</v>
      </c>
      <c r="N404" s="245">
        <v>60167</v>
      </c>
      <c r="O404" s="300">
        <v>51374</v>
      </c>
      <c r="P404" s="300">
        <f>SUM(P398:P403)</f>
        <v>55807.883247000005</v>
      </c>
    </row>
    <row r="405" spans="2:16" ht="15">
      <c r="B405" s="263" t="s">
        <v>46</v>
      </c>
      <c r="C405" s="264"/>
      <c r="D405" s="264"/>
      <c r="E405" s="264"/>
      <c r="F405" s="264"/>
      <c r="G405" s="264"/>
      <c r="H405" s="264"/>
      <c r="I405" s="264"/>
      <c r="J405" s="264"/>
      <c r="K405" s="264"/>
      <c r="L405" s="264"/>
      <c r="M405" s="264"/>
      <c r="N405" s="264"/>
      <c r="O405" s="298"/>
      <c r="P405" s="298"/>
    </row>
    <row r="406" spans="2:16" ht="15.5">
      <c r="B406" s="265" t="s">
        <v>47</v>
      </c>
      <c r="C406" s="50">
        <v>0</v>
      </c>
      <c r="D406" s="50">
        <v>0</v>
      </c>
      <c r="E406" s="50">
        <v>0</v>
      </c>
      <c r="F406" s="50">
        <v>0</v>
      </c>
      <c r="G406" s="50">
        <v>0</v>
      </c>
      <c r="H406" s="50">
        <v>0</v>
      </c>
      <c r="I406" s="50">
        <v>0</v>
      </c>
      <c r="J406" s="50">
        <v>0</v>
      </c>
      <c r="K406" s="50">
        <v>0</v>
      </c>
      <c r="L406" s="50">
        <v>0</v>
      </c>
      <c r="M406" s="50">
        <v>0</v>
      </c>
      <c r="N406" s="50">
        <v>0</v>
      </c>
      <c r="O406" s="394">
        <v>0</v>
      </c>
      <c r="P406" s="394">
        <v>0</v>
      </c>
    </row>
    <row r="407" spans="2:16" ht="15.5">
      <c r="B407" s="265" t="s">
        <v>48</v>
      </c>
      <c r="C407" s="50">
        <v>0</v>
      </c>
      <c r="D407" s="50">
        <v>0</v>
      </c>
      <c r="E407" s="50">
        <v>0</v>
      </c>
      <c r="F407" s="50">
        <v>0</v>
      </c>
      <c r="G407" s="50">
        <v>0</v>
      </c>
      <c r="H407" s="50">
        <v>0</v>
      </c>
      <c r="I407" s="50">
        <v>0</v>
      </c>
      <c r="J407" s="50">
        <v>0</v>
      </c>
      <c r="K407" s="50">
        <v>0</v>
      </c>
      <c r="L407" s="50">
        <v>0</v>
      </c>
      <c r="M407" s="50">
        <v>0</v>
      </c>
      <c r="N407" s="50">
        <v>0</v>
      </c>
      <c r="O407" s="394">
        <v>0</v>
      </c>
      <c r="P407" s="394">
        <v>0</v>
      </c>
    </row>
    <row r="408" spans="2:16" ht="15.5">
      <c r="B408" s="265" t="s">
        <v>94</v>
      </c>
      <c r="C408" s="50">
        <v>0</v>
      </c>
      <c r="D408" s="50">
        <v>0</v>
      </c>
      <c r="E408" s="50">
        <v>0</v>
      </c>
      <c r="F408" s="50">
        <v>0</v>
      </c>
      <c r="G408" s="50">
        <v>0</v>
      </c>
      <c r="H408" s="50">
        <v>0</v>
      </c>
      <c r="I408" s="50">
        <v>0</v>
      </c>
      <c r="J408" s="50">
        <v>0</v>
      </c>
      <c r="K408" s="50">
        <v>0</v>
      </c>
      <c r="L408" s="50">
        <v>0</v>
      </c>
      <c r="M408" s="50">
        <v>0</v>
      </c>
      <c r="N408" s="50">
        <v>0</v>
      </c>
      <c r="O408" s="394">
        <v>0</v>
      </c>
      <c r="P408" s="394">
        <v>0</v>
      </c>
    </row>
    <row r="409" spans="2:16" ht="15.5">
      <c r="B409" s="265" t="s">
        <v>95</v>
      </c>
      <c r="C409" s="50">
        <v>0</v>
      </c>
      <c r="D409" s="50">
        <v>0</v>
      </c>
      <c r="E409" s="50">
        <v>0</v>
      </c>
      <c r="F409" s="50">
        <v>0</v>
      </c>
      <c r="G409" s="50">
        <v>0</v>
      </c>
      <c r="H409" s="50">
        <v>0</v>
      </c>
      <c r="I409" s="50">
        <v>0</v>
      </c>
      <c r="J409" s="50">
        <v>0</v>
      </c>
      <c r="K409" s="50">
        <v>0</v>
      </c>
      <c r="L409" s="50">
        <v>0</v>
      </c>
      <c r="M409" s="50">
        <v>0</v>
      </c>
      <c r="N409" s="50">
        <v>0</v>
      </c>
      <c r="O409" s="394">
        <v>0</v>
      </c>
      <c r="P409" s="394">
        <v>0</v>
      </c>
    </row>
    <row r="410" spans="2:16" ht="15.5">
      <c r="B410" s="265" t="s">
        <v>40</v>
      </c>
      <c r="C410" s="50">
        <v>60824</v>
      </c>
      <c r="D410" s="50">
        <v>53099</v>
      </c>
      <c r="E410" s="50">
        <v>49057</v>
      </c>
      <c r="F410" s="50">
        <v>46294</v>
      </c>
      <c r="G410" s="50">
        <v>41324</v>
      </c>
      <c r="H410" s="50">
        <v>35803</v>
      </c>
      <c r="I410" s="50">
        <v>34533</v>
      </c>
      <c r="J410" s="50">
        <v>31945</v>
      </c>
      <c r="K410" s="50">
        <v>27240</v>
      </c>
      <c r="L410" s="50">
        <v>22783</v>
      </c>
      <c r="M410" s="50">
        <v>19872</v>
      </c>
      <c r="N410" s="50">
        <v>19483</v>
      </c>
      <c r="O410" s="394">
        <v>15985</v>
      </c>
      <c r="P410" s="394">
        <v>10261.749362</v>
      </c>
    </row>
    <row r="411" spans="2:16" ht="15.5">
      <c r="B411" s="265" t="s">
        <v>51</v>
      </c>
      <c r="C411" s="50">
        <v>0</v>
      </c>
      <c r="D411" s="50">
        <v>0</v>
      </c>
      <c r="E411" s="50">
        <v>0</v>
      </c>
      <c r="F411" s="50">
        <v>0</v>
      </c>
      <c r="G411" s="50">
        <v>0</v>
      </c>
      <c r="H411" s="50">
        <v>0</v>
      </c>
      <c r="I411" s="50">
        <v>0</v>
      </c>
      <c r="J411" s="50">
        <v>0</v>
      </c>
      <c r="K411" s="50">
        <v>0</v>
      </c>
      <c r="L411" s="50">
        <v>0</v>
      </c>
      <c r="M411" s="50">
        <v>0</v>
      </c>
      <c r="N411" s="50">
        <v>0</v>
      </c>
      <c r="O411" s="394">
        <v>0</v>
      </c>
      <c r="P411" s="394">
        <v>0</v>
      </c>
    </row>
    <row r="412" spans="2:16" ht="15.5">
      <c r="B412" s="265" t="s">
        <v>52</v>
      </c>
      <c r="C412" s="50">
        <v>61</v>
      </c>
      <c r="D412" s="50">
        <v>102</v>
      </c>
      <c r="E412" s="50">
        <v>91</v>
      </c>
      <c r="F412" s="50">
        <v>82</v>
      </c>
      <c r="G412" s="50">
        <v>74</v>
      </c>
      <c r="H412" s="50">
        <v>79</v>
      </c>
      <c r="I412" s="50">
        <v>192</v>
      </c>
      <c r="J412" s="50">
        <v>98</v>
      </c>
      <c r="K412" s="50">
        <v>106</v>
      </c>
      <c r="L412" s="50">
        <v>108</v>
      </c>
      <c r="M412" s="50">
        <v>109</v>
      </c>
      <c r="N412" s="50">
        <v>101</v>
      </c>
      <c r="O412" s="394">
        <v>94</v>
      </c>
      <c r="P412" s="394">
        <v>91.234666000000004</v>
      </c>
    </row>
    <row r="413" spans="2:16" ht="15.5">
      <c r="B413" s="265" t="s">
        <v>53</v>
      </c>
      <c r="C413" s="50">
        <v>0</v>
      </c>
      <c r="D413" s="50">
        <v>0</v>
      </c>
      <c r="E413" s="50">
        <v>0</v>
      </c>
      <c r="F413" s="50">
        <v>0</v>
      </c>
      <c r="G413" s="50">
        <v>0</v>
      </c>
      <c r="H413" s="50">
        <v>0</v>
      </c>
      <c r="I413" s="50">
        <v>0</v>
      </c>
      <c r="J413" s="50">
        <v>0</v>
      </c>
      <c r="K413" s="50">
        <v>0</v>
      </c>
      <c r="L413" s="50">
        <v>0</v>
      </c>
      <c r="M413" s="50">
        <v>0</v>
      </c>
      <c r="N413" s="50">
        <v>0</v>
      </c>
      <c r="O413" s="394">
        <v>0</v>
      </c>
      <c r="P413" s="394">
        <v>0</v>
      </c>
    </row>
    <row r="414" spans="2:16" ht="15.5">
      <c r="B414" s="265" t="s">
        <v>55</v>
      </c>
      <c r="C414" s="50">
        <v>108</v>
      </c>
      <c r="D414" s="50">
        <v>197</v>
      </c>
      <c r="E414" s="50">
        <v>188</v>
      </c>
      <c r="F414" s="50">
        <v>179</v>
      </c>
      <c r="G414" s="50">
        <v>177</v>
      </c>
      <c r="H414" s="50">
        <v>168</v>
      </c>
      <c r="I414" s="50">
        <v>182</v>
      </c>
      <c r="J414" s="50">
        <v>172</v>
      </c>
      <c r="K414" s="50">
        <v>162</v>
      </c>
      <c r="L414" s="50">
        <v>153</v>
      </c>
      <c r="M414" s="50">
        <v>155</v>
      </c>
      <c r="N414" s="50">
        <v>141</v>
      </c>
      <c r="O414" s="394">
        <v>129</v>
      </c>
      <c r="P414" s="394">
        <v>115.19507400000001</v>
      </c>
    </row>
    <row r="415" spans="2:16" ht="15.5">
      <c r="B415" s="265" t="s">
        <v>43</v>
      </c>
      <c r="C415" s="50">
        <v>0</v>
      </c>
      <c r="D415" s="50">
        <v>0</v>
      </c>
      <c r="E415" s="50">
        <v>0</v>
      </c>
      <c r="F415" s="50">
        <v>0</v>
      </c>
      <c r="G415" s="50">
        <v>0</v>
      </c>
      <c r="H415" s="50">
        <v>0</v>
      </c>
      <c r="I415" s="50">
        <v>0</v>
      </c>
      <c r="J415" s="50">
        <v>0</v>
      </c>
      <c r="K415" s="50">
        <v>0</v>
      </c>
      <c r="L415" s="50">
        <v>0</v>
      </c>
      <c r="M415" s="50">
        <v>0</v>
      </c>
      <c r="N415" s="50">
        <v>0</v>
      </c>
      <c r="O415" s="394">
        <v>0</v>
      </c>
      <c r="P415" s="394">
        <v>0</v>
      </c>
    </row>
    <row r="416" spans="2:16" ht="15.5">
      <c r="B416" s="265" t="s">
        <v>56</v>
      </c>
      <c r="C416" s="50">
        <v>0</v>
      </c>
      <c r="D416" s="50">
        <v>0</v>
      </c>
      <c r="E416" s="50">
        <v>0</v>
      </c>
      <c r="F416" s="50">
        <v>0</v>
      </c>
      <c r="G416" s="50">
        <v>0</v>
      </c>
      <c r="H416" s="50">
        <v>0</v>
      </c>
      <c r="I416" s="50">
        <v>0</v>
      </c>
      <c r="J416" s="50">
        <v>0</v>
      </c>
      <c r="K416" s="50">
        <v>0</v>
      </c>
      <c r="L416" s="50">
        <v>0</v>
      </c>
      <c r="M416" s="50">
        <v>0</v>
      </c>
      <c r="N416" s="50">
        <v>0</v>
      </c>
      <c r="O416" s="394">
        <v>0</v>
      </c>
      <c r="P416" s="394">
        <v>0</v>
      </c>
    </row>
    <row r="417" spans="2:16" ht="15.5">
      <c r="B417" s="265" t="s">
        <v>57</v>
      </c>
      <c r="C417" s="50">
        <v>0</v>
      </c>
      <c r="D417" s="50">
        <v>0</v>
      </c>
      <c r="E417" s="50">
        <v>0</v>
      </c>
      <c r="F417" s="50">
        <v>0</v>
      </c>
      <c r="G417" s="50">
        <v>0</v>
      </c>
      <c r="H417" s="50">
        <v>0</v>
      </c>
      <c r="I417" s="50">
        <v>-6</v>
      </c>
      <c r="J417" s="50">
        <v>187</v>
      </c>
      <c r="K417" s="50">
        <v>170</v>
      </c>
      <c r="L417" s="50">
        <v>154</v>
      </c>
      <c r="M417" s="50">
        <v>137</v>
      </c>
      <c r="N417" s="50">
        <v>121</v>
      </c>
      <c r="O417" s="394">
        <v>122</v>
      </c>
      <c r="P417" s="394">
        <v>104.53037</v>
      </c>
    </row>
    <row r="418" spans="2:16" ht="15.5">
      <c r="B418" s="265" t="s">
        <v>44</v>
      </c>
      <c r="C418" s="50">
        <v>0</v>
      </c>
      <c r="D418" s="50">
        <v>0</v>
      </c>
      <c r="E418" s="50">
        <v>0</v>
      </c>
      <c r="F418" s="50">
        <v>0</v>
      </c>
      <c r="G418" s="50">
        <v>0</v>
      </c>
      <c r="H418" s="50">
        <v>0</v>
      </c>
      <c r="I418" s="50">
        <v>0</v>
      </c>
      <c r="J418" s="50">
        <v>0</v>
      </c>
      <c r="K418" s="50">
        <v>0</v>
      </c>
      <c r="L418" s="50">
        <v>0</v>
      </c>
      <c r="M418" s="50">
        <v>0</v>
      </c>
      <c r="N418" s="50">
        <v>0</v>
      </c>
      <c r="O418" s="394">
        <v>0</v>
      </c>
      <c r="P418" s="394">
        <v>0</v>
      </c>
    </row>
    <row r="419" spans="2:16" ht="15">
      <c r="B419" s="263" t="s">
        <v>59</v>
      </c>
      <c r="C419" s="246">
        <v>60993</v>
      </c>
      <c r="D419" s="246">
        <v>53398</v>
      </c>
      <c r="E419" s="246">
        <v>49336</v>
      </c>
      <c r="F419" s="246">
        <v>46555</v>
      </c>
      <c r="G419" s="246">
        <v>41575</v>
      </c>
      <c r="H419" s="246">
        <v>36050</v>
      </c>
      <c r="I419" s="246">
        <v>34901</v>
      </c>
      <c r="J419" s="246">
        <v>32402</v>
      </c>
      <c r="K419" s="246">
        <v>27678</v>
      </c>
      <c r="L419" s="246">
        <v>23198</v>
      </c>
      <c r="M419" s="246">
        <v>20273</v>
      </c>
      <c r="N419" s="246">
        <v>19846</v>
      </c>
      <c r="O419" s="301">
        <v>16330</v>
      </c>
      <c r="P419" s="301">
        <f>SUM(P406:P418)</f>
        <v>10572.709472</v>
      </c>
    </row>
    <row r="420" spans="2:16" ht="15">
      <c r="B420" s="65" t="s">
        <v>60</v>
      </c>
      <c r="C420" s="245">
        <v>119158</v>
      </c>
      <c r="D420" s="245">
        <v>102433</v>
      </c>
      <c r="E420" s="245">
        <v>100289</v>
      </c>
      <c r="F420" s="245">
        <v>90303</v>
      </c>
      <c r="G420" s="245">
        <v>85196</v>
      </c>
      <c r="H420" s="245">
        <v>88122</v>
      </c>
      <c r="I420" s="245">
        <v>87498</v>
      </c>
      <c r="J420" s="245">
        <v>85713</v>
      </c>
      <c r="K420" s="245">
        <v>77947</v>
      </c>
      <c r="L420" s="245">
        <v>82561</v>
      </c>
      <c r="M420" s="245">
        <v>79266</v>
      </c>
      <c r="N420" s="245">
        <v>80013</v>
      </c>
      <c r="O420" s="300">
        <v>67704</v>
      </c>
      <c r="P420" s="300">
        <f>+P404+P419</f>
        <v>66380.592719000007</v>
      </c>
    </row>
    <row r="421" spans="2:16" ht="15">
      <c r="B421" s="67"/>
      <c r="C421" s="266"/>
      <c r="D421" s="266"/>
      <c r="E421" s="266"/>
      <c r="F421" s="266"/>
      <c r="G421" s="266"/>
      <c r="H421" s="266"/>
      <c r="I421" s="266"/>
      <c r="J421" s="266"/>
      <c r="K421" s="266"/>
      <c r="L421" s="266"/>
      <c r="M421" s="266"/>
      <c r="N421" s="266"/>
      <c r="O421" s="302"/>
      <c r="P421" s="185"/>
    </row>
    <row r="422" spans="2:16" ht="15">
      <c r="B422" s="262" t="s">
        <v>61</v>
      </c>
      <c r="C422" s="267"/>
      <c r="D422" s="267"/>
      <c r="E422" s="267"/>
      <c r="F422" s="267"/>
      <c r="G422" s="267"/>
      <c r="H422" s="267"/>
      <c r="I422" s="267"/>
      <c r="J422" s="267"/>
      <c r="K422" s="267"/>
      <c r="L422" s="267"/>
      <c r="M422" s="267"/>
      <c r="N422" s="267"/>
      <c r="O422" s="303"/>
      <c r="P422" s="303"/>
    </row>
    <row r="423" spans="2:16" ht="15">
      <c r="B423" s="263" t="s">
        <v>62</v>
      </c>
      <c r="C423" s="268"/>
      <c r="D423" s="268"/>
      <c r="E423" s="268"/>
      <c r="F423" s="268"/>
      <c r="G423" s="268"/>
      <c r="H423" s="268"/>
      <c r="I423" s="268"/>
      <c r="J423" s="268"/>
      <c r="K423" s="268"/>
      <c r="L423" s="268"/>
      <c r="M423" s="268"/>
      <c r="N423" s="268"/>
      <c r="O423" s="304"/>
      <c r="P423" s="304"/>
    </row>
    <row r="424" spans="2:16" ht="15.5">
      <c r="B424" s="265" t="s">
        <v>605</v>
      </c>
      <c r="C424" s="50">
        <v>20132</v>
      </c>
      <c r="D424" s="50">
        <v>9900</v>
      </c>
      <c r="E424" s="50">
        <v>9414</v>
      </c>
      <c r="F424" s="50">
        <v>9935</v>
      </c>
      <c r="G424" s="50">
        <v>10072</v>
      </c>
      <c r="H424" s="50">
        <v>10556</v>
      </c>
      <c r="I424" s="50">
        <v>12512</v>
      </c>
      <c r="J424" s="50">
        <v>13982</v>
      </c>
      <c r="K424" s="50">
        <v>14140</v>
      </c>
      <c r="L424" s="50">
        <v>11925</v>
      </c>
      <c r="M424" s="50">
        <v>11868</v>
      </c>
      <c r="N424" s="50">
        <v>12247</v>
      </c>
      <c r="O424" s="394">
        <v>12833</v>
      </c>
      <c r="P424" s="394">
        <v>13142.165004</v>
      </c>
    </row>
    <row r="425" spans="2:16" ht="15.5">
      <c r="B425" s="265" t="s">
        <v>606</v>
      </c>
      <c r="C425" s="50">
        <v>1111</v>
      </c>
      <c r="D425" s="50">
        <v>1391</v>
      </c>
      <c r="E425" s="50">
        <v>1181</v>
      </c>
      <c r="F425" s="50">
        <v>1409</v>
      </c>
      <c r="G425" s="50">
        <v>699</v>
      </c>
      <c r="H425" s="50">
        <v>1646</v>
      </c>
      <c r="I425" s="50">
        <v>1406</v>
      </c>
      <c r="J425" s="50">
        <v>2005</v>
      </c>
      <c r="K425" s="50">
        <v>811</v>
      </c>
      <c r="L425" s="50">
        <v>2416</v>
      </c>
      <c r="M425" s="50">
        <v>3039</v>
      </c>
      <c r="N425" s="50">
        <v>1702</v>
      </c>
      <c r="O425" s="394">
        <v>1497</v>
      </c>
      <c r="P425" s="394">
        <v>2702.855693</v>
      </c>
    </row>
    <row r="426" spans="2:16" ht="15.5">
      <c r="B426" s="265" t="s">
        <v>607</v>
      </c>
      <c r="C426" s="50">
        <v>25</v>
      </c>
      <c r="D426" s="50">
        <v>27</v>
      </c>
      <c r="E426" s="50">
        <v>29</v>
      </c>
      <c r="F426" s="50">
        <v>25</v>
      </c>
      <c r="G426" s="50">
        <v>25</v>
      </c>
      <c r="H426" s="50">
        <v>20</v>
      </c>
      <c r="I426" s="50">
        <v>18</v>
      </c>
      <c r="J426" s="50">
        <v>20</v>
      </c>
      <c r="K426" s="50">
        <v>22</v>
      </c>
      <c r="L426" s="50">
        <v>22</v>
      </c>
      <c r="M426" s="50">
        <v>20</v>
      </c>
      <c r="N426" s="50">
        <v>24</v>
      </c>
      <c r="O426" s="394">
        <v>28</v>
      </c>
      <c r="P426" s="394">
        <v>27.7438</v>
      </c>
    </row>
    <row r="427" spans="2:16" ht="15.5">
      <c r="B427" s="265" t="s">
        <v>41</v>
      </c>
      <c r="C427" s="50">
        <v>0</v>
      </c>
      <c r="D427" s="50">
        <v>4053</v>
      </c>
      <c r="E427" s="50">
        <v>5426</v>
      </c>
      <c r="F427" s="50">
        <v>2598</v>
      </c>
      <c r="G427" s="50">
        <v>3834</v>
      </c>
      <c r="H427" s="50">
        <v>5005</v>
      </c>
      <c r="I427" s="50">
        <v>6448</v>
      </c>
      <c r="J427" s="50">
        <v>2898</v>
      </c>
      <c r="K427" s="50">
        <v>4361</v>
      </c>
      <c r="L427" s="50">
        <v>6422</v>
      </c>
      <c r="M427" s="50">
        <v>7575</v>
      </c>
      <c r="N427" s="50">
        <v>8241</v>
      </c>
      <c r="O427" s="394">
        <v>3508</v>
      </c>
      <c r="P427" s="394">
        <v>4053.0872460000001</v>
      </c>
    </row>
    <row r="428" spans="2:16" ht="15.5">
      <c r="B428" s="265" t="s">
        <v>608</v>
      </c>
      <c r="C428" s="50">
        <v>3191</v>
      </c>
      <c r="D428" s="50">
        <v>2236</v>
      </c>
      <c r="E428" s="50">
        <v>1829</v>
      </c>
      <c r="F428" s="50">
        <v>0</v>
      </c>
      <c r="G428" s="50">
        <v>66</v>
      </c>
      <c r="H428" s="50">
        <v>1379</v>
      </c>
      <c r="I428" s="50">
        <v>955</v>
      </c>
      <c r="J428" s="50">
        <v>431</v>
      </c>
      <c r="K428" s="50">
        <v>280</v>
      </c>
      <c r="L428" s="50">
        <v>758</v>
      </c>
      <c r="M428" s="50">
        <v>140</v>
      </c>
      <c r="N428" s="50">
        <v>140</v>
      </c>
      <c r="O428" s="394">
        <v>108</v>
      </c>
      <c r="P428" s="394">
        <v>257.05323099999998</v>
      </c>
    </row>
    <row r="429" spans="2:16" ht="15.5">
      <c r="B429" s="265" t="s">
        <v>65</v>
      </c>
      <c r="C429" s="50">
        <v>72</v>
      </c>
      <c r="D429" s="50">
        <v>124</v>
      </c>
      <c r="E429" s="50">
        <v>84</v>
      </c>
      <c r="F429" s="50">
        <v>96</v>
      </c>
      <c r="G429" s="50">
        <v>117</v>
      </c>
      <c r="H429" s="50">
        <v>127</v>
      </c>
      <c r="I429" s="50">
        <v>84</v>
      </c>
      <c r="J429" s="50">
        <v>2593</v>
      </c>
      <c r="K429" s="50">
        <v>104</v>
      </c>
      <c r="L429" s="50">
        <v>1497</v>
      </c>
      <c r="M429" s="50">
        <v>1463</v>
      </c>
      <c r="N429" s="50">
        <v>96</v>
      </c>
      <c r="O429" s="394">
        <v>106</v>
      </c>
      <c r="P429" s="394">
        <v>538.99136799999997</v>
      </c>
    </row>
    <row r="430" spans="2:16" ht="15.5">
      <c r="B430" s="265" t="s">
        <v>610</v>
      </c>
      <c r="C430" s="50">
        <v>569</v>
      </c>
      <c r="D430" s="50">
        <v>0</v>
      </c>
      <c r="E430" s="50">
        <v>0</v>
      </c>
      <c r="F430" s="50">
        <v>0</v>
      </c>
      <c r="G430" s="50">
        <v>0</v>
      </c>
      <c r="H430" s="50">
        <v>0</v>
      </c>
      <c r="I430" s="50">
        <v>0</v>
      </c>
      <c r="J430" s="50">
        <v>0</v>
      </c>
      <c r="K430" s="50">
        <v>0</v>
      </c>
      <c r="L430" s="50">
        <v>0</v>
      </c>
      <c r="M430" s="50">
        <v>0</v>
      </c>
      <c r="N430" s="50">
        <v>0</v>
      </c>
      <c r="O430" s="394">
        <v>0</v>
      </c>
      <c r="P430" s="394">
        <v>0</v>
      </c>
    </row>
    <row r="431" spans="2:16" ht="15.5">
      <c r="B431" s="265" t="s">
        <v>684</v>
      </c>
      <c r="C431" s="50">
        <v>0</v>
      </c>
      <c r="D431" s="50">
        <v>0</v>
      </c>
      <c r="E431" s="50">
        <v>0</v>
      </c>
      <c r="F431" s="50">
        <v>0</v>
      </c>
      <c r="G431" s="50">
        <v>0</v>
      </c>
      <c r="H431" s="50">
        <v>0</v>
      </c>
      <c r="I431" s="50">
        <v>0</v>
      </c>
      <c r="J431" s="50">
        <v>0</v>
      </c>
      <c r="K431" s="50">
        <v>0</v>
      </c>
      <c r="L431" s="50">
        <v>0</v>
      </c>
      <c r="M431" s="50">
        <v>0</v>
      </c>
      <c r="N431" s="50">
        <v>0</v>
      </c>
      <c r="O431" s="394">
        <v>0</v>
      </c>
      <c r="P431" s="394">
        <v>0</v>
      </c>
    </row>
    <row r="432" spans="2:16" ht="15">
      <c r="B432" s="263" t="s">
        <v>70</v>
      </c>
      <c r="C432" s="246">
        <v>25100</v>
      </c>
      <c r="D432" s="246">
        <v>17731</v>
      </c>
      <c r="E432" s="246">
        <v>17963</v>
      </c>
      <c r="F432" s="246">
        <v>14063</v>
      </c>
      <c r="G432" s="246">
        <v>14813</v>
      </c>
      <c r="H432" s="246">
        <v>18733</v>
      </c>
      <c r="I432" s="246">
        <v>21423</v>
      </c>
      <c r="J432" s="246">
        <v>21929</v>
      </c>
      <c r="K432" s="246">
        <v>19718</v>
      </c>
      <c r="L432" s="246">
        <v>23040</v>
      </c>
      <c r="M432" s="246">
        <v>24105</v>
      </c>
      <c r="N432" s="246">
        <v>22450</v>
      </c>
      <c r="O432" s="301">
        <v>18080</v>
      </c>
      <c r="P432" s="301">
        <f>SUM(P424:P431)</f>
        <v>20721.896342</v>
      </c>
    </row>
    <row r="433" spans="2:16" ht="15">
      <c r="B433" s="269" t="s">
        <v>71</v>
      </c>
      <c r="C433" s="270"/>
      <c r="D433" s="270"/>
      <c r="E433" s="270"/>
      <c r="F433" s="270"/>
      <c r="G433" s="270"/>
      <c r="H433" s="270"/>
      <c r="I433" s="270"/>
      <c r="J433" s="270"/>
      <c r="K433" s="270"/>
      <c r="L433" s="270"/>
      <c r="M433" s="270"/>
      <c r="N433" s="270"/>
      <c r="O433" s="305"/>
      <c r="P433" s="305"/>
    </row>
    <row r="434" spans="2:16" ht="15.5">
      <c r="B434" s="265" t="s">
        <v>63</v>
      </c>
      <c r="C434" s="50">
        <v>46896</v>
      </c>
      <c r="D434" s="50">
        <v>39599</v>
      </c>
      <c r="E434" s="50">
        <v>36378</v>
      </c>
      <c r="F434" s="50">
        <v>36685</v>
      </c>
      <c r="G434" s="50">
        <v>30663</v>
      </c>
      <c r="H434" s="50">
        <v>30914</v>
      </c>
      <c r="I434" s="50">
        <v>33681</v>
      </c>
      <c r="J434" s="50">
        <v>33751</v>
      </c>
      <c r="K434" s="50">
        <v>27483</v>
      </c>
      <c r="L434" s="50">
        <v>30216</v>
      </c>
      <c r="M434" s="50">
        <v>25453</v>
      </c>
      <c r="N434" s="50">
        <v>25681</v>
      </c>
      <c r="O434" s="394">
        <v>18268</v>
      </c>
      <c r="P434" s="394">
        <v>18591.780223000002</v>
      </c>
    </row>
    <row r="435" spans="2:16" ht="15.5">
      <c r="B435" s="265" t="s">
        <v>64</v>
      </c>
      <c r="C435" s="50">
        <v>0</v>
      </c>
      <c r="D435" s="50">
        <v>0</v>
      </c>
      <c r="E435" s="50">
        <v>0</v>
      </c>
      <c r="F435" s="50">
        <v>0</v>
      </c>
      <c r="G435" s="50">
        <v>0</v>
      </c>
      <c r="H435" s="50">
        <v>0</v>
      </c>
      <c r="I435" s="50">
        <v>0</v>
      </c>
      <c r="J435" s="50">
        <v>124</v>
      </c>
      <c r="K435" s="50">
        <v>112</v>
      </c>
      <c r="L435" s="50">
        <v>94</v>
      </c>
      <c r="M435" s="50">
        <v>77</v>
      </c>
      <c r="N435" s="50">
        <v>65</v>
      </c>
      <c r="O435" s="394">
        <v>55</v>
      </c>
      <c r="P435" s="394">
        <v>43.459302999999998</v>
      </c>
    </row>
    <row r="436" spans="2:16" ht="15.5">
      <c r="B436" s="265" t="s">
        <v>72</v>
      </c>
      <c r="C436" s="50">
        <v>0</v>
      </c>
      <c r="D436" s="50">
        <v>0</v>
      </c>
      <c r="E436" s="50">
        <v>0</v>
      </c>
      <c r="F436" s="50">
        <v>0</v>
      </c>
      <c r="G436" s="50">
        <v>0</v>
      </c>
      <c r="H436" s="50">
        <v>0</v>
      </c>
      <c r="I436" s="50">
        <v>0</v>
      </c>
      <c r="J436" s="50">
        <v>0</v>
      </c>
      <c r="K436" s="50">
        <v>0</v>
      </c>
      <c r="L436" s="50">
        <v>0</v>
      </c>
      <c r="M436" s="50">
        <v>0</v>
      </c>
      <c r="N436" s="50">
        <v>0</v>
      </c>
      <c r="O436" s="394">
        <v>0</v>
      </c>
      <c r="P436" s="394">
        <v>0</v>
      </c>
    </row>
    <row r="437" spans="2:16" ht="15.5">
      <c r="B437" s="265" t="s">
        <v>66</v>
      </c>
      <c r="C437" s="50">
        <v>0</v>
      </c>
      <c r="D437" s="50">
        <v>0</v>
      </c>
      <c r="E437" s="50">
        <v>0</v>
      </c>
      <c r="F437" s="50">
        <v>0</v>
      </c>
      <c r="G437" s="50">
        <v>0</v>
      </c>
      <c r="H437" s="50">
        <v>0</v>
      </c>
      <c r="I437" s="50">
        <v>0</v>
      </c>
      <c r="J437" s="50">
        <v>0</v>
      </c>
      <c r="K437" s="50">
        <v>0</v>
      </c>
      <c r="L437" s="50">
        <v>0</v>
      </c>
      <c r="M437" s="50">
        <v>0</v>
      </c>
      <c r="N437" s="50">
        <v>0</v>
      </c>
      <c r="O437" s="394">
        <v>0</v>
      </c>
      <c r="P437" s="394">
        <v>0</v>
      </c>
    </row>
    <row r="438" spans="2:16" ht="15.5">
      <c r="B438" s="265" t="s">
        <v>67</v>
      </c>
      <c r="C438" s="50">
        <v>0</v>
      </c>
      <c r="D438" s="50">
        <v>0</v>
      </c>
      <c r="E438" s="50">
        <v>0</v>
      </c>
      <c r="F438" s="50">
        <v>0</v>
      </c>
      <c r="G438" s="50">
        <v>0</v>
      </c>
      <c r="H438" s="50">
        <v>0</v>
      </c>
      <c r="I438" s="50">
        <v>0</v>
      </c>
      <c r="J438" s="50">
        <v>0</v>
      </c>
      <c r="K438" s="50">
        <v>0</v>
      </c>
      <c r="L438" s="50">
        <v>0</v>
      </c>
      <c r="M438" s="50">
        <v>0</v>
      </c>
      <c r="N438" s="50">
        <v>0</v>
      </c>
      <c r="O438" s="394">
        <v>0</v>
      </c>
      <c r="P438" s="394">
        <v>0</v>
      </c>
    </row>
    <row r="439" spans="2:16" ht="15.5">
      <c r="B439" s="265" t="s">
        <v>68</v>
      </c>
      <c r="C439" s="50">
        <v>0</v>
      </c>
      <c r="D439" s="50">
        <v>0</v>
      </c>
      <c r="E439" s="50">
        <v>0</v>
      </c>
      <c r="F439" s="50">
        <v>0</v>
      </c>
      <c r="G439" s="50">
        <v>0</v>
      </c>
      <c r="H439" s="50">
        <v>0</v>
      </c>
      <c r="I439" s="50">
        <v>0</v>
      </c>
      <c r="J439" s="50">
        <v>0</v>
      </c>
      <c r="K439" s="50">
        <v>0</v>
      </c>
      <c r="L439" s="50">
        <v>0</v>
      </c>
      <c r="M439" s="50">
        <v>0</v>
      </c>
      <c r="N439" s="50">
        <v>0</v>
      </c>
      <c r="O439" s="394">
        <v>0</v>
      </c>
      <c r="P439" s="394">
        <v>0</v>
      </c>
    </row>
    <row r="440" spans="2:16" ht="15.5">
      <c r="B440" s="265" t="s">
        <v>97</v>
      </c>
      <c r="C440" s="50">
        <v>23228</v>
      </c>
      <c r="D440" s="50">
        <v>21494</v>
      </c>
      <c r="E440" s="50">
        <v>20755</v>
      </c>
      <c r="F440" s="50">
        <v>20101</v>
      </c>
      <c r="G440" s="50">
        <v>19300</v>
      </c>
      <c r="H440" s="50">
        <v>18450</v>
      </c>
      <c r="I440" s="50">
        <v>17573</v>
      </c>
      <c r="J440" s="50">
        <v>16958</v>
      </c>
      <c r="K440" s="50">
        <v>16174</v>
      </c>
      <c r="L440" s="50">
        <v>15043</v>
      </c>
      <c r="M440" s="50">
        <v>14115</v>
      </c>
      <c r="N440" s="50">
        <v>13618</v>
      </c>
      <c r="O440" s="394">
        <v>12787</v>
      </c>
      <c r="P440" s="394">
        <v>12047.511995999999</v>
      </c>
    </row>
    <row r="441" spans="2:16" ht="15">
      <c r="B441" s="263" t="s">
        <v>73</v>
      </c>
      <c r="C441" s="246">
        <v>70124</v>
      </c>
      <c r="D441" s="246">
        <v>61093</v>
      </c>
      <c r="E441" s="246">
        <v>57133</v>
      </c>
      <c r="F441" s="246">
        <v>56786</v>
      </c>
      <c r="G441" s="246">
        <v>49963</v>
      </c>
      <c r="H441" s="246">
        <v>49364</v>
      </c>
      <c r="I441" s="246">
        <v>51254</v>
      </c>
      <c r="J441" s="246">
        <v>50833</v>
      </c>
      <c r="K441" s="246">
        <v>43769</v>
      </c>
      <c r="L441" s="246">
        <v>45353</v>
      </c>
      <c r="M441" s="246">
        <v>39645</v>
      </c>
      <c r="N441" s="246">
        <v>39364</v>
      </c>
      <c r="O441" s="301">
        <v>31110</v>
      </c>
      <c r="P441" s="301">
        <f>SUM(P434:P440)</f>
        <v>30682.751521999999</v>
      </c>
    </row>
    <row r="442" spans="2:16" ht="15">
      <c r="B442" s="65" t="s">
        <v>74</v>
      </c>
      <c r="C442" s="245">
        <v>95224</v>
      </c>
      <c r="D442" s="245">
        <v>78824</v>
      </c>
      <c r="E442" s="245">
        <v>75096</v>
      </c>
      <c r="F442" s="245">
        <v>70849</v>
      </c>
      <c r="G442" s="245">
        <v>64776</v>
      </c>
      <c r="H442" s="245">
        <v>68097</v>
      </c>
      <c r="I442" s="245">
        <v>72677</v>
      </c>
      <c r="J442" s="245">
        <v>72762</v>
      </c>
      <c r="K442" s="245">
        <v>63487</v>
      </c>
      <c r="L442" s="245">
        <v>68393</v>
      </c>
      <c r="M442" s="245">
        <v>63750</v>
      </c>
      <c r="N442" s="245">
        <v>61814</v>
      </c>
      <c r="O442" s="300">
        <v>49190</v>
      </c>
      <c r="P442" s="300">
        <f>+P432+P441</f>
        <v>51404.647863999999</v>
      </c>
    </row>
    <row r="443" spans="2:16" ht="15">
      <c r="B443" s="67"/>
      <c r="C443" s="266"/>
      <c r="D443" s="266"/>
      <c r="E443" s="266"/>
      <c r="F443" s="266"/>
      <c r="G443" s="266"/>
      <c r="H443" s="266"/>
      <c r="I443" s="266"/>
      <c r="J443" s="266"/>
      <c r="K443" s="266"/>
      <c r="L443" s="266"/>
      <c r="M443" s="266"/>
      <c r="N443" s="266"/>
      <c r="O443" s="302"/>
      <c r="P443" s="302"/>
    </row>
    <row r="444" spans="2:16" ht="15">
      <c r="B444" s="269" t="s">
        <v>75</v>
      </c>
      <c r="C444" s="270"/>
      <c r="D444" s="270"/>
      <c r="E444" s="270"/>
      <c r="F444" s="270"/>
      <c r="G444" s="270"/>
      <c r="H444" s="270"/>
      <c r="I444" s="270"/>
      <c r="J444" s="270"/>
      <c r="K444" s="270"/>
      <c r="L444" s="270"/>
      <c r="M444" s="270"/>
      <c r="N444" s="270"/>
      <c r="O444" s="305"/>
      <c r="P444" s="305"/>
    </row>
    <row r="445" spans="2:16" ht="15.5">
      <c r="B445" s="265" t="s">
        <v>76</v>
      </c>
      <c r="C445" s="50">
        <v>12982</v>
      </c>
      <c r="D445" s="50">
        <v>12982</v>
      </c>
      <c r="E445" s="50">
        <v>12982</v>
      </c>
      <c r="F445" s="50">
        <v>12982</v>
      </c>
      <c r="G445" s="50">
        <v>12982</v>
      </c>
      <c r="H445" s="50">
        <v>12982</v>
      </c>
      <c r="I445" s="50">
        <v>12982</v>
      </c>
      <c r="J445" s="50">
        <v>9650</v>
      </c>
      <c r="K445" s="50">
        <v>9650</v>
      </c>
      <c r="L445" s="50">
        <v>9650</v>
      </c>
      <c r="M445" s="50">
        <v>9650</v>
      </c>
      <c r="N445" s="50">
        <v>9650</v>
      </c>
      <c r="O445" s="394">
        <v>9650</v>
      </c>
      <c r="P445" s="394">
        <v>9650.4594660000002</v>
      </c>
    </row>
    <row r="446" spans="2:16" ht="15.5">
      <c r="B446" s="265" t="s">
        <v>77</v>
      </c>
      <c r="C446" s="50">
        <v>0</v>
      </c>
      <c r="D446" s="50">
        <v>0</v>
      </c>
      <c r="E446" s="50">
        <v>0</v>
      </c>
      <c r="F446" s="50">
        <v>0</v>
      </c>
      <c r="G446" s="50">
        <v>0</v>
      </c>
      <c r="H446" s="50">
        <v>0</v>
      </c>
      <c r="I446" s="50">
        <v>0</v>
      </c>
      <c r="J446" s="50">
        <v>0</v>
      </c>
      <c r="K446" s="50">
        <v>0</v>
      </c>
      <c r="L446" s="50">
        <v>0</v>
      </c>
      <c r="M446" s="50">
        <v>0</v>
      </c>
      <c r="N446" s="50">
        <v>0</v>
      </c>
      <c r="O446" s="394">
        <v>0</v>
      </c>
      <c r="P446" s="394">
        <v>0</v>
      </c>
    </row>
    <row r="447" spans="2:16" ht="15.5">
      <c r="B447" s="265" t="s">
        <v>78</v>
      </c>
      <c r="C447" s="50">
        <v>0</v>
      </c>
      <c r="D447" s="50">
        <v>0</v>
      </c>
      <c r="E447" s="50">
        <v>0</v>
      </c>
      <c r="F447" s="50">
        <v>0</v>
      </c>
      <c r="G447" s="50">
        <v>0</v>
      </c>
      <c r="H447" s="50">
        <v>0</v>
      </c>
      <c r="I447" s="50">
        <v>0</v>
      </c>
      <c r="J447" s="50">
        <v>0</v>
      </c>
      <c r="K447" s="50">
        <v>0</v>
      </c>
      <c r="L447" s="50">
        <v>0</v>
      </c>
      <c r="M447" s="50">
        <v>0</v>
      </c>
      <c r="N447" s="50">
        <v>0</v>
      </c>
      <c r="O447" s="394">
        <v>0</v>
      </c>
      <c r="P447" s="394">
        <v>0</v>
      </c>
    </row>
    <row r="448" spans="2:16" ht="15.5">
      <c r="B448" s="265" t="s">
        <v>79</v>
      </c>
      <c r="C448" s="50">
        <v>3322</v>
      </c>
      <c r="D448" s="50">
        <v>4531</v>
      </c>
      <c r="E448" s="50">
        <v>10627</v>
      </c>
      <c r="F448" s="50">
        <v>3826</v>
      </c>
      <c r="G448" s="50">
        <v>3826</v>
      </c>
      <c r="H448" s="50">
        <v>2447</v>
      </c>
      <c r="I448" s="50">
        <v>235</v>
      </c>
      <c r="J448" s="50">
        <v>235</v>
      </c>
      <c r="K448" s="50">
        <v>235</v>
      </c>
      <c r="L448" s="50">
        <v>-1600</v>
      </c>
      <c r="M448" s="50">
        <v>4517</v>
      </c>
      <c r="N448" s="50">
        <v>6353</v>
      </c>
      <c r="O448" s="394">
        <v>6353</v>
      </c>
      <c r="P448" s="394">
        <v>3478.084613</v>
      </c>
    </row>
    <row r="449" spans="2:16" ht="15.5">
      <c r="B449" s="265" t="s">
        <v>80</v>
      </c>
      <c r="C449" s="50">
        <v>7630</v>
      </c>
      <c r="D449" s="50">
        <v>6096</v>
      </c>
      <c r="E449" s="50">
        <v>1584</v>
      </c>
      <c r="F449" s="50">
        <v>2646</v>
      </c>
      <c r="G449" s="50">
        <v>3612</v>
      </c>
      <c r="H449" s="50">
        <v>4596</v>
      </c>
      <c r="I449" s="50">
        <v>1604</v>
      </c>
      <c r="J449" s="50">
        <v>3066</v>
      </c>
      <c r="K449" s="50">
        <v>4575</v>
      </c>
      <c r="L449" s="50">
        <v>6118</v>
      </c>
      <c r="M449" s="50">
        <v>1349</v>
      </c>
      <c r="N449" s="50">
        <v>2196</v>
      </c>
      <c r="O449" s="394">
        <v>2511</v>
      </c>
      <c r="P449" s="394">
        <v>1847.4007770000001</v>
      </c>
    </row>
    <row r="450" spans="2:16" ht="15.5">
      <c r="B450" s="265" t="s">
        <v>81</v>
      </c>
      <c r="C450" s="50">
        <v>0</v>
      </c>
      <c r="D450" s="50">
        <v>0</v>
      </c>
      <c r="E450" s="50">
        <v>0</v>
      </c>
      <c r="F450" s="50">
        <v>0</v>
      </c>
      <c r="G450" s="50">
        <v>0</v>
      </c>
      <c r="H450" s="50">
        <v>0</v>
      </c>
      <c r="I450" s="50">
        <v>0</v>
      </c>
      <c r="J450" s="50">
        <v>0</v>
      </c>
      <c r="K450" s="50">
        <v>0</v>
      </c>
      <c r="L450" s="50">
        <v>0</v>
      </c>
      <c r="M450" s="50">
        <v>0</v>
      </c>
      <c r="N450" s="50">
        <v>0</v>
      </c>
      <c r="O450" s="394">
        <v>0</v>
      </c>
      <c r="P450" s="394">
        <v>0</v>
      </c>
    </row>
    <row r="451" spans="2:16" ht="15">
      <c r="B451" s="263" t="s">
        <v>84</v>
      </c>
      <c r="C451" s="246">
        <v>23934</v>
      </c>
      <c r="D451" s="246">
        <v>23609</v>
      </c>
      <c r="E451" s="246">
        <v>25193</v>
      </c>
      <c r="F451" s="246">
        <v>19454</v>
      </c>
      <c r="G451" s="246">
        <v>20420</v>
      </c>
      <c r="H451" s="246">
        <v>20025</v>
      </c>
      <c r="I451" s="246">
        <v>14821</v>
      </c>
      <c r="J451" s="246">
        <v>12951</v>
      </c>
      <c r="K451" s="246">
        <v>14460</v>
      </c>
      <c r="L451" s="246">
        <v>14168</v>
      </c>
      <c r="M451" s="246">
        <v>15516</v>
      </c>
      <c r="N451" s="246">
        <v>18199</v>
      </c>
      <c r="O451" s="301">
        <v>18514</v>
      </c>
      <c r="P451" s="301">
        <f>SUM(P445:P450)</f>
        <v>14975.944856</v>
      </c>
    </row>
    <row r="452" spans="2:16" ht="15">
      <c r="B452" s="65" t="s">
        <v>85</v>
      </c>
      <c r="C452" s="245">
        <v>119158</v>
      </c>
      <c r="D452" s="245">
        <v>102433</v>
      </c>
      <c r="E452" s="245">
        <v>100289</v>
      </c>
      <c r="F452" s="245">
        <v>90303</v>
      </c>
      <c r="G452" s="245">
        <v>85196</v>
      </c>
      <c r="H452" s="245">
        <v>88122</v>
      </c>
      <c r="I452" s="245">
        <v>87498</v>
      </c>
      <c r="J452" s="245">
        <v>85713</v>
      </c>
      <c r="K452" s="245">
        <v>77947</v>
      </c>
      <c r="L452" s="245">
        <v>82561</v>
      </c>
      <c r="M452" s="245">
        <v>79266</v>
      </c>
      <c r="N452" s="245">
        <v>80013</v>
      </c>
      <c r="O452" s="300">
        <v>67704</v>
      </c>
      <c r="P452" s="300">
        <f>+P442+P451</f>
        <v>66380.592720000001</v>
      </c>
    </row>
    <row r="453" spans="2:16" ht="15.5">
      <c r="B453" s="5"/>
      <c r="C453" s="259">
        <v>0</v>
      </c>
      <c r="D453" s="259">
        <v>0</v>
      </c>
      <c r="E453" s="259">
        <v>0</v>
      </c>
      <c r="F453" s="259">
        <v>0</v>
      </c>
      <c r="G453" s="259">
        <v>0</v>
      </c>
      <c r="H453" s="259">
        <v>0</v>
      </c>
      <c r="I453" s="259">
        <v>0</v>
      </c>
      <c r="J453" s="259">
        <v>0</v>
      </c>
      <c r="K453" s="259">
        <v>0</v>
      </c>
      <c r="L453" s="259">
        <v>0</v>
      </c>
      <c r="M453" s="259">
        <v>0</v>
      </c>
      <c r="N453" s="259">
        <v>0</v>
      </c>
      <c r="O453" s="403"/>
    </row>
  </sheetData>
  <hyperlinks>
    <hyperlink ref="A1" location="'Table of Contents'!A1" display="Return to Table of Contents" xr:uid="{00000000-0004-0000-0800-000000000000}"/>
  </hyperlinks>
  <pageMargins left="0.7" right="0.7" top="0.75" bottom="0.75" header="0.3" footer="0.3"/>
  <pageSetup orientation="portrait" r:id="rId1"/>
  <customProperties>
    <customPr name="_pios_id" r:id="rId2"/>
    <customPr name="EpmWorksheetKeyString_GUID" r:id="rId3"/>
  </customPropertie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021E8-67F0-491E-8047-7EF717D3F296}">
  <dimension ref="A1:N264"/>
  <sheetViews>
    <sheetView showGridLines="0" zoomScale="90" zoomScaleNormal="90" workbookViewId="0">
      <pane xSplit="1" ySplit="3" topLeftCell="B4" activePane="bottomRight" state="frozen"/>
      <selection pane="topRight" activeCell="B1" sqref="B1"/>
      <selection pane="bottomLeft" activeCell="A4" sqref="A4"/>
      <selection pane="bottomRight" activeCell="M74" sqref="M74"/>
    </sheetView>
  </sheetViews>
  <sheetFormatPr baseColWidth="10" defaultColWidth="11.453125" defaultRowHeight="14.5"/>
  <cols>
    <col min="1" max="1" width="4.26953125" customWidth="1"/>
    <col min="2" max="2" width="22.453125" customWidth="1"/>
    <col min="3" max="3" width="27.453125" customWidth="1"/>
    <col min="4" max="4" width="11.453125" customWidth="1"/>
    <col min="5" max="6" width="14.81640625" customWidth="1"/>
    <col min="7" max="10" width="11.453125" customWidth="1"/>
    <col min="11" max="11" width="8" customWidth="1"/>
    <col min="12" max="12" width="22.453125" customWidth="1"/>
    <col min="13" max="13" width="16.1796875" customWidth="1"/>
    <col min="14" max="14" width="17" customWidth="1"/>
  </cols>
  <sheetData>
    <row r="1" spans="1:14">
      <c r="A1" s="3" t="s">
        <v>686</v>
      </c>
      <c r="B1" s="1"/>
      <c r="C1" s="1"/>
      <c r="D1" s="1"/>
      <c r="E1" s="1"/>
      <c r="F1" s="1"/>
      <c r="G1" s="1"/>
      <c r="H1" s="1"/>
      <c r="I1" s="1"/>
      <c r="J1" s="1"/>
      <c r="K1" s="1"/>
      <c r="L1" s="1"/>
      <c r="M1" s="1"/>
      <c r="N1" s="1"/>
    </row>
    <row r="3" spans="1:14" s="91" customFormat="1" ht="39" customHeight="1">
      <c r="B3" s="135" t="s">
        <v>146</v>
      </c>
      <c r="C3" s="341" t="s">
        <v>148</v>
      </c>
      <c r="D3" s="275" t="s">
        <v>149</v>
      </c>
      <c r="E3" s="136" t="s">
        <v>150</v>
      </c>
      <c r="F3" s="342" t="s">
        <v>151</v>
      </c>
      <c r="G3" s="136" t="s">
        <v>152</v>
      </c>
      <c r="H3" s="660" t="s">
        <v>153</v>
      </c>
      <c r="I3" s="661"/>
      <c r="J3" s="662"/>
      <c r="K3" s="550"/>
      <c r="L3" s="549" t="s">
        <v>993</v>
      </c>
      <c r="M3" s="549" t="s">
        <v>994</v>
      </c>
      <c r="N3" s="549" t="s">
        <v>995</v>
      </c>
    </row>
    <row r="4" spans="1:14" s="91" customFormat="1" ht="3.75" customHeight="1">
      <c r="B4" s="92"/>
      <c r="C4" s="92"/>
      <c r="D4" s="92"/>
      <c r="E4" s="92"/>
      <c r="F4" s="92"/>
      <c r="G4" s="92"/>
      <c r="H4" s="92"/>
      <c r="I4" s="92"/>
      <c r="J4" s="92"/>
      <c r="L4" s="92"/>
      <c r="M4" s="92"/>
      <c r="N4" s="92"/>
    </row>
    <row r="5" spans="1:14" s="91" customFormat="1" ht="15.5" thickBot="1">
      <c r="A5" s="225" t="s">
        <v>492</v>
      </c>
      <c r="B5" s="475" t="s">
        <v>967</v>
      </c>
      <c r="C5" s="476"/>
      <c r="D5" s="475"/>
      <c r="E5" s="475"/>
      <c r="F5" s="475"/>
      <c r="G5" s="475"/>
      <c r="H5" s="475"/>
      <c r="I5" s="477"/>
      <c r="J5" s="477"/>
      <c r="K5" s="419"/>
      <c r="L5" s="477"/>
      <c r="M5" s="478">
        <f>+M21+M27+M33+M54</f>
        <v>2472033.4421121003</v>
      </c>
      <c r="N5" s="479">
        <f>+N21+N27+N33+N54</f>
        <v>720184.54249442101</v>
      </c>
    </row>
    <row r="6" spans="1:14" s="91" customFormat="1" ht="4.5" customHeight="1" thickTop="1">
      <c r="B6" s="480"/>
      <c r="C6" s="481"/>
      <c r="D6" s="481"/>
      <c r="E6" s="481"/>
      <c r="F6" s="481"/>
      <c r="G6" s="481"/>
      <c r="H6" s="481"/>
      <c r="I6" s="481"/>
      <c r="J6" s="481"/>
      <c r="K6" s="420"/>
      <c r="L6" s="481"/>
      <c r="M6" s="441"/>
      <c r="N6" s="441"/>
    </row>
    <row r="7" spans="1:14" s="91" customFormat="1" ht="15">
      <c r="B7" s="663" t="s">
        <v>694</v>
      </c>
      <c r="C7" s="404" t="s">
        <v>866</v>
      </c>
      <c r="D7" s="405" t="s">
        <v>867</v>
      </c>
      <c r="E7" s="406">
        <v>42061</v>
      </c>
      <c r="F7" s="407">
        <v>44618</v>
      </c>
      <c r="G7" s="408">
        <v>7.0054794520547947</v>
      </c>
      <c r="H7" s="409" t="s">
        <v>868</v>
      </c>
      <c r="I7" s="410" t="s">
        <v>155</v>
      </c>
      <c r="J7" s="411">
        <v>3.5999999999999997E-2</v>
      </c>
      <c r="K7" s="419"/>
      <c r="L7" s="104">
        <v>66729730560</v>
      </c>
      <c r="M7" s="445">
        <v>66729.730559859774</v>
      </c>
      <c r="N7" s="446">
        <v>19440.562435501753</v>
      </c>
    </row>
    <row r="8" spans="1:14" s="91" customFormat="1" ht="15">
      <c r="B8" s="663"/>
      <c r="C8" s="404" t="s">
        <v>869</v>
      </c>
      <c r="D8" s="405" t="s">
        <v>867</v>
      </c>
      <c r="E8" s="406">
        <v>42423</v>
      </c>
      <c r="F8" s="407">
        <v>44980</v>
      </c>
      <c r="G8" s="408">
        <v>7.0054794520547947</v>
      </c>
      <c r="H8" s="409" t="s">
        <v>868</v>
      </c>
      <c r="I8" s="410" t="s">
        <v>155</v>
      </c>
      <c r="J8" s="411">
        <v>2.9899999999999999E-2</v>
      </c>
      <c r="K8" s="420"/>
      <c r="L8" s="104">
        <v>125000000000</v>
      </c>
      <c r="M8" s="445">
        <v>124999.99999973732</v>
      </c>
      <c r="N8" s="446">
        <v>36416.605972246856</v>
      </c>
    </row>
    <row r="9" spans="1:14" s="91" customFormat="1" ht="15">
      <c r="B9" s="663"/>
      <c r="C9" s="404" t="s">
        <v>869</v>
      </c>
      <c r="D9" s="405" t="s">
        <v>867</v>
      </c>
      <c r="E9" s="406">
        <v>43017</v>
      </c>
      <c r="F9" s="407">
        <v>46669</v>
      </c>
      <c r="G9" s="408">
        <v>10.005479452054795</v>
      </c>
      <c r="H9" s="409" t="s">
        <v>868</v>
      </c>
      <c r="I9" s="410" t="s">
        <v>155</v>
      </c>
      <c r="J9" s="411">
        <v>4.8000000000000001E-2</v>
      </c>
      <c r="K9" s="419"/>
      <c r="L9" s="104">
        <v>43750000000</v>
      </c>
      <c r="M9" s="445">
        <v>43749.999999908061</v>
      </c>
      <c r="N9" s="446">
        <v>12745.812090286398</v>
      </c>
    </row>
    <row r="10" spans="1:14" s="91" customFormat="1" ht="15">
      <c r="B10" s="663"/>
      <c r="C10" s="404" t="s">
        <v>870</v>
      </c>
      <c r="D10" s="405" t="s">
        <v>867</v>
      </c>
      <c r="E10" s="406">
        <v>43017</v>
      </c>
      <c r="F10" s="407">
        <v>46669</v>
      </c>
      <c r="G10" s="408">
        <v>10.005479452054795</v>
      </c>
      <c r="H10" s="409" t="s">
        <v>868</v>
      </c>
      <c r="I10" s="410" t="s">
        <v>155</v>
      </c>
      <c r="J10" s="411">
        <v>4.8000000000000001E-2</v>
      </c>
      <c r="K10" s="420"/>
      <c r="L10" s="104">
        <v>43750000000</v>
      </c>
      <c r="M10" s="445">
        <v>43749.999999908061</v>
      </c>
      <c r="N10" s="446">
        <v>12745.812090286398</v>
      </c>
    </row>
    <row r="11" spans="1:14" s="91" customFormat="1" ht="15">
      <c r="B11" s="663"/>
      <c r="C11" s="404" t="s">
        <v>869</v>
      </c>
      <c r="D11" s="405" t="s">
        <v>867</v>
      </c>
      <c r="E11" s="406">
        <v>43046</v>
      </c>
      <c r="F11" s="407">
        <v>46698</v>
      </c>
      <c r="G11" s="408">
        <v>10.005479452054795</v>
      </c>
      <c r="H11" s="409" t="s">
        <v>868</v>
      </c>
      <c r="I11" s="410" t="s">
        <v>155</v>
      </c>
      <c r="J11" s="411">
        <v>4.8000000000000001E-2</v>
      </c>
      <c r="K11" s="419"/>
      <c r="L11" s="104">
        <v>78750000000</v>
      </c>
      <c r="M11" s="445">
        <v>78749.999999834516</v>
      </c>
      <c r="N11" s="446">
        <v>22942.461762515519</v>
      </c>
    </row>
    <row r="12" spans="1:14" s="91" customFormat="1" ht="15">
      <c r="B12" s="663"/>
      <c r="C12" s="404" t="s">
        <v>870</v>
      </c>
      <c r="D12" s="405" t="s">
        <v>867</v>
      </c>
      <c r="E12" s="406">
        <v>43046</v>
      </c>
      <c r="F12" s="407">
        <v>46698</v>
      </c>
      <c r="G12" s="408">
        <v>10.005479452054795</v>
      </c>
      <c r="H12" s="409" t="s">
        <v>868</v>
      </c>
      <c r="I12" s="410" t="s">
        <v>155</v>
      </c>
      <c r="J12" s="411">
        <v>4.8000000000000001E-2</v>
      </c>
      <c r="K12" s="420"/>
      <c r="L12" s="104">
        <v>78750000000</v>
      </c>
      <c r="M12" s="445">
        <v>78749.999999834516</v>
      </c>
      <c r="N12" s="446">
        <v>22942.461762515519</v>
      </c>
    </row>
    <row r="13" spans="1:14" s="91" customFormat="1" ht="15">
      <c r="B13" s="663"/>
      <c r="C13" s="404" t="s">
        <v>869</v>
      </c>
      <c r="D13" s="405" t="s">
        <v>867</v>
      </c>
      <c r="E13" s="406">
        <v>43083</v>
      </c>
      <c r="F13" s="407">
        <v>46735</v>
      </c>
      <c r="G13" s="408">
        <v>10.005479452054795</v>
      </c>
      <c r="H13" s="409" t="s">
        <v>868</v>
      </c>
      <c r="I13" s="410" t="s">
        <v>155</v>
      </c>
      <c r="J13" s="411">
        <v>4.8000000000000001E-2</v>
      </c>
      <c r="K13" s="419"/>
      <c r="L13" s="104">
        <v>0</v>
      </c>
      <c r="M13" s="445">
        <v>0</v>
      </c>
      <c r="N13" s="446">
        <v>0</v>
      </c>
    </row>
    <row r="14" spans="1:14" s="91" customFormat="1" ht="15">
      <c r="B14" s="663"/>
      <c r="C14" s="404" t="s">
        <v>870</v>
      </c>
      <c r="D14" s="405" t="s">
        <v>867</v>
      </c>
      <c r="E14" s="406">
        <v>43083</v>
      </c>
      <c r="F14" s="407">
        <v>46735</v>
      </c>
      <c r="G14" s="408">
        <v>10.005479452054795</v>
      </c>
      <c r="H14" s="409" t="s">
        <v>868</v>
      </c>
      <c r="I14" s="410" t="s">
        <v>155</v>
      </c>
      <c r="J14" s="411">
        <v>4.8000000000000001E-2</v>
      </c>
      <c r="K14" s="420"/>
      <c r="L14" s="104">
        <v>0</v>
      </c>
      <c r="M14" s="445">
        <v>0</v>
      </c>
      <c r="N14" s="446">
        <v>0</v>
      </c>
    </row>
    <row r="15" spans="1:14" s="91" customFormat="1" ht="15">
      <c r="B15" s="663"/>
      <c r="C15" s="404" t="s">
        <v>871</v>
      </c>
      <c r="D15" s="405" t="s">
        <v>872</v>
      </c>
      <c r="E15" s="406">
        <v>43461</v>
      </c>
      <c r="F15" s="407">
        <v>45287</v>
      </c>
      <c r="G15" s="408">
        <v>5.0027397260273974</v>
      </c>
      <c r="H15" s="409" t="s">
        <v>873</v>
      </c>
      <c r="I15" s="410" t="s">
        <v>155</v>
      </c>
      <c r="J15" s="412">
        <v>1.2E-2</v>
      </c>
      <c r="K15" s="419"/>
      <c r="L15" s="104">
        <v>50000000</v>
      </c>
      <c r="M15" s="445">
        <v>171624.99999963935</v>
      </c>
      <c r="N15" s="446">
        <v>49999.999999894935</v>
      </c>
    </row>
    <row r="16" spans="1:14" s="91" customFormat="1" ht="15">
      <c r="B16" s="663"/>
      <c r="C16" s="404" t="s">
        <v>871</v>
      </c>
      <c r="D16" s="405" t="s">
        <v>872</v>
      </c>
      <c r="E16" s="406">
        <v>43522</v>
      </c>
      <c r="F16" s="407">
        <v>45287</v>
      </c>
      <c r="G16" s="408">
        <v>4.8356164383561646</v>
      </c>
      <c r="H16" s="409" t="s">
        <v>873</v>
      </c>
      <c r="I16" s="410" t="s">
        <v>155</v>
      </c>
      <c r="J16" s="412">
        <v>1.2E-2</v>
      </c>
      <c r="K16" s="420"/>
      <c r="L16" s="104">
        <v>50000000</v>
      </c>
      <c r="M16" s="445">
        <v>171624.99999963935</v>
      </c>
      <c r="N16" s="446">
        <v>49999.999999894935</v>
      </c>
    </row>
    <row r="17" spans="2:14" s="91" customFormat="1" ht="15">
      <c r="B17" s="663"/>
      <c r="C17" s="404" t="s">
        <v>874</v>
      </c>
      <c r="D17" s="405" t="s">
        <v>867</v>
      </c>
      <c r="E17" s="406">
        <v>43788</v>
      </c>
      <c r="F17" s="407">
        <v>47441</v>
      </c>
      <c r="G17" s="408">
        <v>10.008219178082191</v>
      </c>
      <c r="H17" s="409" t="s">
        <v>875</v>
      </c>
      <c r="I17" s="410" t="s">
        <v>155</v>
      </c>
      <c r="J17" s="412">
        <v>2.5600000000000001E-2</v>
      </c>
      <c r="K17" s="419"/>
      <c r="L17" s="104">
        <v>150000000000</v>
      </c>
      <c r="M17" s="445">
        <v>149999.99999968478</v>
      </c>
      <c r="N17" s="446">
        <v>43699.927166696223</v>
      </c>
    </row>
    <row r="18" spans="2:14" s="91" customFormat="1" ht="15">
      <c r="B18" s="663"/>
      <c r="C18" s="404" t="s">
        <v>870</v>
      </c>
      <c r="D18" s="405" t="s">
        <v>867</v>
      </c>
      <c r="E18" s="406">
        <v>43788</v>
      </c>
      <c r="F18" s="407">
        <v>48171</v>
      </c>
      <c r="G18" s="408">
        <v>12.008219178082191</v>
      </c>
      <c r="H18" s="409" t="s">
        <v>868</v>
      </c>
      <c r="I18" s="410" t="s">
        <v>155</v>
      </c>
      <c r="J18" s="411">
        <v>4.65E-2</v>
      </c>
      <c r="K18" s="420"/>
      <c r="L18" s="104">
        <v>150000000000</v>
      </c>
      <c r="M18" s="445">
        <v>149999.99999968478</v>
      </c>
      <c r="N18" s="446">
        <v>43699.927166696223</v>
      </c>
    </row>
    <row r="19" spans="2:14" s="91" customFormat="1" ht="15">
      <c r="B19" s="663"/>
      <c r="C19" s="404" t="s">
        <v>874</v>
      </c>
      <c r="D19" s="405" t="s">
        <v>867</v>
      </c>
      <c r="E19" s="406">
        <v>43970</v>
      </c>
      <c r="F19" s="407">
        <v>47441</v>
      </c>
      <c r="G19" s="408">
        <v>9.5095890410958912</v>
      </c>
      <c r="H19" s="409" t="s">
        <v>875</v>
      </c>
      <c r="I19" s="410" t="s">
        <v>155</v>
      </c>
      <c r="J19" s="412">
        <v>2.5600000000000001E-2</v>
      </c>
      <c r="K19" s="419"/>
      <c r="L19" s="104">
        <v>150000000000</v>
      </c>
      <c r="M19" s="445">
        <v>149999.99999968478</v>
      </c>
      <c r="N19" s="446">
        <v>43699.927166696223</v>
      </c>
    </row>
    <row r="20" spans="2:14" s="91" customFormat="1" ht="15">
      <c r="B20" s="663"/>
      <c r="C20" s="404" t="s">
        <v>870</v>
      </c>
      <c r="D20" s="405" t="s">
        <v>867</v>
      </c>
      <c r="E20" s="406">
        <v>43970</v>
      </c>
      <c r="F20" s="407">
        <v>48171</v>
      </c>
      <c r="G20" s="408">
        <v>11.509589041095891</v>
      </c>
      <c r="H20" s="409" t="s">
        <v>868</v>
      </c>
      <c r="I20" s="410" t="s">
        <v>155</v>
      </c>
      <c r="J20" s="411">
        <v>4.65E-2</v>
      </c>
      <c r="K20" s="420"/>
      <c r="L20" s="104">
        <v>150000000000</v>
      </c>
      <c r="M20" s="445">
        <v>149999.99999968478</v>
      </c>
      <c r="N20" s="446">
        <v>43699.927166696223</v>
      </c>
    </row>
    <row r="21" spans="2:14" s="91" customFormat="1" ht="20.25" customHeight="1">
      <c r="B21" s="482"/>
      <c r="C21" s="483"/>
      <c r="D21" s="483"/>
      <c r="E21" s="483"/>
      <c r="F21" s="483"/>
      <c r="G21" s="483"/>
      <c r="H21" s="484"/>
      <c r="I21" s="483"/>
      <c r="J21" s="485"/>
      <c r="K21" s="419"/>
      <c r="L21" s="106"/>
      <c r="M21" s="107">
        <v>1379979.7305570999</v>
      </c>
      <c r="N21" s="108">
        <v>402033.42477992724</v>
      </c>
    </row>
    <row r="22" spans="2:14" s="91" customFormat="1" ht="18.75" customHeight="1">
      <c r="B22" s="664" t="s">
        <v>968</v>
      </c>
      <c r="C22" s="404" t="s">
        <v>874</v>
      </c>
      <c r="D22" s="405" t="s">
        <v>867</v>
      </c>
      <c r="E22" s="406">
        <v>42725</v>
      </c>
      <c r="F22" s="407">
        <v>46767</v>
      </c>
      <c r="G22" s="408">
        <v>11.073972602739726</v>
      </c>
      <c r="H22" s="409" t="s">
        <v>868</v>
      </c>
      <c r="I22" s="410" t="s">
        <v>155</v>
      </c>
      <c r="J22" s="412">
        <v>7.4999999999999997E-2</v>
      </c>
      <c r="K22" s="419"/>
      <c r="L22" s="413">
        <v>250000000000</v>
      </c>
      <c r="M22" s="414">
        <v>249999.99993128525</v>
      </c>
      <c r="N22" s="415">
        <v>72833.211924627889</v>
      </c>
    </row>
    <row r="23" spans="2:14" s="91" customFormat="1" ht="15">
      <c r="B23" s="665"/>
      <c r="C23" s="404" t="s">
        <v>866</v>
      </c>
      <c r="D23" s="405" t="s">
        <v>867</v>
      </c>
      <c r="E23" s="406">
        <v>42725</v>
      </c>
      <c r="F23" s="407">
        <v>48959</v>
      </c>
      <c r="G23" s="408">
        <v>17.079452054794519</v>
      </c>
      <c r="H23" s="409" t="s">
        <v>868</v>
      </c>
      <c r="I23" s="410" t="s">
        <v>155</v>
      </c>
      <c r="J23" s="412">
        <v>0.09</v>
      </c>
      <c r="K23" s="420"/>
      <c r="L23" s="413">
        <v>150000000000</v>
      </c>
      <c r="M23" s="414">
        <v>149999.99995877116</v>
      </c>
      <c r="N23" s="415">
        <v>43699.927154776735</v>
      </c>
    </row>
    <row r="24" spans="2:14" s="91" customFormat="1" ht="15">
      <c r="B24" s="665"/>
      <c r="C24" s="404" t="s">
        <v>878</v>
      </c>
      <c r="D24" s="405" t="s">
        <v>867</v>
      </c>
      <c r="E24" s="406">
        <v>42725</v>
      </c>
      <c r="F24" s="407">
        <v>48959</v>
      </c>
      <c r="G24" s="408">
        <v>17.079452054794519</v>
      </c>
      <c r="H24" s="409" t="s">
        <v>868</v>
      </c>
      <c r="I24" s="410" t="s">
        <v>155</v>
      </c>
      <c r="J24" s="412">
        <v>0.09</v>
      </c>
      <c r="K24" s="419"/>
      <c r="L24" s="413">
        <v>150000000000</v>
      </c>
      <c r="M24" s="414">
        <v>149999.99995877116</v>
      </c>
      <c r="N24" s="415">
        <v>43699.927154776735</v>
      </c>
    </row>
    <row r="25" spans="2:14" s="91" customFormat="1" ht="15">
      <c r="B25" s="665"/>
      <c r="C25" s="421" t="s">
        <v>969</v>
      </c>
      <c r="D25" s="422" t="s">
        <v>970</v>
      </c>
      <c r="E25" s="423">
        <v>42725</v>
      </c>
      <c r="F25" s="424">
        <v>48959</v>
      </c>
      <c r="G25" s="425">
        <v>17.079452054794519</v>
      </c>
      <c r="H25" s="426" t="s">
        <v>883</v>
      </c>
      <c r="I25" s="427"/>
      <c r="J25" s="428">
        <v>7.3999999999999996E-2</v>
      </c>
      <c r="K25" s="419"/>
      <c r="L25" s="429">
        <v>560961563</v>
      </c>
      <c r="M25" s="414">
        <v>154299.54597643315</v>
      </c>
      <c r="N25" s="415">
        <v>44952.526140257294</v>
      </c>
    </row>
    <row r="26" spans="2:14" s="91" customFormat="1" ht="15">
      <c r="B26" s="665"/>
      <c r="C26" s="421" t="s">
        <v>971</v>
      </c>
      <c r="D26" s="422" t="s">
        <v>867</v>
      </c>
      <c r="E26" s="423">
        <v>43286</v>
      </c>
      <c r="F26" s="424">
        <v>49498</v>
      </c>
      <c r="G26" s="425">
        <v>17.019178082191782</v>
      </c>
      <c r="H26" s="426" t="s">
        <v>877</v>
      </c>
      <c r="I26" s="427" t="s">
        <v>155</v>
      </c>
      <c r="J26" s="428">
        <v>8.2000000000000003E-2</v>
      </c>
      <c r="K26" s="420"/>
      <c r="L26" s="429">
        <v>8224898181</v>
      </c>
      <c r="M26" s="414">
        <v>8224.8981787393132</v>
      </c>
      <c r="N26" s="415">
        <v>2396.1830091010379</v>
      </c>
    </row>
    <row r="27" spans="2:14" s="91" customFormat="1" ht="15">
      <c r="B27" s="666"/>
      <c r="C27" s="486"/>
      <c r="D27" s="486"/>
      <c r="E27" s="487"/>
      <c r="F27" s="487"/>
      <c r="G27" s="488"/>
      <c r="H27" s="489"/>
      <c r="I27" s="490"/>
      <c r="J27" s="491"/>
      <c r="K27" s="492"/>
      <c r="L27" s="493"/>
      <c r="M27" s="417">
        <v>712524.44400400005</v>
      </c>
      <c r="N27" s="418">
        <v>207581.7753835397</v>
      </c>
    </row>
    <row r="28" spans="2:14" s="91" customFormat="1" ht="4.5" customHeight="1">
      <c r="B28" s="482"/>
      <c r="C28" s="483"/>
      <c r="D28" s="483"/>
      <c r="E28" s="483"/>
      <c r="F28" s="483"/>
      <c r="G28" s="483"/>
      <c r="H28" s="484"/>
      <c r="I28" s="483"/>
      <c r="J28" s="485"/>
      <c r="K28" s="420"/>
      <c r="L28" s="416"/>
      <c r="M28" s="441"/>
      <c r="N28" s="441"/>
    </row>
    <row r="29" spans="2:14" s="91" customFormat="1" ht="15">
      <c r="B29" s="663" t="s">
        <v>696</v>
      </c>
      <c r="C29" s="404" t="s">
        <v>876</v>
      </c>
      <c r="D29" s="405" t="s">
        <v>867</v>
      </c>
      <c r="E29" s="406">
        <v>43508</v>
      </c>
      <c r="F29" s="407">
        <v>46065</v>
      </c>
      <c r="G29" s="408">
        <v>7.0054794520547947</v>
      </c>
      <c r="H29" s="409" t="s">
        <v>868</v>
      </c>
      <c r="I29" s="410" t="s">
        <v>155</v>
      </c>
      <c r="J29" s="412">
        <v>4.2500000000000003E-2</v>
      </c>
      <c r="K29" s="419"/>
      <c r="L29" s="413">
        <v>82500000000</v>
      </c>
      <c r="M29" s="414">
        <v>82500</v>
      </c>
      <c r="N29" s="415">
        <v>24034.959941733428</v>
      </c>
    </row>
    <row r="30" spans="2:14" s="91" customFormat="1" ht="15">
      <c r="B30" s="663"/>
      <c r="C30" s="404" t="s">
        <v>876</v>
      </c>
      <c r="D30" s="405" t="s">
        <v>867</v>
      </c>
      <c r="E30" s="406">
        <v>43508</v>
      </c>
      <c r="F30" s="407">
        <v>46065</v>
      </c>
      <c r="G30" s="408">
        <v>7.0054794520547947</v>
      </c>
      <c r="H30" s="409" t="s">
        <v>868</v>
      </c>
      <c r="I30" s="410" t="s">
        <v>155</v>
      </c>
      <c r="J30" s="412">
        <v>4.2500000000000003E-2</v>
      </c>
      <c r="K30" s="420"/>
      <c r="L30" s="413">
        <v>5500000000</v>
      </c>
      <c r="M30" s="414">
        <v>5500</v>
      </c>
      <c r="N30" s="415">
        <v>1602.3306627822287</v>
      </c>
    </row>
    <row r="31" spans="2:14" s="91" customFormat="1" ht="15">
      <c r="B31" s="663"/>
      <c r="C31" s="404" t="s">
        <v>870</v>
      </c>
      <c r="D31" s="405" t="s">
        <v>867</v>
      </c>
      <c r="E31" s="406">
        <v>43523</v>
      </c>
      <c r="F31" s="407">
        <v>47176</v>
      </c>
      <c r="G31" s="408">
        <v>10.008219178082191</v>
      </c>
      <c r="H31" s="409" t="s">
        <v>877</v>
      </c>
      <c r="I31" s="410" t="s">
        <v>155</v>
      </c>
      <c r="J31" s="412">
        <v>4.0500000000000001E-2</v>
      </c>
      <c r="K31" s="419"/>
      <c r="L31" s="413">
        <v>47250000000</v>
      </c>
      <c r="M31" s="414">
        <v>47250</v>
      </c>
      <c r="N31" s="415">
        <v>13765.477057538237</v>
      </c>
    </row>
    <row r="32" spans="2:14" s="91" customFormat="1" ht="15">
      <c r="B32" s="664"/>
      <c r="C32" s="421" t="s">
        <v>878</v>
      </c>
      <c r="D32" s="422" t="s">
        <v>867</v>
      </c>
      <c r="E32" s="423">
        <v>43530</v>
      </c>
      <c r="F32" s="424">
        <v>46087</v>
      </c>
      <c r="G32" s="425">
        <v>7.0054794520547947</v>
      </c>
      <c r="H32" s="426" t="s">
        <v>868</v>
      </c>
      <c r="I32" s="427" t="s">
        <v>155</v>
      </c>
      <c r="J32" s="428">
        <v>4.2500000000000003E-2</v>
      </c>
      <c r="K32" s="420"/>
      <c r="L32" s="429">
        <v>22800000000</v>
      </c>
      <c r="M32" s="414">
        <v>22800</v>
      </c>
      <c r="N32" s="415">
        <v>6642.3889293517841</v>
      </c>
    </row>
    <row r="33" spans="1:14" s="91" customFormat="1" ht="15">
      <c r="B33" s="482"/>
      <c r="C33" s="486"/>
      <c r="D33" s="486"/>
      <c r="E33" s="487"/>
      <c r="F33" s="487"/>
      <c r="G33" s="488"/>
      <c r="H33" s="489"/>
      <c r="I33" s="490"/>
      <c r="J33" s="491"/>
      <c r="K33" s="492"/>
      <c r="L33" s="493"/>
      <c r="M33" s="417">
        <v>158050</v>
      </c>
      <c r="N33" s="418">
        <v>46045.156591405677</v>
      </c>
    </row>
    <row r="34" spans="1:14" s="91" customFormat="1" ht="15">
      <c r="B34" s="482"/>
      <c r="C34" s="434"/>
      <c r="D34" s="435"/>
      <c r="E34" s="436"/>
      <c r="F34" s="436"/>
      <c r="G34" s="494"/>
      <c r="H34" s="495"/>
      <c r="I34" s="496"/>
      <c r="J34" s="497"/>
      <c r="K34" s="420"/>
      <c r="L34" s="498"/>
      <c r="M34" s="441"/>
      <c r="N34" s="441"/>
    </row>
    <row r="35" spans="1:14" s="91" customFormat="1" ht="14">
      <c r="B35" s="671" t="s">
        <v>972</v>
      </c>
      <c r="C35" s="97" t="s">
        <v>879</v>
      </c>
      <c r="D35" s="98" t="s">
        <v>867</v>
      </c>
      <c r="E35" s="99">
        <v>42894</v>
      </c>
      <c r="F35" s="99">
        <v>45451</v>
      </c>
      <c r="G35" s="499">
        <v>7.0054794520547947</v>
      </c>
      <c r="H35" s="101" t="s">
        <v>877</v>
      </c>
      <c r="I35" s="102" t="s">
        <v>155</v>
      </c>
      <c r="J35" s="105">
        <v>3.7499999999999999E-2</v>
      </c>
      <c r="K35" s="444"/>
      <c r="L35" s="104">
        <v>12203652622.875</v>
      </c>
      <c r="M35" s="445">
        <v>12203.652622826787</v>
      </c>
      <c r="N35" s="446">
        <v>3555.3248719087505</v>
      </c>
    </row>
    <row r="36" spans="1:14" s="91" customFormat="1" ht="14">
      <c r="B36" s="671"/>
      <c r="C36" s="97" t="s">
        <v>879</v>
      </c>
      <c r="D36" s="98" t="s">
        <v>867</v>
      </c>
      <c r="E36" s="99">
        <v>42957</v>
      </c>
      <c r="F36" s="99">
        <v>45514</v>
      </c>
      <c r="G36" s="499">
        <v>7.0054794520547947</v>
      </c>
      <c r="H36" s="101" t="s">
        <v>877</v>
      </c>
      <c r="I36" s="102" t="s">
        <v>155</v>
      </c>
      <c r="J36" s="105">
        <v>3.7499999999999999E-2</v>
      </c>
      <c r="K36" s="447"/>
      <c r="L36" s="104">
        <v>31816782716</v>
      </c>
      <c r="M36" s="445">
        <v>31816.782715874302</v>
      </c>
      <c r="N36" s="446">
        <v>9269.2739157681863</v>
      </c>
    </row>
    <row r="37" spans="1:14" s="91" customFormat="1" ht="14">
      <c r="B37" s="671"/>
      <c r="C37" s="97" t="s">
        <v>879</v>
      </c>
      <c r="D37" s="98" t="s">
        <v>867</v>
      </c>
      <c r="E37" s="99">
        <v>43095</v>
      </c>
      <c r="F37" s="99">
        <v>45652</v>
      </c>
      <c r="G37" s="499">
        <v>7.0054794520547947</v>
      </c>
      <c r="H37" s="101" t="s">
        <v>877</v>
      </c>
      <c r="I37" s="102" t="s">
        <v>155</v>
      </c>
      <c r="J37" s="105">
        <v>3.7499999999999999E-2</v>
      </c>
      <c r="K37" s="444"/>
      <c r="L37" s="104">
        <v>9962165547</v>
      </c>
      <c r="M37" s="445">
        <v>9962.165546960643</v>
      </c>
      <c r="N37" s="446">
        <v>2902.3060588377693</v>
      </c>
    </row>
    <row r="38" spans="1:14" s="91" customFormat="1" ht="14">
      <c r="B38" s="671"/>
      <c r="C38" s="97" t="s">
        <v>874</v>
      </c>
      <c r="D38" s="98" t="s">
        <v>867</v>
      </c>
      <c r="E38" s="99">
        <v>43231</v>
      </c>
      <c r="F38" s="99">
        <v>47068</v>
      </c>
      <c r="G38" s="499">
        <v>10.512328767123288</v>
      </c>
      <c r="H38" s="101" t="s">
        <v>875</v>
      </c>
      <c r="I38" s="102" t="s">
        <v>155</v>
      </c>
      <c r="J38" s="105">
        <v>2.1999999999999999E-2</v>
      </c>
      <c r="K38" s="447"/>
      <c r="L38" s="104">
        <v>59466666666</v>
      </c>
      <c r="M38" s="445">
        <v>59466.666665765057</v>
      </c>
      <c r="N38" s="446">
        <v>17324.593347637307</v>
      </c>
    </row>
    <row r="39" spans="1:14" s="91" customFormat="1" ht="14">
      <c r="B39" s="671"/>
      <c r="C39" s="97" t="s">
        <v>874</v>
      </c>
      <c r="D39" s="98" t="s">
        <v>867</v>
      </c>
      <c r="E39" s="99">
        <v>43406</v>
      </c>
      <c r="F39" s="99">
        <v>47059</v>
      </c>
      <c r="G39" s="499">
        <v>10.008219178082191</v>
      </c>
      <c r="H39" s="101" t="s">
        <v>875</v>
      </c>
      <c r="I39" s="102" t="s">
        <v>155</v>
      </c>
      <c r="J39" s="105">
        <v>2.1999999999999999E-2</v>
      </c>
      <c r="K39" s="444"/>
      <c r="L39" s="104">
        <v>23000000000</v>
      </c>
      <c r="M39" s="445">
        <v>22999.999999909134</v>
      </c>
      <c r="N39" s="446">
        <v>6700.6554988810303</v>
      </c>
    </row>
    <row r="40" spans="1:14" s="91" customFormat="1" ht="14">
      <c r="B40" s="671"/>
      <c r="C40" s="97" t="s">
        <v>874</v>
      </c>
      <c r="D40" s="98" t="s">
        <v>867</v>
      </c>
      <c r="E40" s="99">
        <v>43515</v>
      </c>
      <c r="F40" s="99">
        <v>47168</v>
      </c>
      <c r="G40" s="499">
        <v>10.008219178082191</v>
      </c>
      <c r="H40" s="101" t="s">
        <v>875</v>
      </c>
      <c r="I40" s="102" t="s">
        <v>155</v>
      </c>
      <c r="J40" s="105">
        <v>2.1999999999999999E-2</v>
      </c>
      <c r="K40" s="447"/>
      <c r="L40" s="104">
        <v>5530000000</v>
      </c>
      <c r="M40" s="445">
        <v>5529.9999999781521</v>
      </c>
      <c r="N40" s="446">
        <v>1611.0706482092214</v>
      </c>
    </row>
    <row r="41" spans="1:14" s="91" customFormat="1" ht="14">
      <c r="B41" s="671"/>
      <c r="C41" s="97" t="s">
        <v>880</v>
      </c>
      <c r="D41" s="98" t="s">
        <v>867</v>
      </c>
      <c r="E41" s="99">
        <v>43535</v>
      </c>
      <c r="F41" s="99">
        <v>43901</v>
      </c>
      <c r="G41" s="499">
        <v>1.0027397260273974</v>
      </c>
      <c r="H41" s="101" t="s">
        <v>877</v>
      </c>
      <c r="I41" s="102" t="s">
        <v>155</v>
      </c>
      <c r="J41" s="105">
        <v>2.3E-2</v>
      </c>
      <c r="K41" s="444"/>
      <c r="L41" s="104">
        <v>0</v>
      </c>
      <c r="M41" s="445">
        <v>0</v>
      </c>
      <c r="N41" s="446">
        <v>0</v>
      </c>
    </row>
    <row r="42" spans="1:14" s="91" customFormat="1" ht="14">
      <c r="B42" s="671"/>
      <c r="C42" s="97" t="s">
        <v>881</v>
      </c>
      <c r="D42" s="98" t="s">
        <v>867</v>
      </c>
      <c r="E42" s="99">
        <v>43608</v>
      </c>
      <c r="F42" s="99">
        <v>47261</v>
      </c>
      <c r="G42" s="499">
        <v>10.008219178082191</v>
      </c>
      <c r="H42" s="101" t="s">
        <v>875</v>
      </c>
      <c r="I42" s="102" t="s">
        <v>155</v>
      </c>
      <c r="J42" s="105">
        <v>3.3000000000000002E-2</v>
      </c>
      <c r="K42" s="447"/>
      <c r="L42" s="446">
        <v>9000000000</v>
      </c>
      <c r="M42" s="445">
        <v>8999.9999999644442</v>
      </c>
      <c r="N42" s="446">
        <v>2621.9956299969249</v>
      </c>
    </row>
    <row r="43" spans="1:14" s="91" customFormat="1" ht="14">
      <c r="B43" s="671"/>
      <c r="C43" s="97" t="s">
        <v>881</v>
      </c>
      <c r="D43" s="98" t="s">
        <v>867</v>
      </c>
      <c r="E43" s="99">
        <v>43678</v>
      </c>
      <c r="F43" s="99">
        <v>47261</v>
      </c>
      <c r="G43" s="499">
        <v>9.8164383561643831</v>
      </c>
      <c r="H43" s="101" t="s">
        <v>875</v>
      </c>
      <c r="I43" s="102" t="s">
        <v>155</v>
      </c>
      <c r="J43" s="105">
        <v>3.3000000000000002E-2</v>
      </c>
      <c r="K43" s="444"/>
      <c r="L43" s="104">
        <v>9000000000</v>
      </c>
      <c r="M43" s="445">
        <v>8999.9999999644442</v>
      </c>
      <c r="N43" s="446">
        <v>2621.9956299969249</v>
      </c>
    </row>
    <row r="44" spans="1:14" s="91" customFormat="1" ht="14">
      <c r="B44" s="671"/>
      <c r="C44" s="97" t="s">
        <v>882</v>
      </c>
      <c r="D44" s="98" t="s">
        <v>867</v>
      </c>
      <c r="E44" s="99">
        <v>43770</v>
      </c>
      <c r="F44" s="99">
        <v>44013</v>
      </c>
      <c r="G44" s="499">
        <v>0.66575342465753429</v>
      </c>
      <c r="H44" s="115" t="s">
        <v>883</v>
      </c>
      <c r="I44" s="116">
        <v>0</v>
      </c>
      <c r="J44" s="103">
        <v>5.5E-2</v>
      </c>
      <c r="K44" s="447"/>
      <c r="L44" s="104">
        <v>0</v>
      </c>
      <c r="M44" s="445">
        <v>0</v>
      </c>
      <c r="N44" s="446">
        <v>0</v>
      </c>
    </row>
    <row r="45" spans="1:14" s="91" customFormat="1" ht="14">
      <c r="B45" s="671"/>
      <c r="C45" s="97" t="s">
        <v>874</v>
      </c>
      <c r="D45" s="98" t="s">
        <v>867</v>
      </c>
      <c r="E45" s="99">
        <v>43798</v>
      </c>
      <c r="F45" s="99">
        <v>44164</v>
      </c>
      <c r="G45" s="499">
        <v>1.0027397260273974</v>
      </c>
      <c r="H45" s="101" t="s">
        <v>877</v>
      </c>
      <c r="I45" s="102" t="s">
        <v>155</v>
      </c>
      <c r="J45" s="105">
        <v>1.7299999999999999E-2</v>
      </c>
      <c r="K45" s="444"/>
      <c r="L45" s="104">
        <v>0</v>
      </c>
      <c r="M45" s="445">
        <v>0</v>
      </c>
      <c r="N45" s="446">
        <v>0</v>
      </c>
    </row>
    <row r="46" spans="1:14" s="91" customFormat="1" ht="14.25" customHeight="1">
      <c r="B46" s="671"/>
      <c r="C46" s="97" t="s">
        <v>880</v>
      </c>
      <c r="D46" s="98" t="s">
        <v>867</v>
      </c>
      <c r="E46" s="99">
        <v>43902</v>
      </c>
      <c r="F46" s="99">
        <v>44267</v>
      </c>
      <c r="G46" s="499">
        <v>1</v>
      </c>
      <c r="H46" s="101" t="s">
        <v>877</v>
      </c>
      <c r="I46" s="102" t="s">
        <v>155</v>
      </c>
      <c r="J46" s="105">
        <v>2.4500000000000001E-2</v>
      </c>
      <c r="K46" s="447"/>
      <c r="L46" s="104">
        <v>3500000000</v>
      </c>
      <c r="M46" s="445">
        <v>3499.9999999861725</v>
      </c>
      <c r="N46" s="446">
        <v>1019.6649672210262</v>
      </c>
    </row>
    <row r="47" spans="1:14" s="91" customFormat="1">
      <c r="A47" s="225" t="s">
        <v>492</v>
      </c>
      <c r="B47" s="671"/>
      <c r="C47" s="97" t="s">
        <v>874</v>
      </c>
      <c r="D47" s="98" t="s">
        <v>867</v>
      </c>
      <c r="E47" s="99">
        <v>43893</v>
      </c>
      <c r="F47" s="99">
        <v>44258</v>
      </c>
      <c r="G47" s="499">
        <v>1</v>
      </c>
      <c r="H47" s="101" t="s">
        <v>877</v>
      </c>
      <c r="I47" s="102" t="s">
        <v>155</v>
      </c>
      <c r="J47" s="105">
        <v>1.6500000000000001E-2</v>
      </c>
      <c r="K47" s="444"/>
      <c r="L47" s="104">
        <v>10000000000</v>
      </c>
      <c r="M47" s="445">
        <v>9999.9999999604934</v>
      </c>
      <c r="N47" s="446">
        <v>2913.3284777743611</v>
      </c>
    </row>
    <row r="48" spans="1:14" s="91" customFormat="1" ht="14.25" customHeight="1">
      <c r="B48" s="671"/>
      <c r="C48" s="97" t="s">
        <v>881</v>
      </c>
      <c r="D48" s="98" t="s">
        <v>867</v>
      </c>
      <c r="E48" s="99">
        <v>43936</v>
      </c>
      <c r="F48" s="99">
        <v>47588</v>
      </c>
      <c r="G48" s="499">
        <v>10.005479452054795</v>
      </c>
      <c r="H48" s="101" t="s">
        <v>877</v>
      </c>
      <c r="I48" s="102" t="s">
        <v>155</v>
      </c>
      <c r="J48" s="105">
        <v>3.1899999999999998E-2</v>
      </c>
      <c r="K48" s="447"/>
      <c r="L48" s="104">
        <v>10000000000</v>
      </c>
      <c r="M48" s="445">
        <v>9999.9999999604934</v>
      </c>
      <c r="N48" s="446">
        <v>2913.3284777743611</v>
      </c>
    </row>
    <row r="49" spans="2:14" s="91" customFormat="1" ht="14">
      <c r="B49" s="671"/>
      <c r="C49" s="97" t="s">
        <v>879</v>
      </c>
      <c r="D49" s="98" t="s">
        <v>867</v>
      </c>
      <c r="E49" s="99">
        <v>43977</v>
      </c>
      <c r="F49" s="99">
        <v>46533</v>
      </c>
      <c r="G49" s="499">
        <v>7.0027397260273974</v>
      </c>
      <c r="H49" s="101" t="s">
        <v>877</v>
      </c>
      <c r="I49" s="102" t="s">
        <v>155</v>
      </c>
      <c r="J49" s="105">
        <v>4.8500000000000001E-2</v>
      </c>
      <c r="K49" s="444"/>
      <c r="L49" s="104">
        <v>12000000000</v>
      </c>
      <c r="M49" s="445">
        <v>11999.999999952592</v>
      </c>
      <c r="N49" s="446">
        <v>3495.9941733292326</v>
      </c>
    </row>
    <row r="50" spans="2:14" s="91" customFormat="1" ht="14">
      <c r="B50" s="671"/>
      <c r="C50" s="97" t="s">
        <v>870</v>
      </c>
      <c r="D50" s="98" t="s">
        <v>867</v>
      </c>
      <c r="E50" s="99">
        <v>44088</v>
      </c>
      <c r="F50" s="99">
        <v>47740</v>
      </c>
      <c r="G50" s="499">
        <v>10.005479452054795</v>
      </c>
      <c r="H50" s="101" t="s">
        <v>877</v>
      </c>
      <c r="I50" s="102" t="s">
        <v>155</v>
      </c>
      <c r="J50" s="105">
        <v>3.4500000000000003E-2</v>
      </c>
      <c r="K50" s="444"/>
      <c r="L50" s="104">
        <v>3800000000</v>
      </c>
      <c r="M50" s="445">
        <v>3799.999999984987</v>
      </c>
      <c r="N50" s="446">
        <v>1107.0648215542569</v>
      </c>
    </row>
    <row r="51" spans="2:14" s="91" customFormat="1" ht="14">
      <c r="B51" s="671"/>
      <c r="C51" s="97" t="s">
        <v>870</v>
      </c>
      <c r="D51" s="98" t="s">
        <v>867</v>
      </c>
      <c r="E51" s="99">
        <v>44160</v>
      </c>
      <c r="F51" s="99">
        <v>47812</v>
      </c>
      <c r="G51" s="499">
        <v>10.005479452054795</v>
      </c>
      <c r="H51" s="101" t="s">
        <v>877</v>
      </c>
      <c r="I51" s="102" t="s">
        <v>155</v>
      </c>
      <c r="J51" s="105">
        <v>3.4500000000000003E-2</v>
      </c>
      <c r="K51" s="444"/>
      <c r="L51" s="104">
        <v>8000000000</v>
      </c>
      <c r="M51" s="445">
        <v>7999.9999999683941</v>
      </c>
      <c r="N51" s="446">
        <v>2330.6627822194887</v>
      </c>
    </row>
    <row r="52" spans="2:14" s="91" customFormat="1" ht="15" customHeight="1">
      <c r="B52" s="671"/>
      <c r="C52" s="97" t="s">
        <v>879</v>
      </c>
      <c r="D52" s="98" t="s">
        <v>867</v>
      </c>
      <c r="E52" s="99">
        <v>44186</v>
      </c>
      <c r="F52" s="99">
        <v>46533</v>
      </c>
      <c r="G52" s="499">
        <v>6.4301369863013695</v>
      </c>
      <c r="H52" s="101" t="s">
        <v>877</v>
      </c>
      <c r="I52" s="102" t="s">
        <v>155</v>
      </c>
      <c r="J52" s="105">
        <v>4.8500000000000001E-2</v>
      </c>
      <c r="K52" s="444"/>
      <c r="L52" s="104">
        <v>6000000000</v>
      </c>
      <c r="M52" s="445">
        <v>8199.9999999676038</v>
      </c>
      <c r="N52" s="446">
        <v>2388.9293517749757</v>
      </c>
    </row>
    <row r="53" spans="2:14" s="91" customFormat="1" ht="14">
      <c r="B53" s="671"/>
      <c r="C53" s="97" t="s">
        <v>870</v>
      </c>
      <c r="D53" s="98" t="s">
        <v>867</v>
      </c>
      <c r="E53" s="99">
        <v>44183</v>
      </c>
      <c r="F53" s="99">
        <v>47740</v>
      </c>
      <c r="G53" s="499">
        <v>9.7452054794520553</v>
      </c>
      <c r="H53" s="101" t="s">
        <v>877</v>
      </c>
      <c r="I53" s="102" t="s">
        <v>155</v>
      </c>
      <c r="J53" s="105">
        <v>3.4500000000000003E-2</v>
      </c>
      <c r="K53" s="447"/>
      <c r="L53" s="104">
        <v>8200000000</v>
      </c>
      <c r="M53" s="445">
        <v>5999.9999999762958</v>
      </c>
      <c r="N53" s="446">
        <v>1747.9970866646163</v>
      </c>
    </row>
    <row r="54" spans="2:14" s="91" customFormat="1" ht="15">
      <c r="B54" s="483"/>
      <c r="C54" s="109"/>
      <c r="D54" s="109"/>
      <c r="E54" s="110"/>
      <c r="F54" s="110"/>
      <c r="G54" s="456"/>
      <c r="H54" s="111"/>
      <c r="I54" s="112"/>
      <c r="J54" s="113"/>
      <c r="K54" s="444"/>
      <c r="L54" s="113"/>
      <c r="M54" s="107">
        <v>221479.267551</v>
      </c>
      <c r="N54" s="108">
        <v>64524.18573954844</v>
      </c>
    </row>
    <row r="55" spans="2:14" s="91" customFormat="1" ht="4.5" customHeight="1">
      <c r="B55" s="483"/>
      <c r="C55" s="434"/>
      <c r="D55" s="434"/>
      <c r="E55" s="436"/>
      <c r="F55" s="436"/>
      <c r="G55" s="443"/>
      <c r="H55" s="438"/>
      <c r="I55" s="438"/>
      <c r="J55" s="438"/>
      <c r="K55" s="420"/>
      <c r="L55" s="438"/>
      <c r="M55" s="441"/>
      <c r="N55" s="441"/>
    </row>
    <row r="56" spans="2:14" s="91" customFormat="1" ht="15.5" thickBot="1">
      <c r="B56" s="475" t="s">
        <v>973</v>
      </c>
      <c r="C56" s="475"/>
      <c r="D56" s="475"/>
      <c r="E56" s="475"/>
      <c r="F56" s="475"/>
      <c r="G56" s="475"/>
      <c r="H56" s="475"/>
      <c r="I56" s="477"/>
      <c r="J56" s="477"/>
      <c r="K56" s="419"/>
      <c r="L56" s="477"/>
      <c r="M56" s="478">
        <f>M60+M63+M68+M72</f>
        <v>902219.29471462499</v>
      </c>
      <c r="N56" s="479">
        <f>N60+N63+N68+N72</f>
        <v>262846.11645000003</v>
      </c>
    </row>
    <row r="57" spans="2:14" s="91" customFormat="1" ht="15.5" thickTop="1">
      <c r="B57" s="480"/>
      <c r="C57" s="481"/>
      <c r="D57" s="500"/>
      <c r="E57" s="481"/>
      <c r="F57" s="481"/>
      <c r="G57" s="481"/>
      <c r="H57" s="481"/>
      <c r="I57" s="481"/>
      <c r="J57" s="481"/>
      <c r="K57" s="420"/>
      <c r="L57" s="481"/>
      <c r="M57" s="441"/>
      <c r="N57" s="441"/>
    </row>
    <row r="58" spans="2:14" s="91" customFormat="1" ht="14">
      <c r="B58" s="672" t="s">
        <v>700</v>
      </c>
      <c r="C58" s="97" t="s">
        <v>871</v>
      </c>
      <c r="D58" s="117" t="s">
        <v>872</v>
      </c>
      <c r="E58" s="100">
        <v>43728</v>
      </c>
      <c r="F58" s="100">
        <v>45913</v>
      </c>
      <c r="G58" s="118">
        <v>5.9863013698630141</v>
      </c>
      <c r="H58" s="115" t="s">
        <v>883</v>
      </c>
      <c r="I58" s="116">
        <v>0</v>
      </c>
      <c r="J58" s="103">
        <v>3.1E-2</v>
      </c>
      <c r="K58" s="444"/>
      <c r="L58" s="104">
        <v>70000000</v>
      </c>
      <c r="M58" s="445">
        <v>240275</v>
      </c>
      <c r="N58" s="446">
        <v>70000</v>
      </c>
    </row>
    <row r="59" spans="2:14" s="91" customFormat="1" ht="16.5" customHeight="1">
      <c r="B59" s="673"/>
      <c r="C59" s="97" t="s">
        <v>884</v>
      </c>
      <c r="D59" s="117" t="s">
        <v>872</v>
      </c>
      <c r="E59" s="100">
        <v>43920</v>
      </c>
      <c r="F59" s="100">
        <v>44280</v>
      </c>
      <c r="G59" s="118">
        <v>0.98630136986301364</v>
      </c>
      <c r="H59" s="115" t="s">
        <v>883</v>
      </c>
      <c r="I59" s="116">
        <v>0</v>
      </c>
      <c r="J59" s="103">
        <v>3.7499999999999999E-2</v>
      </c>
      <c r="K59" s="447"/>
      <c r="L59" s="104">
        <v>15000000</v>
      </c>
      <c r="M59" s="445">
        <v>51487.5</v>
      </c>
      <c r="N59" s="446">
        <v>15000</v>
      </c>
    </row>
    <row r="60" spans="2:14" s="91" customFormat="1" ht="12.75" customHeight="1">
      <c r="B60" s="448"/>
      <c r="C60" s="109"/>
      <c r="D60" s="114"/>
      <c r="E60" s="110"/>
      <c r="F60" s="110"/>
      <c r="G60" s="119"/>
      <c r="H60" s="112"/>
      <c r="I60" s="112"/>
      <c r="J60" s="120"/>
      <c r="K60" s="444"/>
      <c r="L60" s="121"/>
      <c r="M60" s="107">
        <v>291762.5</v>
      </c>
      <c r="N60" s="108">
        <v>85000</v>
      </c>
    </row>
    <row r="61" spans="2:14" s="91" customFormat="1" ht="14">
      <c r="B61" s="449"/>
      <c r="C61" s="450"/>
      <c r="D61" s="451"/>
      <c r="E61" s="450"/>
      <c r="F61" s="450"/>
      <c r="G61" s="450"/>
      <c r="H61" s="450"/>
      <c r="I61" s="450"/>
      <c r="J61" s="450"/>
      <c r="K61" s="447"/>
      <c r="L61" s="122"/>
      <c r="M61" s="452"/>
      <c r="N61" s="452"/>
    </row>
    <row r="62" spans="2:14" s="91" customFormat="1" ht="14">
      <c r="B62" s="453" t="s">
        <v>974</v>
      </c>
      <c r="C62" s="97" t="s">
        <v>884</v>
      </c>
      <c r="D62" s="98" t="s">
        <v>872</v>
      </c>
      <c r="E62" s="99">
        <v>43923</v>
      </c>
      <c r="F62" s="99">
        <v>44281</v>
      </c>
      <c r="G62" s="454">
        <v>0.98082191780821915</v>
      </c>
      <c r="H62" s="101" t="s">
        <v>883</v>
      </c>
      <c r="I62" s="102">
        <v>0</v>
      </c>
      <c r="J62" s="103">
        <v>2.98E-2</v>
      </c>
      <c r="K62" s="444"/>
      <c r="L62" s="104">
        <v>0</v>
      </c>
      <c r="M62" s="445">
        <v>0</v>
      </c>
      <c r="N62" s="446">
        <v>0</v>
      </c>
    </row>
    <row r="63" spans="2:14" s="91" customFormat="1" ht="14">
      <c r="B63" s="455"/>
      <c r="C63" s="123"/>
      <c r="D63" s="124"/>
      <c r="E63" s="125"/>
      <c r="F63" s="125"/>
      <c r="G63" s="126"/>
      <c r="H63" s="127"/>
      <c r="I63" s="128"/>
      <c r="J63" s="129"/>
      <c r="K63" s="447"/>
      <c r="L63" s="130"/>
      <c r="M63" s="107">
        <v>0</v>
      </c>
      <c r="N63" s="108">
        <v>0</v>
      </c>
    </row>
    <row r="64" spans="2:14" s="91" customFormat="1" ht="4.5" customHeight="1">
      <c r="B64" s="449"/>
      <c r="C64" s="450"/>
      <c r="D64" s="451"/>
      <c r="E64" s="450"/>
      <c r="F64" s="450"/>
      <c r="G64" s="450"/>
      <c r="H64" s="450"/>
      <c r="I64" s="450"/>
      <c r="J64" s="450"/>
      <c r="K64" s="444"/>
      <c r="L64" s="122"/>
      <c r="M64" s="452"/>
      <c r="N64" s="452"/>
    </row>
    <row r="65" spans="1:14" s="91" customFormat="1">
      <c r="A65" s="225" t="s">
        <v>492</v>
      </c>
      <c r="B65" s="672" t="s">
        <v>975</v>
      </c>
      <c r="C65" s="97" t="s">
        <v>885</v>
      </c>
      <c r="D65" s="98" t="s">
        <v>872</v>
      </c>
      <c r="E65" s="99">
        <v>43816</v>
      </c>
      <c r="F65" s="99">
        <v>46016</v>
      </c>
      <c r="G65" s="454">
        <v>6.0273972602739727</v>
      </c>
      <c r="H65" s="101" t="s">
        <v>883</v>
      </c>
      <c r="I65" s="102">
        <v>0</v>
      </c>
      <c r="J65" s="103">
        <v>3.7999999999999999E-2</v>
      </c>
      <c r="K65" s="447"/>
      <c r="L65" s="104">
        <v>13349239</v>
      </c>
      <c r="M65" s="445">
        <v>45821.262955746774</v>
      </c>
      <c r="N65" s="446">
        <v>13349.239025709183</v>
      </c>
    </row>
    <row r="66" spans="1:14" s="91" customFormat="1" ht="15" customHeight="1">
      <c r="B66" s="674"/>
      <c r="C66" s="97" t="s">
        <v>871</v>
      </c>
      <c r="D66" s="98" t="s">
        <v>872</v>
      </c>
      <c r="E66" s="99">
        <v>44109</v>
      </c>
      <c r="F66" s="99">
        <v>44291</v>
      </c>
      <c r="G66" s="454">
        <v>0.49863013698630138</v>
      </c>
      <c r="H66" s="101" t="s">
        <v>883</v>
      </c>
      <c r="I66" s="102">
        <v>0</v>
      </c>
      <c r="J66" s="103">
        <v>1.06E-2</v>
      </c>
      <c r="K66" s="444"/>
      <c r="L66" s="104">
        <v>0</v>
      </c>
      <c r="M66" s="445">
        <v>0</v>
      </c>
      <c r="N66" s="446">
        <v>0</v>
      </c>
    </row>
    <row r="67" spans="1:14" s="91" customFormat="1" ht="14">
      <c r="B67" s="673"/>
      <c r="C67" s="97" t="s">
        <v>871</v>
      </c>
      <c r="D67" s="98" t="s">
        <v>872</v>
      </c>
      <c r="E67" s="99">
        <v>44067</v>
      </c>
      <c r="F67" s="99">
        <v>44797</v>
      </c>
      <c r="G67" s="454">
        <v>2</v>
      </c>
      <c r="H67" s="115" t="s">
        <v>886</v>
      </c>
      <c r="I67" s="102" t="s">
        <v>155</v>
      </c>
      <c r="J67" s="105">
        <v>1.2500000000000001E-2</v>
      </c>
      <c r="K67" s="447"/>
      <c r="L67" s="104">
        <v>158000000</v>
      </c>
      <c r="M67" s="445">
        <v>542335.00104447827</v>
      </c>
      <c r="N67" s="446">
        <v>158000.00030429085</v>
      </c>
    </row>
    <row r="68" spans="1:14" s="91" customFormat="1" ht="14">
      <c r="B68" s="455"/>
      <c r="C68" s="123"/>
      <c r="D68" s="124"/>
      <c r="E68" s="125"/>
      <c r="F68" s="125"/>
      <c r="G68" s="126"/>
      <c r="H68" s="127"/>
      <c r="I68" s="128"/>
      <c r="J68" s="129"/>
      <c r="K68" s="444"/>
      <c r="L68" s="130"/>
      <c r="M68" s="107">
        <v>588156.264000225</v>
      </c>
      <c r="N68" s="108">
        <v>171349.23933000004</v>
      </c>
    </row>
    <row r="69" spans="1:14" s="91" customFormat="1" ht="14">
      <c r="B69" s="442"/>
      <c r="C69" s="123"/>
      <c r="D69" s="124"/>
      <c r="E69" s="125"/>
      <c r="F69" s="125"/>
      <c r="G69" s="126"/>
      <c r="H69" s="127"/>
      <c r="I69" s="128"/>
      <c r="J69" s="129"/>
      <c r="K69" s="447"/>
      <c r="L69" s="130"/>
      <c r="M69" s="452"/>
      <c r="N69" s="452"/>
    </row>
    <row r="70" spans="1:14" s="91" customFormat="1" ht="14">
      <c r="B70" s="672" t="s">
        <v>976</v>
      </c>
      <c r="C70" s="97" t="s">
        <v>885</v>
      </c>
      <c r="D70" s="98" t="s">
        <v>872</v>
      </c>
      <c r="E70" s="99">
        <v>42405</v>
      </c>
      <c r="F70" s="99">
        <v>45501</v>
      </c>
      <c r="G70" s="454">
        <v>8.4821917808219176</v>
      </c>
      <c r="H70" s="101" t="s">
        <v>873</v>
      </c>
      <c r="I70" s="102" t="s">
        <v>155</v>
      </c>
      <c r="J70" s="105">
        <v>3.2199999999999999E-2</v>
      </c>
      <c r="K70" s="444"/>
      <c r="L70" s="104">
        <v>4533333.333333333</v>
      </c>
      <c r="M70" s="445">
        <v>15556.771092219549</v>
      </c>
      <c r="N70" s="446">
        <v>4532.1984245359208</v>
      </c>
    </row>
    <row r="71" spans="1:14" s="91" customFormat="1" ht="14">
      <c r="B71" s="673"/>
      <c r="C71" s="97" t="s">
        <v>885</v>
      </c>
      <c r="D71" s="98" t="s">
        <v>887</v>
      </c>
      <c r="E71" s="99">
        <v>43959</v>
      </c>
      <c r="F71" s="99">
        <v>45054</v>
      </c>
      <c r="G71" s="454">
        <v>3</v>
      </c>
      <c r="H71" s="101" t="s">
        <v>883</v>
      </c>
      <c r="I71" s="102">
        <v>0</v>
      </c>
      <c r="J71" s="105">
        <v>9.7999999999999997E-3</v>
      </c>
      <c r="K71" s="447"/>
      <c r="L71" s="104">
        <v>7115883</v>
      </c>
      <c r="M71" s="445">
        <v>6743.7596221804506</v>
      </c>
      <c r="N71" s="446">
        <v>1964.6786954640788</v>
      </c>
    </row>
    <row r="72" spans="1:14" s="91" customFormat="1" ht="14">
      <c r="B72" s="448"/>
      <c r="C72" s="109"/>
      <c r="D72" s="131"/>
      <c r="E72" s="110"/>
      <c r="F72" s="110"/>
      <c r="G72" s="456"/>
      <c r="H72" s="112"/>
      <c r="I72" s="112"/>
      <c r="J72" s="112"/>
      <c r="K72" s="444"/>
      <c r="L72" s="112"/>
      <c r="M72" s="107">
        <v>22300.5307144</v>
      </c>
      <c r="N72" s="108">
        <v>6496.8771199999992</v>
      </c>
    </row>
    <row r="73" spans="1:14" s="91" customFormat="1" ht="15">
      <c r="B73" s="501"/>
      <c r="C73" s="434"/>
      <c r="D73" s="502"/>
      <c r="E73" s="436"/>
      <c r="F73" s="436"/>
      <c r="G73" s="443"/>
      <c r="H73" s="438"/>
      <c r="I73" s="438"/>
      <c r="J73" s="438"/>
      <c r="K73" s="420"/>
      <c r="L73" s="438"/>
      <c r="M73" s="441"/>
      <c r="N73" s="441"/>
    </row>
    <row r="74" spans="1:14" s="91" customFormat="1" ht="15.5" thickBot="1">
      <c r="B74" s="475" t="s">
        <v>977</v>
      </c>
      <c r="C74" s="475"/>
      <c r="D74" s="475"/>
      <c r="E74" s="475"/>
      <c r="F74" s="475"/>
      <c r="G74" s="475"/>
      <c r="H74" s="475"/>
      <c r="I74" s="477"/>
      <c r="J74" s="477"/>
      <c r="K74" s="419"/>
      <c r="L74" s="477"/>
      <c r="M74" s="478">
        <f>M86+M89+M95+M99+M102+M108+M123</f>
        <v>946567.52959872561</v>
      </c>
      <c r="N74" s="479">
        <f>N86+N89+N95+N99+N102+N108+N123</f>
        <v>275766.21401273872</v>
      </c>
    </row>
    <row r="75" spans="1:14" s="91" customFormat="1" ht="15.5" thickTop="1">
      <c r="B75" s="480"/>
      <c r="C75" s="481"/>
      <c r="D75" s="500"/>
      <c r="E75" s="481"/>
      <c r="F75" s="481"/>
      <c r="G75" s="481"/>
      <c r="H75" s="481"/>
      <c r="I75" s="481"/>
      <c r="J75" s="481"/>
      <c r="K75" s="420"/>
      <c r="L75" s="481"/>
      <c r="M75" s="503"/>
      <c r="N75" s="503"/>
    </row>
    <row r="76" spans="1:14" s="91" customFormat="1" ht="15">
      <c r="B76" s="675" t="s">
        <v>978</v>
      </c>
      <c r="C76" s="457" t="s">
        <v>888</v>
      </c>
      <c r="D76" s="457" t="s">
        <v>889</v>
      </c>
      <c r="E76" s="406">
        <v>32881</v>
      </c>
      <c r="F76" s="406">
        <v>44515</v>
      </c>
      <c r="G76" s="408">
        <v>31.873972602739727</v>
      </c>
      <c r="H76" s="432" t="s">
        <v>883</v>
      </c>
      <c r="I76" s="410">
        <v>0</v>
      </c>
      <c r="J76" s="412">
        <v>0.08</v>
      </c>
      <c r="K76" s="419"/>
      <c r="L76" s="413">
        <v>15968.810000000005</v>
      </c>
      <c r="M76" s="414">
        <v>10.547643757215559</v>
      </c>
      <c r="N76" s="415">
        <v>3.0728750931436442</v>
      </c>
    </row>
    <row r="77" spans="1:14" s="91" customFormat="1" ht="15">
      <c r="B77" s="676"/>
      <c r="C77" s="457" t="s">
        <v>890</v>
      </c>
      <c r="D77" s="457" t="s">
        <v>889</v>
      </c>
      <c r="E77" s="406">
        <v>41668</v>
      </c>
      <c r="F77" s="406">
        <v>47192</v>
      </c>
      <c r="G77" s="408">
        <v>15.134246575342466</v>
      </c>
      <c r="H77" s="409" t="s">
        <v>891</v>
      </c>
      <c r="I77" s="410" t="s">
        <v>155</v>
      </c>
      <c r="J77" s="412">
        <v>1.7999999999999999E-2</v>
      </c>
      <c r="K77" s="420"/>
      <c r="L77" s="413">
        <v>158471786.84222543</v>
      </c>
      <c r="M77" s="414">
        <v>104673.04408914587</v>
      </c>
      <c r="N77" s="415">
        <v>30494.696020144464</v>
      </c>
    </row>
    <row r="78" spans="1:14" s="91" customFormat="1" ht="15" customHeight="1">
      <c r="B78" s="676"/>
      <c r="C78" s="457" t="s">
        <v>892</v>
      </c>
      <c r="D78" s="457" t="s">
        <v>889</v>
      </c>
      <c r="E78" s="406">
        <v>41668</v>
      </c>
      <c r="F78" s="406">
        <v>45306</v>
      </c>
      <c r="G78" s="408">
        <v>9.9671232876712335</v>
      </c>
      <c r="H78" s="432" t="s">
        <v>883</v>
      </c>
      <c r="I78" s="410">
        <v>0</v>
      </c>
      <c r="J78" s="412">
        <v>3.5000000000000003E-2</v>
      </c>
      <c r="K78" s="419"/>
      <c r="L78" s="458">
        <v>31484156.54892043</v>
      </c>
      <c r="M78" s="414">
        <v>20795.767954808012</v>
      </c>
      <c r="N78" s="415">
        <v>6058.4903000169006</v>
      </c>
    </row>
    <row r="79" spans="1:14" s="91" customFormat="1" ht="15">
      <c r="B79" s="676"/>
      <c r="C79" s="457" t="s">
        <v>893</v>
      </c>
      <c r="D79" s="457" t="s">
        <v>889</v>
      </c>
      <c r="E79" s="406">
        <v>41668</v>
      </c>
      <c r="F79" s="406">
        <v>47192</v>
      </c>
      <c r="G79" s="408">
        <v>15.134246575342466</v>
      </c>
      <c r="H79" s="432" t="s">
        <v>891</v>
      </c>
      <c r="I79" s="410" t="s">
        <v>155</v>
      </c>
      <c r="J79" s="412">
        <v>0</v>
      </c>
      <c r="K79" s="420"/>
      <c r="L79" s="413">
        <v>1317764.1248847926</v>
      </c>
      <c r="M79" s="414">
        <v>870.40340171394735</v>
      </c>
      <c r="N79" s="415">
        <v>253.57710173749376</v>
      </c>
    </row>
    <row r="80" spans="1:14" s="91" customFormat="1" ht="15">
      <c r="B80" s="676"/>
      <c r="C80" s="457" t="s">
        <v>894</v>
      </c>
      <c r="D80" s="457" t="s">
        <v>872</v>
      </c>
      <c r="E80" s="406">
        <v>43301</v>
      </c>
      <c r="F80" s="406">
        <v>44032</v>
      </c>
      <c r="G80" s="408">
        <v>2.0027397260273974</v>
      </c>
      <c r="H80" s="432" t="s">
        <v>883</v>
      </c>
      <c r="I80" s="410">
        <v>0</v>
      </c>
      <c r="J80" s="412">
        <v>3.3415E-2</v>
      </c>
      <c r="K80" s="419"/>
      <c r="L80" s="415">
        <v>0</v>
      </c>
      <c r="M80" s="414">
        <v>0</v>
      </c>
      <c r="N80" s="415">
        <v>0</v>
      </c>
    </row>
    <row r="81" spans="2:14" s="91" customFormat="1" ht="15" customHeight="1">
      <c r="B81" s="676"/>
      <c r="C81" s="457" t="s">
        <v>895</v>
      </c>
      <c r="D81" s="457" t="s">
        <v>872</v>
      </c>
      <c r="E81" s="406">
        <v>0</v>
      </c>
      <c r="F81" s="406">
        <v>0</v>
      </c>
      <c r="G81" s="408">
        <v>0</v>
      </c>
      <c r="H81" s="432" t="s">
        <v>886</v>
      </c>
      <c r="I81" s="433" t="s">
        <v>155</v>
      </c>
      <c r="J81" s="459">
        <v>0</v>
      </c>
      <c r="K81" s="420"/>
      <c r="L81" s="413">
        <v>0</v>
      </c>
      <c r="M81" s="414">
        <v>0</v>
      </c>
      <c r="N81" s="415">
        <v>0</v>
      </c>
    </row>
    <row r="82" spans="2:14" s="91" customFormat="1" ht="15">
      <c r="B82" s="676"/>
      <c r="C82" s="457" t="s">
        <v>896</v>
      </c>
      <c r="D82" s="457" t="s">
        <v>872</v>
      </c>
      <c r="E82" s="406">
        <v>43336</v>
      </c>
      <c r="F82" s="406">
        <v>44067</v>
      </c>
      <c r="G82" s="408">
        <v>2.0027397260273974</v>
      </c>
      <c r="H82" s="432" t="s">
        <v>886</v>
      </c>
      <c r="I82" s="433" t="s">
        <v>155</v>
      </c>
      <c r="J82" s="412">
        <v>4.7000000000000002E-3</v>
      </c>
      <c r="K82" s="419"/>
      <c r="L82" s="415">
        <v>0</v>
      </c>
      <c r="M82" s="414">
        <v>0</v>
      </c>
      <c r="N82" s="415">
        <v>0</v>
      </c>
    </row>
    <row r="83" spans="2:14" s="91" customFormat="1" ht="15">
      <c r="B83" s="676"/>
      <c r="C83" s="457" t="s">
        <v>897</v>
      </c>
      <c r="D83" s="457" t="s">
        <v>889</v>
      </c>
      <c r="E83" s="406">
        <v>42955</v>
      </c>
      <c r="F83" s="406">
        <v>48288</v>
      </c>
      <c r="G83" s="408">
        <v>14.610958904109589</v>
      </c>
      <c r="H83" s="432" t="s">
        <v>891</v>
      </c>
      <c r="I83" s="410" t="s">
        <v>155</v>
      </c>
      <c r="J83" s="412">
        <v>2.6200000000000001E-2</v>
      </c>
      <c r="K83" s="420"/>
      <c r="L83" s="413">
        <v>219104613.18938795</v>
      </c>
      <c r="M83" s="414">
        <v>144721.95520418719</v>
      </c>
      <c r="N83" s="415">
        <v>42162.259345720959</v>
      </c>
    </row>
    <row r="84" spans="2:14" s="91" customFormat="1" ht="15">
      <c r="B84" s="676"/>
      <c r="C84" s="457" t="s">
        <v>898</v>
      </c>
      <c r="D84" s="457" t="s">
        <v>889</v>
      </c>
      <c r="E84" s="406">
        <v>43950</v>
      </c>
      <c r="F84" s="406">
        <v>48288</v>
      </c>
      <c r="G84" s="408">
        <v>11.884931506849314</v>
      </c>
      <c r="H84" s="432" t="s">
        <v>891</v>
      </c>
      <c r="I84" s="410" t="s">
        <v>155</v>
      </c>
      <c r="J84" s="412">
        <v>0</v>
      </c>
      <c r="K84" s="419"/>
      <c r="L84" s="413">
        <v>1300984.7946495223</v>
      </c>
      <c r="M84" s="414">
        <v>859.32039691858029</v>
      </c>
      <c r="N84" s="415">
        <v>250.34825838851577</v>
      </c>
    </row>
    <row r="85" spans="2:14" s="91" customFormat="1" ht="15">
      <c r="B85" s="677"/>
      <c r="C85" s="457" t="s">
        <v>899</v>
      </c>
      <c r="D85" s="457" t="s">
        <v>889</v>
      </c>
      <c r="E85" s="406">
        <v>43951</v>
      </c>
      <c r="F85" s="406">
        <v>44671</v>
      </c>
      <c r="G85" s="408">
        <v>1.9726027397260273</v>
      </c>
      <c r="H85" s="432" t="s">
        <v>900</v>
      </c>
      <c r="I85" s="410" t="s">
        <v>155</v>
      </c>
      <c r="J85" s="412">
        <v>2.4500000000000001E-2</v>
      </c>
      <c r="K85" s="420"/>
      <c r="L85" s="413">
        <v>650000000</v>
      </c>
      <c r="M85" s="414">
        <v>429334.96247936506</v>
      </c>
      <c r="N85" s="415">
        <v>125079.37727002625</v>
      </c>
    </row>
    <row r="86" spans="2:14" s="91" customFormat="1" ht="15">
      <c r="B86" s="483"/>
      <c r="C86" s="434"/>
      <c r="D86" s="435"/>
      <c r="E86" s="436"/>
      <c r="F86" s="436"/>
      <c r="G86" s="437"/>
      <c r="H86" s="438"/>
      <c r="I86" s="438"/>
      <c r="J86" s="439"/>
      <c r="K86" s="419"/>
      <c r="L86" s="440"/>
      <c r="M86" s="417">
        <v>701266.00116989587</v>
      </c>
      <c r="N86" s="418">
        <v>204301.82117112773</v>
      </c>
    </row>
    <row r="87" spans="2:14" s="91" customFormat="1" ht="4.5" customHeight="1">
      <c r="B87" s="483"/>
      <c r="C87" s="434"/>
      <c r="D87" s="435"/>
      <c r="E87" s="436"/>
      <c r="F87" s="436"/>
      <c r="G87" s="437"/>
      <c r="H87" s="438"/>
      <c r="I87" s="438"/>
      <c r="J87" s="439"/>
      <c r="K87" s="420"/>
      <c r="L87" s="440"/>
      <c r="M87" s="441"/>
      <c r="N87" s="441"/>
    </row>
    <row r="88" spans="2:14" s="91" customFormat="1" ht="15">
      <c r="B88" s="504" t="s">
        <v>979</v>
      </c>
      <c r="C88" s="457" t="s">
        <v>901</v>
      </c>
      <c r="D88" s="457" t="s">
        <v>889</v>
      </c>
      <c r="E88" s="406">
        <v>39899</v>
      </c>
      <c r="F88" s="406">
        <v>45031</v>
      </c>
      <c r="G88" s="408">
        <v>14.06027397260274</v>
      </c>
      <c r="H88" s="409" t="s">
        <v>891</v>
      </c>
      <c r="I88" s="410" t="s">
        <v>155</v>
      </c>
      <c r="J88" s="412">
        <v>2.3900000000000001E-2</v>
      </c>
      <c r="K88" s="419"/>
      <c r="L88" s="413">
        <v>11806405.829999898</v>
      </c>
      <c r="M88" s="414">
        <v>7798.3120079040491</v>
      </c>
      <c r="N88" s="415">
        <v>2271.9044451286377</v>
      </c>
    </row>
    <row r="89" spans="2:14" s="91" customFormat="1" ht="15">
      <c r="B89" s="483"/>
      <c r="C89" s="434"/>
      <c r="D89" s="435"/>
      <c r="E89" s="436"/>
      <c r="F89" s="436"/>
      <c r="G89" s="437"/>
      <c r="H89" s="438"/>
      <c r="I89" s="438"/>
      <c r="J89" s="439"/>
      <c r="K89" s="420"/>
      <c r="L89" s="440"/>
      <c r="M89" s="417">
        <v>7798.3120079040491</v>
      </c>
      <c r="N89" s="418">
        <v>2271.9044451286377</v>
      </c>
    </row>
    <row r="90" spans="2:14" s="91" customFormat="1" ht="15">
      <c r="B90" s="483"/>
      <c r="C90" s="434"/>
      <c r="D90" s="435"/>
      <c r="E90" s="436"/>
      <c r="F90" s="436"/>
      <c r="G90" s="437"/>
      <c r="H90" s="438"/>
      <c r="I90" s="438"/>
      <c r="J90" s="439"/>
      <c r="K90" s="419"/>
      <c r="L90" s="440"/>
      <c r="M90" s="441"/>
      <c r="N90" s="441"/>
    </row>
    <row r="91" spans="2:14" s="91" customFormat="1" ht="12.75" customHeight="1">
      <c r="B91" s="663" t="s">
        <v>980</v>
      </c>
      <c r="C91" s="404" t="s">
        <v>902</v>
      </c>
      <c r="D91" s="457" t="s">
        <v>889</v>
      </c>
      <c r="E91" s="407">
        <v>40571</v>
      </c>
      <c r="F91" s="407">
        <v>44211</v>
      </c>
      <c r="G91" s="408">
        <v>9.9726027397260282</v>
      </c>
      <c r="H91" s="432" t="s">
        <v>883</v>
      </c>
      <c r="I91" s="410">
        <v>0</v>
      </c>
      <c r="J91" s="412">
        <v>5.5E-2</v>
      </c>
      <c r="K91" s="420"/>
      <c r="L91" s="413">
        <v>758920.74416668806</v>
      </c>
      <c r="M91" s="414">
        <v>501.27878345013863</v>
      </c>
      <c r="N91" s="415">
        <v>146.03897551351452</v>
      </c>
    </row>
    <row r="92" spans="2:14" s="91" customFormat="1" ht="15">
      <c r="B92" s="663"/>
      <c r="C92" s="404" t="s">
        <v>901</v>
      </c>
      <c r="D92" s="457" t="s">
        <v>889</v>
      </c>
      <c r="E92" s="407">
        <v>40571</v>
      </c>
      <c r="F92" s="407">
        <v>46157</v>
      </c>
      <c r="G92" s="408">
        <v>15.304109589041095</v>
      </c>
      <c r="H92" s="409" t="s">
        <v>891</v>
      </c>
      <c r="I92" s="410" t="s">
        <v>155</v>
      </c>
      <c r="J92" s="412">
        <v>2.6200000000000001E-2</v>
      </c>
      <c r="K92" s="419"/>
      <c r="L92" s="413">
        <v>17351654.065714322</v>
      </c>
      <c r="M92" s="414">
        <v>11461.033458058317</v>
      </c>
      <c r="N92" s="415">
        <v>3338.9755158217963</v>
      </c>
    </row>
    <row r="93" spans="2:14" s="91" customFormat="1" ht="15">
      <c r="B93" s="663"/>
      <c r="C93" s="404" t="s">
        <v>902</v>
      </c>
      <c r="D93" s="457" t="s">
        <v>889</v>
      </c>
      <c r="E93" s="407">
        <v>41529</v>
      </c>
      <c r="F93" s="407">
        <v>45033</v>
      </c>
      <c r="G93" s="408">
        <v>9.6</v>
      </c>
      <c r="H93" s="432" t="s">
        <v>883</v>
      </c>
      <c r="I93" s="410">
        <v>0</v>
      </c>
      <c r="J93" s="412">
        <v>3.5000000000000003E-2</v>
      </c>
      <c r="K93" s="420"/>
      <c r="L93" s="413">
        <v>4160545.454545497</v>
      </c>
      <c r="M93" s="414">
        <v>2748.104041132251</v>
      </c>
      <c r="N93" s="415">
        <v>800.61297629490207</v>
      </c>
    </row>
    <row r="94" spans="2:14" s="91" customFormat="1" ht="15" customHeight="1">
      <c r="B94" s="663"/>
      <c r="C94" s="404" t="s">
        <v>901</v>
      </c>
      <c r="D94" s="457" t="s">
        <v>889</v>
      </c>
      <c r="E94" s="407">
        <v>41529</v>
      </c>
      <c r="F94" s="407">
        <v>46798</v>
      </c>
      <c r="G94" s="408">
        <v>14.435616438356165</v>
      </c>
      <c r="H94" s="409" t="s">
        <v>891</v>
      </c>
      <c r="I94" s="410" t="s">
        <v>155</v>
      </c>
      <c r="J94" s="411">
        <v>2.06E-2</v>
      </c>
      <c r="K94" s="419"/>
      <c r="L94" s="413">
        <v>3661398.8095238023</v>
      </c>
      <c r="M94" s="414">
        <v>2418.4100317078137</v>
      </c>
      <c r="N94" s="415">
        <v>704.56228163374033</v>
      </c>
    </row>
    <row r="95" spans="2:14" s="91" customFormat="1" ht="15">
      <c r="B95" s="483"/>
      <c r="C95" s="434"/>
      <c r="D95" s="434"/>
      <c r="E95" s="436"/>
      <c r="F95" s="436"/>
      <c r="G95" s="443"/>
      <c r="H95" s="438"/>
      <c r="I95" s="438"/>
      <c r="J95" s="439"/>
      <c r="K95" s="420"/>
      <c r="L95" s="440"/>
      <c r="M95" s="417">
        <v>17128.826314348516</v>
      </c>
      <c r="N95" s="417">
        <v>4990.1897492639528</v>
      </c>
    </row>
    <row r="96" spans="2:14" s="91" customFormat="1" ht="15">
      <c r="B96" s="483"/>
      <c r="C96" s="434"/>
      <c r="D96" s="434"/>
      <c r="E96" s="436"/>
      <c r="F96" s="436"/>
      <c r="G96" s="443"/>
      <c r="H96" s="438"/>
      <c r="I96" s="438"/>
      <c r="J96" s="439"/>
      <c r="K96" s="419"/>
      <c r="L96" s="440"/>
      <c r="M96" s="441"/>
      <c r="N96" s="441"/>
    </row>
    <row r="97" spans="2:14" s="91" customFormat="1" ht="15">
      <c r="B97" s="667" t="s">
        <v>981</v>
      </c>
      <c r="C97" s="457" t="s">
        <v>901</v>
      </c>
      <c r="D97" s="457" t="s">
        <v>889</v>
      </c>
      <c r="E97" s="407">
        <v>40865</v>
      </c>
      <c r="F97" s="407">
        <v>46157</v>
      </c>
      <c r="G97" s="408">
        <v>14.498630136986302</v>
      </c>
      <c r="H97" s="409" t="s">
        <v>891</v>
      </c>
      <c r="I97" s="410" t="s">
        <v>155</v>
      </c>
      <c r="J97" s="412">
        <v>1.95E-2</v>
      </c>
      <c r="K97" s="420"/>
      <c r="L97" s="413">
        <v>19364155.888571389</v>
      </c>
      <c r="M97" s="414">
        <v>12790.321758305965</v>
      </c>
      <c r="N97" s="415">
        <v>3726.2408618517015</v>
      </c>
    </row>
    <row r="98" spans="2:14" s="91" customFormat="1" ht="15">
      <c r="B98" s="669"/>
      <c r="C98" s="457" t="s">
        <v>901</v>
      </c>
      <c r="D98" s="457" t="s">
        <v>889</v>
      </c>
      <c r="E98" s="407">
        <v>40865</v>
      </c>
      <c r="F98" s="407">
        <v>46157</v>
      </c>
      <c r="G98" s="408">
        <v>14.498630136986302</v>
      </c>
      <c r="H98" s="409" t="s">
        <v>891</v>
      </c>
      <c r="I98" s="410" t="s">
        <v>155</v>
      </c>
      <c r="J98" s="412">
        <v>1.55E-2</v>
      </c>
      <c r="K98" s="419"/>
      <c r="L98" s="413">
        <v>16762261.904761858</v>
      </c>
      <c r="M98" s="414">
        <v>11071.730902839574</v>
      </c>
      <c r="N98" s="415">
        <v>3225.5588937624398</v>
      </c>
    </row>
    <row r="99" spans="2:14" s="91" customFormat="1" ht="15">
      <c r="B99" s="501"/>
      <c r="C99" s="434"/>
      <c r="D99" s="434"/>
      <c r="E99" s="436"/>
      <c r="F99" s="436"/>
      <c r="G99" s="443"/>
      <c r="H99" s="438"/>
      <c r="I99" s="438"/>
      <c r="J99" s="439"/>
      <c r="K99" s="420"/>
      <c r="L99" s="440"/>
      <c r="M99" s="417">
        <v>23862.052661145539</v>
      </c>
      <c r="N99" s="417">
        <v>6951.7997556141418</v>
      </c>
    </row>
    <row r="100" spans="2:14" s="91" customFormat="1" ht="4.5" customHeight="1">
      <c r="B100" s="483"/>
      <c r="C100" s="434"/>
      <c r="D100" s="434"/>
      <c r="E100" s="436"/>
      <c r="F100" s="436"/>
      <c r="G100" s="443"/>
      <c r="H100" s="438"/>
      <c r="I100" s="438"/>
      <c r="J100" s="439"/>
      <c r="K100" s="419"/>
      <c r="L100" s="440"/>
      <c r="M100" s="441"/>
      <c r="N100" s="441"/>
    </row>
    <row r="101" spans="2:14" s="91" customFormat="1" ht="15">
      <c r="B101" s="505" t="s">
        <v>982</v>
      </c>
      <c r="C101" s="457" t="s">
        <v>903</v>
      </c>
      <c r="D101" s="457" t="s">
        <v>889</v>
      </c>
      <c r="E101" s="406">
        <v>40317</v>
      </c>
      <c r="F101" s="406">
        <v>47622</v>
      </c>
      <c r="G101" s="408">
        <v>20.013698630136986</v>
      </c>
      <c r="H101" s="432" t="s">
        <v>883</v>
      </c>
      <c r="I101" s="410">
        <v>0</v>
      </c>
      <c r="J101" s="412">
        <v>8.5000000000000006E-2</v>
      </c>
      <c r="K101" s="420"/>
      <c r="L101" s="413">
        <v>147705500.73000014</v>
      </c>
      <c r="M101" s="414">
        <v>97561.747119465319</v>
      </c>
      <c r="N101" s="415">
        <v>28422.941622568193</v>
      </c>
    </row>
    <row r="102" spans="2:14" s="91" customFormat="1" ht="15">
      <c r="B102" s="483"/>
      <c r="C102" s="434"/>
      <c r="D102" s="435"/>
      <c r="E102" s="436"/>
      <c r="F102" s="436"/>
      <c r="G102" s="437"/>
      <c r="H102" s="438"/>
      <c r="I102" s="438"/>
      <c r="J102" s="439"/>
      <c r="K102" s="419"/>
      <c r="L102" s="440"/>
      <c r="M102" s="417">
        <v>97561.747119465319</v>
      </c>
      <c r="N102" s="417">
        <v>28422.941622568193</v>
      </c>
    </row>
    <row r="103" spans="2:14" s="91" customFormat="1" ht="15">
      <c r="B103" s="483"/>
      <c r="C103" s="434"/>
      <c r="D103" s="434"/>
      <c r="E103" s="436"/>
      <c r="F103" s="436"/>
      <c r="G103" s="443"/>
      <c r="H103" s="438"/>
      <c r="I103" s="438"/>
      <c r="J103" s="439"/>
      <c r="K103" s="420"/>
      <c r="L103" s="440"/>
      <c r="M103" s="441"/>
      <c r="N103" s="441"/>
    </row>
    <row r="104" spans="2:14" s="91" customFormat="1" ht="15">
      <c r="B104" s="667" t="s">
        <v>983</v>
      </c>
      <c r="C104" s="457" t="s">
        <v>904</v>
      </c>
      <c r="D104" s="457" t="s">
        <v>889</v>
      </c>
      <c r="E104" s="406">
        <v>40533</v>
      </c>
      <c r="F104" s="406">
        <v>45792</v>
      </c>
      <c r="G104" s="408">
        <v>14.408219178082192</v>
      </c>
      <c r="H104" s="409" t="s">
        <v>891</v>
      </c>
      <c r="I104" s="410" t="s">
        <v>155</v>
      </c>
      <c r="J104" s="412">
        <v>2.58E-2</v>
      </c>
      <c r="K104" s="419"/>
      <c r="L104" s="413">
        <v>5923725.1299999999</v>
      </c>
      <c r="M104" s="414">
        <v>3912.7112479420075</v>
      </c>
      <c r="N104" s="415">
        <v>1139.9013103982543</v>
      </c>
    </row>
    <row r="105" spans="2:14" s="91" customFormat="1" ht="15">
      <c r="B105" s="668"/>
      <c r="C105" s="457" t="s">
        <v>904</v>
      </c>
      <c r="D105" s="457" t="s">
        <v>889</v>
      </c>
      <c r="E105" s="406">
        <v>40533</v>
      </c>
      <c r="F105" s="406">
        <v>44211</v>
      </c>
      <c r="G105" s="408">
        <v>10.076712328767123</v>
      </c>
      <c r="H105" s="432" t="s">
        <v>883</v>
      </c>
      <c r="I105" s="410">
        <v>0</v>
      </c>
      <c r="J105" s="412">
        <v>5.5E-2</v>
      </c>
      <c r="K105" s="420"/>
      <c r="L105" s="413">
        <v>2777087.32</v>
      </c>
      <c r="M105" s="414">
        <v>1834.3087423911456</v>
      </c>
      <c r="N105" s="415">
        <v>534.39438962597103</v>
      </c>
    </row>
    <row r="106" spans="2:14" s="91" customFormat="1" ht="15">
      <c r="B106" s="668"/>
      <c r="C106" s="457" t="s">
        <v>904</v>
      </c>
      <c r="D106" s="457" t="s">
        <v>889</v>
      </c>
      <c r="E106" s="406">
        <v>41483</v>
      </c>
      <c r="F106" s="406">
        <v>46798</v>
      </c>
      <c r="G106" s="408">
        <v>14.561643835616438</v>
      </c>
      <c r="H106" s="409" t="s">
        <v>891</v>
      </c>
      <c r="I106" s="410" t="s">
        <v>155</v>
      </c>
      <c r="J106" s="412">
        <v>2.58E-2</v>
      </c>
      <c r="K106" s="419"/>
      <c r="L106" s="413">
        <v>3361561.88</v>
      </c>
      <c r="M106" s="414">
        <v>2220.363148168065</v>
      </c>
      <c r="N106" s="415">
        <v>646.86471905843109</v>
      </c>
    </row>
    <row r="107" spans="2:14" s="91" customFormat="1" ht="15">
      <c r="B107" s="669"/>
      <c r="C107" s="457" t="s">
        <v>904</v>
      </c>
      <c r="D107" s="457" t="s">
        <v>889</v>
      </c>
      <c r="E107" s="406">
        <v>41483</v>
      </c>
      <c r="F107" s="406">
        <v>45031</v>
      </c>
      <c r="G107" s="408">
        <v>9.7205479452054799</v>
      </c>
      <c r="H107" s="432" t="s">
        <v>883</v>
      </c>
      <c r="I107" s="410">
        <v>0</v>
      </c>
      <c r="J107" s="412">
        <v>0.03</v>
      </c>
      <c r="K107" s="420"/>
      <c r="L107" s="413">
        <v>93086.11</v>
      </c>
      <c r="M107" s="414">
        <v>61.484802490180186</v>
      </c>
      <c r="N107" s="415">
        <v>17.912542604568152</v>
      </c>
    </row>
    <row r="108" spans="2:14" s="91" customFormat="1" ht="15">
      <c r="B108" s="483"/>
      <c r="C108" s="434"/>
      <c r="D108" s="435"/>
      <c r="E108" s="436"/>
      <c r="F108" s="436"/>
      <c r="G108" s="437"/>
      <c r="H108" s="438"/>
      <c r="I108" s="438"/>
      <c r="J108" s="439"/>
      <c r="K108" s="419"/>
      <c r="L108" s="440"/>
      <c r="M108" s="417">
        <v>8028.8679409913984</v>
      </c>
      <c r="N108" s="417">
        <v>2339.0729616872245</v>
      </c>
    </row>
    <row r="109" spans="2:14" s="91" customFormat="1" ht="15">
      <c r="B109" s="483"/>
      <c r="C109" s="434"/>
      <c r="D109" s="434"/>
      <c r="E109" s="436"/>
      <c r="F109" s="436"/>
      <c r="G109" s="443"/>
      <c r="H109" s="438"/>
      <c r="I109" s="438"/>
      <c r="J109" s="439"/>
      <c r="K109" s="420"/>
      <c r="L109" s="440"/>
      <c r="M109" s="441"/>
      <c r="N109" s="441"/>
    </row>
    <row r="110" spans="2:14" s="91" customFormat="1" ht="15" customHeight="1">
      <c r="B110" s="664" t="s">
        <v>984</v>
      </c>
      <c r="C110" s="460" t="s">
        <v>905</v>
      </c>
      <c r="D110" s="461" t="s">
        <v>872</v>
      </c>
      <c r="E110" s="462">
        <v>41621</v>
      </c>
      <c r="F110" s="462">
        <v>44178</v>
      </c>
      <c r="G110" s="408">
        <v>7.0054794520547947</v>
      </c>
      <c r="H110" s="463" t="s">
        <v>873</v>
      </c>
      <c r="I110" s="464" t="s">
        <v>155</v>
      </c>
      <c r="J110" s="465">
        <v>3.5000000000000003E-2</v>
      </c>
      <c r="K110" s="419"/>
      <c r="L110" s="415">
        <v>0</v>
      </c>
      <c r="M110" s="414">
        <v>0</v>
      </c>
      <c r="N110" s="415">
        <v>0</v>
      </c>
    </row>
    <row r="111" spans="2:14" s="91" customFormat="1" ht="15" customHeight="1">
      <c r="B111" s="665"/>
      <c r="C111" s="460" t="s">
        <v>906</v>
      </c>
      <c r="D111" s="461" t="s">
        <v>889</v>
      </c>
      <c r="E111" s="462">
        <v>43637</v>
      </c>
      <c r="F111" s="462">
        <v>43913</v>
      </c>
      <c r="G111" s="408">
        <v>0.75616438356164384</v>
      </c>
      <c r="H111" s="463" t="s">
        <v>900</v>
      </c>
      <c r="I111" s="464" t="s">
        <v>155</v>
      </c>
      <c r="J111" s="465">
        <v>2.47E-2</v>
      </c>
      <c r="K111" s="420"/>
      <c r="L111" s="415">
        <v>0</v>
      </c>
      <c r="M111" s="414">
        <v>0</v>
      </c>
      <c r="N111" s="415">
        <v>0</v>
      </c>
    </row>
    <row r="112" spans="2:14" s="91" customFormat="1" ht="15">
      <c r="B112" s="665"/>
      <c r="C112" s="460" t="s">
        <v>904</v>
      </c>
      <c r="D112" s="461" t="s">
        <v>889</v>
      </c>
      <c r="E112" s="462">
        <v>41927</v>
      </c>
      <c r="F112" s="462">
        <v>44058</v>
      </c>
      <c r="G112" s="408">
        <v>5.838356164383562</v>
      </c>
      <c r="H112" s="463" t="s">
        <v>883</v>
      </c>
      <c r="I112" s="464">
        <v>0</v>
      </c>
      <c r="J112" s="465">
        <v>0.06</v>
      </c>
      <c r="K112" s="419"/>
      <c r="L112" s="415">
        <v>0</v>
      </c>
      <c r="M112" s="414">
        <v>0</v>
      </c>
      <c r="N112" s="415">
        <v>0</v>
      </c>
    </row>
    <row r="113" spans="1:14" s="91" customFormat="1" ht="16.5" customHeight="1">
      <c r="B113" s="665"/>
      <c r="C113" s="460" t="s">
        <v>907</v>
      </c>
      <c r="D113" s="461" t="s">
        <v>889</v>
      </c>
      <c r="E113" s="462">
        <v>42695</v>
      </c>
      <c r="F113" s="462">
        <v>44599</v>
      </c>
      <c r="G113" s="408">
        <v>5.2164383561643834</v>
      </c>
      <c r="H113" s="463" t="s">
        <v>900</v>
      </c>
      <c r="I113" s="464" t="s">
        <v>155</v>
      </c>
      <c r="J113" s="465">
        <v>5.3999999999999999E-2</v>
      </c>
      <c r="K113" s="420"/>
      <c r="L113" s="415">
        <v>11100000</v>
      </c>
      <c r="M113" s="414">
        <v>7331.7201308167032</v>
      </c>
      <c r="N113" s="415">
        <v>2135.9709048264249</v>
      </c>
    </row>
    <row r="114" spans="1:14" s="91" customFormat="1" ht="15.5">
      <c r="A114" s="225" t="s">
        <v>492</v>
      </c>
      <c r="B114" s="665"/>
      <c r="C114" s="460" t="s">
        <v>908</v>
      </c>
      <c r="D114" s="461" t="s">
        <v>889</v>
      </c>
      <c r="E114" s="462">
        <v>43056</v>
      </c>
      <c r="F114" s="462">
        <v>44882</v>
      </c>
      <c r="G114" s="408">
        <v>5.0027397260273974</v>
      </c>
      <c r="H114" s="463" t="s">
        <v>900</v>
      </c>
      <c r="I114" s="464" t="s">
        <v>155</v>
      </c>
      <c r="J114" s="465">
        <v>1.7999999999999999E-2</v>
      </c>
      <c r="K114" s="419"/>
      <c r="L114" s="415">
        <v>20000000.040000021</v>
      </c>
      <c r="M114" s="414">
        <v>13210.306568432703</v>
      </c>
      <c r="N114" s="415">
        <v>3848.5962326096728</v>
      </c>
    </row>
    <row r="115" spans="1:14" s="91" customFormat="1" ht="15.75" customHeight="1">
      <c r="B115" s="665"/>
      <c r="C115" s="460" t="s">
        <v>909</v>
      </c>
      <c r="D115" s="461" t="s">
        <v>889</v>
      </c>
      <c r="E115" s="462">
        <v>43104</v>
      </c>
      <c r="F115" s="462">
        <v>44991</v>
      </c>
      <c r="G115" s="408">
        <v>5.1698630136986301</v>
      </c>
      <c r="H115" s="463" t="s">
        <v>900</v>
      </c>
      <c r="I115" s="464" t="s">
        <v>155</v>
      </c>
      <c r="J115" s="465">
        <v>3.9100000000000003E-2</v>
      </c>
      <c r="K115" s="420"/>
      <c r="L115" s="415">
        <v>5456234.836216216</v>
      </c>
      <c r="M115" s="414">
        <v>3603.9267375810628</v>
      </c>
      <c r="N115" s="415">
        <v>1049.9422396448836</v>
      </c>
    </row>
    <row r="116" spans="1:14" s="91" customFormat="1" ht="15">
      <c r="B116" s="665"/>
      <c r="C116" s="460" t="s">
        <v>909</v>
      </c>
      <c r="D116" s="461" t="s">
        <v>889</v>
      </c>
      <c r="E116" s="462">
        <v>43276</v>
      </c>
      <c r="F116" s="462">
        <v>44991</v>
      </c>
      <c r="G116" s="408">
        <v>4.6986301369863011</v>
      </c>
      <c r="H116" s="463" t="s">
        <v>900</v>
      </c>
      <c r="I116" s="464" t="s">
        <v>155</v>
      </c>
      <c r="J116" s="465">
        <v>3.4099999999999998E-2</v>
      </c>
      <c r="K116" s="419"/>
      <c r="L116" s="415">
        <v>10945945.899999999</v>
      </c>
      <c r="M116" s="414">
        <v>7229.9650365640118</v>
      </c>
      <c r="N116" s="415">
        <v>2106.3263034418096</v>
      </c>
    </row>
    <row r="117" spans="1:14" s="91" customFormat="1" ht="15">
      <c r="B117" s="665"/>
      <c r="C117" s="466" t="s">
        <v>906</v>
      </c>
      <c r="D117" s="430" t="s">
        <v>889</v>
      </c>
      <c r="E117" s="407">
        <v>43537</v>
      </c>
      <c r="F117" s="407">
        <v>43913</v>
      </c>
      <c r="G117" s="431">
        <v>1.0301369863013699</v>
      </c>
      <c r="H117" s="432" t="s">
        <v>900</v>
      </c>
      <c r="I117" s="433" t="s">
        <v>155</v>
      </c>
      <c r="J117" s="411">
        <v>2.0299999999999999E-2</v>
      </c>
      <c r="K117" s="420"/>
      <c r="L117" s="413">
        <v>0</v>
      </c>
      <c r="M117" s="467">
        <v>0</v>
      </c>
      <c r="N117" s="413">
        <v>0</v>
      </c>
    </row>
    <row r="118" spans="1:14" s="91" customFormat="1" ht="15">
      <c r="B118" s="665"/>
      <c r="C118" s="460" t="s">
        <v>908</v>
      </c>
      <c r="D118" s="461" t="s">
        <v>889</v>
      </c>
      <c r="E118" s="462">
        <v>43595</v>
      </c>
      <c r="F118" s="462">
        <v>45422</v>
      </c>
      <c r="G118" s="408">
        <v>5.0054794520547947</v>
      </c>
      <c r="H118" s="463" t="s">
        <v>900</v>
      </c>
      <c r="I118" s="464" t="s">
        <v>155</v>
      </c>
      <c r="J118" s="465">
        <v>2.5000000000000001E-2</v>
      </c>
      <c r="K118" s="419"/>
      <c r="L118" s="415">
        <v>15000000</v>
      </c>
      <c r="M118" s="414">
        <v>9907.7299065090592</v>
      </c>
      <c r="N118" s="415">
        <v>2886.4471686843581</v>
      </c>
    </row>
    <row r="119" spans="1:14" s="91" customFormat="1" ht="15">
      <c r="B119" s="665"/>
      <c r="C119" s="466" t="s">
        <v>906</v>
      </c>
      <c r="D119" s="430" t="s">
        <v>889</v>
      </c>
      <c r="E119" s="407">
        <v>43896</v>
      </c>
      <c r="F119" s="407">
        <v>45516</v>
      </c>
      <c r="G119" s="431">
        <v>4.4383561643835616</v>
      </c>
      <c r="H119" s="432" t="s">
        <v>900</v>
      </c>
      <c r="I119" s="433" t="s">
        <v>155</v>
      </c>
      <c r="J119" s="411">
        <v>3.15E-2</v>
      </c>
      <c r="K119" s="420"/>
      <c r="L119" s="413">
        <v>31150525.609999999</v>
      </c>
      <c r="M119" s="467">
        <v>20575.399612644887</v>
      </c>
      <c r="N119" s="413">
        <v>5994.2897633342718</v>
      </c>
    </row>
    <row r="120" spans="1:14" s="91" customFormat="1" ht="15">
      <c r="B120" s="665"/>
      <c r="C120" s="466" t="s">
        <v>910</v>
      </c>
      <c r="D120" s="430" t="s">
        <v>889</v>
      </c>
      <c r="E120" s="407">
        <v>43924</v>
      </c>
      <c r="F120" s="407">
        <v>44463</v>
      </c>
      <c r="G120" s="431">
        <v>1.4767123287671233</v>
      </c>
      <c r="H120" s="432" t="s">
        <v>900</v>
      </c>
      <c r="I120" s="433" t="s">
        <v>155</v>
      </c>
      <c r="J120" s="411">
        <v>4.7899999999999998E-2</v>
      </c>
      <c r="K120" s="420"/>
      <c r="L120" s="413">
        <v>30000000</v>
      </c>
      <c r="M120" s="467">
        <v>19815.459813018118</v>
      </c>
      <c r="N120" s="413">
        <v>5772.8943373687162</v>
      </c>
    </row>
    <row r="121" spans="1:14" s="91" customFormat="1" ht="15" customHeight="1">
      <c r="B121" s="665"/>
      <c r="C121" s="466" t="s">
        <v>985</v>
      </c>
      <c r="D121" s="430" t="s">
        <v>889</v>
      </c>
      <c r="E121" s="407">
        <v>44158</v>
      </c>
      <c r="F121" s="407">
        <v>45253</v>
      </c>
      <c r="G121" s="431">
        <v>3</v>
      </c>
      <c r="H121" s="432" t="s">
        <v>900</v>
      </c>
      <c r="I121" s="433" t="s">
        <v>155</v>
      </c>
      <c r="J121" s="411">
        <v>3.9E-2</v>
      </c>
      <c r="K121" s="420"/>
      <c r="L121" s="413">
        <v>6000000</v>
      </c>
      <c r="M121" s="467">
        <v>3963.0919626036225</v>
      </c>
      <c r="N121" s="413">
        <v>1154.578867473743</v>
      </c>
    </row>
    <row r="122" spans="1:14" s="91" customFormat="1" ht="14.25" customHeight="1">
      <c r="B122" s="666"/>
      <c r="C122" s="466" t="s">
        <v>986</v>
      </c>
      <c r="D122" s="430" t="s">
        <v>889</v>
      </c>
      <c r="E122" s="407">
        <v>44161</v>
      </c>
      <c r="F122" s="407">
        <v>45257</v>
      </c>
      <c r="G122" s="431">
        <v>3.0027397260273974</v>
      </c>
      <c r="H122" s="432" t="s">
        <v>900</v>
      </c>
      <c r="I122" s="433" t="s">
        <v>155</v>
      </c>
      <c r="J122" s="411">
        <v>3.1E-2</v>
      </c>
      <c r="K122" s="419"/>
      <c r="L122" s="413">
        <v>8000000</v>
      </c>
      <c r="M122" s="467">
        <v>5284.1226168048315</v>
      </c>
      <c r="N122" s="413">
        <v>1539.4384899649908</v>
      </c>
    </row>
    <row r="123" spans="1:14" s="91" customFormat="1" ht="15">
      <c r="B123" s="483"/>
      <c r="C123" s="434"/>
      <c r="D123" s="435"/>
      <c r="E123" s="436"/>
      <c r="F123" s="436"/>
      <c r="G123" s="437"/>
      <c r="H123" s="438"/>
      <c r="I123" s="438"/>
      <c r="J123" s="439"/>
      <c r="K123" s="420"/>
      <c r="L123" s="440"/>
      <c r="M123" s="417">
        <v>90921.722384974986</v>
      </c>
      <c r="N123" s="417">
        <v>26488.48430734887</v>
      </c>
    </row>
    <row r="124" spans="1:14" s="91" customFormat="1" ht="15">
      <c r="B124" s="501"/>
      <c r="C124" s="434"/>
      <c r="D124" s="434"/>
      <c r="E124" s="436"/>
      <c r="F124" s="436"/>
      <c r="G124" s="443"/>
      <c r="H124" s="438"/>
      <c r="I124" s="438"/>
      <c r="J124" s="439"/>
      <c r="K124" s="419"/>
      <c r="L124" s="440"/>
      <c r="M124" s="506"/>
      <c r="N124" s="507"/>
    </row>
    <row r="125" spans="1:14" s="91" customFormat="1" ht="15.5" thickBot="1">
      <c r="B125" s="475" t="s">
        <v>987</v>
      </c>
      <c r="C125" s="475"/>
      <c r="D125" s="475"/>
      <c r="E125" s="475"/>
      <c r="F125" s="475"/>
      <c r="G125" s="475"/>
      <c r="H125" s="475"/>
      <c r="I125" s="477"/>
      <c r="J125" s="477"/>
      <c r="K125" s="420"/>
      <c r="L125" s="477"/>
      <c r="M125" s="478">
        <f>+M131+M165+M175+M182+M185+M206</f>
        <v>4086699.8061480485</v>
      </c>
      <c r="N125" s="478">
        <f>+N131+N165+N175+N182+N185+N206</f>
        <v>1190589.892541311</v>
      </c>
    </row>
    <row r="126" spans="1:14" s="91" customFormat="1" ht="15.5" thickTop="1">
      <c r="B126" s="480"/>
      <c r="C126" s="481"/>
      <c r="D126" s="500"/>
      <c r="E126" s="481"/>
      <c r="F126" s="481"/>
      <c r="G126" s="481"/>
      <c r="H126" s="481"/>
      <c r="I126" s="481"/>
      <c r="J126" s="508"/>
      <c r="K126" s="419"/>
      <c r="L126" s="508"/>
      <c r="M126" s="441"/>
      <c r="N126" s="441"/>
    </row>
    <row r="127" spans="1:14" s="91" customFormat="1" ht="15">
      <c r="B127" s="667" t="s">
        <v>988</v>
      </c>
      <c r="C127" s="457" t="s">
        <v>871</v>
      </c>
      <c r="D127" s="405" t="s">
        <v>911</v>
      </c>
      <c r="E127" s="406">
        <v>42032</v>
      </c>
      <c r="F127" s="406">
        <v>44224</v>
      </c>
      <c r="G127" s="408">
        <v>6.0054794520547947</v>
      </c>
      <c r="H127" s="409" t="s">
        <v>912</v>
      </c>
      <c r="I127" s="410" t="s">
        <v>155</v>
      </c>
      <c r="J127" s="509">
        <v>1.7000000000000001E-2</v>
      </c>
      <c r="K127" s="420"/>
      <c r="L127" s="413">
        <v>1781324283.618</v>
      </c>
      <c r="M127" s="414">
        <v>8600.3173992861157</v>
      </c>
      <c r="N127" s="415">
        <v>2505.5549597337558</v>
      </c>
    </row>
    <row r="128" spans="1:14" s="91" customFormat="1" ht="15">
      <c r="B128" s="668"/>
      <c r="C128" s="457" t="s">
        <v>913</v>
      </c>
      <c r="D128" s="405" t="s">
        <v>911</v>
      </c>
      <c r="E128" s="406">
        <v>42802</v>
      </c>
      <c r="F128" s="406">
        <v>44624</v>
      </c>
      <c r="G128" s="408">
        <v>4.9917808219178079</v>
      </c>
      <c r="H128" s="409" t="s">
        <v>912</v>
      </c>
      <c r="I128" s="410" t="s">
        <v>155</v>
      </c>
      <c r="J128" s="509">
        <v>1.4999999999999999E-2</v>
      </c>
      <c r="K128" s="419"/>
      <c r="L128" s="413">
        <v>1899999999.9999995</v>
      </c>
      <c r="M128" s="414">
        <v>9173.2893381179656</v>
      </c>
      <c r="N128" s="415">
        <v>2672.4805063708563</v>
      </c>
    </row>
    <row r="129" spans="2:14" s="91" customFormat="1" ht="15">
      <c r="B129" s="668"/>
      <c r="C129" s="457" t="s">
        <v>913</v>
      </c>
      <c r="D129" s="405" t="s">
        <v>911</v>
      </c>
      <c r="E129" s="406">
        <v>43976</v>
      </c>
      <c r="F129" s="406">
        <v>45407</v>
      </c>
      <c r="G129" s="408">
        <v>3.9205479452054797</v>
      </c>
      <c r="H129" s="432" t="s">
        <v>883</v>
      </c>
      <c r="I129" s="410">
        <v>0</v>
      </c>
      <c r="J129" s="412">
        <v>2.8999999999999998E-3</v>
      </c>
      <c r="K129" s="420"/>
      <c r="L129" s="413">
        <v>659331662.66666663</v>
      </c>
      <c r="M129" s="414">
        <v>3183.2842691703813</v>
      </c>
      <c r="N129" s="415">
        <v>927.39527142618533</v>
      </c>
    </row>
    <row r="130" spans="2:14" s="91" customFormat="1" ht="15">
      <c r="B130" s="669"/>
      <c r="C130" s="457" t="s">
        <v>913</v>
      </c>
      <c r="D130" s="405" t="s">
        <v>911</v>
      </c>
      <c r="E130" s="406">
        <v>43976</v>
      </c>
      <c r="F130" s="406">
        <v>45407</v>
      </c>
      <c r="G130" s="408">
        <v>3.9205479452054797</v>
      </c>
      <c r="H130" s="432" t="s">
        <v>883</v>
      </c>
      <c r="I130" s="410">
        <v>0</v>
      </c>
      <c r="J130" s="412">
        <v>3.225E-3</v>
      </c>
      <c r="K130" s="419"/>
      <c r="L130" s="413">
        <v>663912751.56011617</v>
      </c>
      <c r="M130" s="414">
        <v>3205.4019817510393</v>
      </c>
      <c r="N130" s="415">
        <v>933.83888761865671</v>
      </c>
    </row>
    <row r="131" spans="2:14" s="91" customFormat="1" ht="15">
      <c r="B131" s="483"/>
      <c r="C131" s="434"/>
      <c r="D131" s="435"/>
      <c r="E131" s="510"/>
      <c r="F131" s="511"/>
      <c r="G131" s="512"/>
      <c r="H131" s="496"/>
      <c r="I131" s="496"/>
      <c r="J131" s="439"/>
      <c r="K131" s="420"/>
      <c r="L131" s="440"/>
      <c r="M131" s="417">
        <v>24162.292988325498</v>
      </c>
      <c r="N131" s="417">
        <v>7039.2696251494535</v>
      </c>
    </row>
    <row r="132" spans="2:14" s="91" customFormat="1" ht="15">
      <c r="B132" s="483"/>
      <c r="C132" s="434"/>
      <c r="D132" s="435"/>
      <c r="E132" s="513"/>
      <c r="F132" s="513"/>
      <c r="G132" s="514"/>
      <c r="H132" s="496"/>
      <c r="I132" s="496"/>
      <c r="J132" s="439"/>
      <c r="K132" s="419"/>
      <c r="L132" s="440"/>
      <c r="M132" s="441"/>
      <c r="N132" s="515"/>
    </row>
    <row r="133" spans="2:14" s="91" customFormat="1" ht="15">
      <c r="B133" s="678" t="s">
        <v>989</v>
      </c>
      <c r="C133" s="404" t="s">
        <v>914</v>
      </c>
      <c r="D133" s="405" t="s">
        <v>915</v>
      </c>
      <c r="E133" s="406">
        <v>40983</v>
      </c>
      <c r="F133" s="406">
        <v>44089</v>
      </c>
      <c r="G133" s="408">
        <v>8.5095890410958912</v>
      </c>
      <c r="H133" s="432" t="s">
        <v>883</v>
      </c>
      <c r="I133" s="410">
        <v>0</v>
      </c>
      <c r="J133" s="412">
        <v>4.53E-2</v>
      </c>
      <c r="K133" s="420"/>
      <c r="L133" s="413">
        <v>0</v>
      </c>
      <c r="M133" s="414">
        <v>0</v>
      </c>
      <c r="N133" s="415">
        <v>0</v>
      </c>
    </row>
    <row r="134" spans="2:14" s="91" customFormat="1" ht="15">
      <c r="B134" s="678"/>
      <c r="C134" s="404" t="s">
        <v>916</v>
      </c>
      <c r="D134" s="405" t="s">
        <v>915</v>
      </c>
      <c r="E134" s="406">
        <v>42809</v>
      </c>
      <c r="F134" s="406">
        <v>44635</v>
      </c>
      <c r="G134" s="408">
        <v>5.0027397260273974</v>
      </c>
      <c r="H134" s="409" t="s">
        <v>917</v>
      </c>
      <c r="I134" s="410" t="s">
        <v>155</v>
      </c>
      <c r="J134" s="412">
        <v>9.4999999999999998E-3</v>
      </c>
      <c r="K134" s="419"/>
      <c r="L134" s="413">
        <v>260721.20000000007</v>
      </c>
      <c r="M134" s="414">
        <v>36592.977453355932</v>
      </c>
      <c r="N134" s="415">
        <v>10660.73633018381</v>
      </c>
    </row>
    <row r="135" spans="2:14" s="91" customFormat="1" ht="15">
      <c r="B135" s="678"/>
      <c r="C135" s="404" t="s">
        <v>918</v>
      </c>
      <c r="D135" s="405" t="s">
        <v>915</v>
      </c>
      <c r="E135" s="406">
        <v>41167</v>
      </c>
      <c r="F135" s="406">
        <v>44454</v>
      </c>
      <c r="G135" s="408">
        <v>9.0054794520547947</v>
      </c>
      <c r="H135" s="409" t="s">
        <v>917</v>
      </c>
      <c r="I135" s="410" t="s">
        <v>155</v>
      </c>
      <c r="J135" s="412">
        <v>9.4999999999999998E-3</v>
      </c>
      <c r="K135" s="420"/>
      <c r="L135" s="415">
        <v>121389.37</v>
      </c>
      <c r="M135" s="414">
        <v>17037.350547201688</v>
      </c>
      <c r="N135" s="415">
        <v>4963.5398535183358</v>
      </c>
    </row>
    <row r="136" spans="2:14" s="91" customFormat="1" ht="15">
      <c r="B136" s="678"/>
      <c r="C136" s="404" t="s">
        <v>919</v>
      </c>
      <c r="D136" s="405" t="s">
        <v>915</v>
      </c>
      <c r="E136" s="406">
        <v>42809</v>
      </c>
      <c r="F136" s="406">
        <v>44635</v>
      </c>
      <c r="G136" s="408">
        <v>5.0027397260273974</v>
      </c>
      <c r="H136" s="409" t="s">
        <v>917</v>
      </c>
      <c r="I136" s="410" t="s">
        <v>155</v>
      </c>
      <c r="J136" s="412">
        <v>9.4999999999999998E-3</v>
      </c>
      <c r="K136" s="419"/>
      <c r="L136" s="413">
        <v>250079.98</v>
      </c>
      <c r="M136" s="414">
        <v>35099.45132837569</v>
      </c>
      <c r="N136" s="415">
        <v>10225.6231109616</v>
      </c>
    </row>
    <row r="137" spans="2:14" s="91" customFormat="1" ht="15">
      <c r="B137" s="678"/>
      <c r="C137" s="404" t="s">
        <v>920</v>
      </c>
      <c r="D137" s="405" t="s">
        <v>915</v>
      </c>
      <c r="E137" s="406">
        <v>42628</v>
      </c>
      <c r="F137" s="406">
        <v>44454</v>
      </c>
      <c r="G137" s="408">
        <v>5.0027397260273974</v>
      </c>
      <c r="H137" s="409" t="s">
        <v>917</v>
      </c>
      <c r="I137" s="410" t="s">
        <v>155</v>
      </c>
      <c r="J137" s="412">
        <v>9.4999999999999998E-3</v>
      </c>
      <c r="K137" s="420"/>
      <c r="L137" s="413">
        <v>200862.00000000006</v>
      </c>
      <c r="M137" s="414">
        <v>28191.564925429851</v>
      </c>
      <c r="N137" s="415">
        <v>8213.1288930604096</v>
      </c>
    </row>
    <row r="138" spans="2:14" s="91" customFormat="1" ht="15">
      <c r="B138" s="678"/>
      <c r="C138" s="404" t="s">
        <v>921</v>
      </c>
      <c r="D138" s="405" t="s">
        <v>915</v>
      </c>
      <c r="E138" s="406">
        <v>42809</v>
      </c>
      <c r="F138" s="406">
        <v>44635</v>
      </c>
      <c r="G138" s="408">
        <v>5.0027397260273974</v>
      </c>
      <c r="H138" s="409" t="s">
        <v>917</v>
      </c>
      <c r="I138" s="410" t="s">
        <v>155</v>
      </c>
      <c r="J138" s="412">
        <v>9.4999999999999998E-3</v>
      </c>
      <c r="K138" s="419"/>
      <c r="L138" s="413">
        <v>91700.169999999984</v>
      </c>
      <c r="M138" s="414">
        <v>12870.385121267105</v>
      </c>
      <c r="N138" s="415">
        <v>3749.5659493859011</v>
      </c>
    </row>
    <row r="139" spans="2:14" s="91" customFormat="1" ht="15">
      <c r="B139" s="678"/>
      <c r="C139" s="404" t="s">
        <v>922</v>
      </c>
      <c r="D139" s="405" t="s">
        <v>915</v>
      </c>
      <c r="E139" s="406">
        <v>42628</v>
      </c>
      <c r="F139" s="406">
        <v>44454</v>
      </c>
      <c r="G139" s="408">
        <v>5.0027397260273974</v>
      </c>
      <c r="H139" s="409" t="s">
        <v>917</v>
      </c>
      <c r="I139" s="410" t="s">
        <v>155</v>
      </c>
      <c r="J139" s="412">
        <v>9.4999999999999998E-3</v>
      </c>
      <c r="K139" s="420"/>
      <c r="L139" s="413">
        <v>45286.8</v>
      </c>
      <c r="M139" s="414">
        <v>6356.1338753221435</v>
      </c>
      <c r="N139" s="415">
        <v>1851.7505827595467</v>
      </c>
    </row>
    <row r="140" spans="2:14" s="91" customFormat="1" ht="15">
      <c r="B140" s="678"/>
      <c r="C140" s="404" t="s">
        <v>923</v>
      </c>
      <c r="D140" s="405" t="s">
        <v>911</v>
      </c>
      <c r="E140" s="406">
        <v>43376</v>
      </c>
      <c r="F140" s="406">
        <v>45719</v>
      </c>
      <c r="G140" s="408">
        <v>6.419178082191781</v>
      </c>
      <c r="H140" s="432" t="s">
        <v>924</v>
      </c>
      <c r="I140" s="410" t="s">
        <v>155</v>
      </c>
      <c r="J140" s="412">
        <v>1.3299999999999999E-2</v>
      </c>
      <c r="K140" s="419"/>
      <c r="L140" s="413">
        <v>3758928549</v>
      </c>
      <c r="M140" s="414">
        <v>18148.281644011899</v>
      </c>
      <c r="N140" s="415">
        <v>5287.190573637844</v>
      </c>
    </row>
    <row r="141" spans="2:14" s="91" customFormat="1" ht="15">
      <c r="B141" s="678"/>
      <c r="C141" s="404" t="s">
        <v>925</v>
      </c>
      <c r="D141" s="405" t="s">
        <v>915</v>
      </c>
      <c r="E141" s="516">
        <v>40983</v>
      </c>
      <c r="F141" s="406">
        <v>44089</v>
      </c>
      <c r="G141" s="408">
        <v>8.5095890410958912</v>
      </c>
      <c r="H141" s="432" t="s">
        <v>883</v>
      </c>
      <c r="I141" s="410">
        <v>0</v>
      </c>
      <c r="J141" s="412">
        <v>4.53E-2</v>
      </c>
      <c r="K141" s="420"/>
      <c r="L141" s="413">
        <v>0</v>
      </c>
      <c r="M141" s="414">
        <v>0</v>
      </c>
      <c r="N141" s="415">
        <v>0</v>
      </c>
    </row>
    <row r="142" spans="2:14" s="91" customFormat="1" ht="15">
      <c r="B142" s="678"/>
      <c r="C142" s="404" t="s">
        <v>926</v>
      </c>
      <c r="D142" s="405" t="s">
        <v>915</v>
      </c>
      <c r="E142" s="516">
        <v>40617</v>
      </c>
      <c r="F142" s="406">
        <v>44635</v>
      </c>
      <c r="G142" s="408">
        <v>11.008219178082191</v>
      </c>
      <c r="H142" s="409" t="s">
        <v>917</v>
      </c>
      <c r="I142" s="410" t="s">
        <v>155</v>
      </c>
      <c r="J142" s="412">
        <v>9.4999999999999998E-3</v>
      </c>
      <c r="K142" s="419"/>
      <c r="L142" s="413">
        <v>125248.41999999997</v>
      </c>
      <c r="M142" s="414">
        <v>17578.979419887808</v>
      </c>
      <c r="N142" s="415">
        <v>5121.3341354370896</v>
      </c>
    </row>
    <row r="143" spans="2:14" s="91" customFormat="1" ht="15">
      <c r="B143" s="678"/>
      <c r="C143" s="404" t="s">
        <v>927</v>
      </c>
      <c r="D143" s="405" t="s">
        <v>915</v>
      </c>
      <c r="E143" s="516">
        <v>41167</v>
      </c>
      <c r="F143" s="406">
        <v>44454</v>
      </c>
      <c r="G143" s="408">
        <v>9.0054794520547947</v>
      </c>
      <c r="H143" s="409" t="s">
        <v>917</v>
      </c>
      <c r="I143" s="410" t="s">
        <v>155</v>
      </c>
      <c r="J143" s="412">
        <v>9.4999999999999998E-3</v>
      </c>
      <c r="K143" s="420"/>
      <c r="L143" s="413">
        <v>58314.509999999995</v>
      </c>
      <c r="M143" s="414">
        <v>8184.6108012447739</v>
      </c>
      <c r="N143" s="415">
        <v>2384.4459726860232</v>
      </c>
    </row>
    <row r="144" spans="2:14" s="91" customFormat="1" ht="15">
      <c r="B144" s="678"/>
      <c r="C144" s="404" t="s">
        <v>928</v>
      </c>
      <c r="D144" s="405" t="s">
        <v>915</v>
      </c>
      <c r="E144" s="516">
        <v>42809</v>
      </c>
      <c r="F144" s="406">
        <v>44635</v>
      </c>
      <c r="G144" s="408">
        <v>5.0027397260273974</v>
      </c>
      <c r="H144" s="409" t="s">
        <v>917</v>
      </c>
      <c r="I144" s="410" t="s">
        <v>155</v>
      </c>
      <c r="J144" s="412">
        <v>9.4999999999999998E-3</v>
      </c>
      <c r="K144" s="419"/>
      <c r="L144" s="413">
        <v>40138.71</v>
      </c>
      <c r="M144" s="414">
        <v>5633.5844957632598</v>
      </c>
      <c r="N144" s="415">
        <v>1641.2482143520058</v>
      </c>
    </row>
    <row r="145" spans="2:14" s="91" customFormat="1" ht="15">
      <c r="B145" s="678"/>
      <c r="C145" s="404" t="s">
        <v>929</v>
      </c>
      <c r="D145" s="405" t="s">
        <v>915</v>
      </c>
      <c r="E145" s="516">
        <v>42628</v>
      </c>
      <c r="F145" s="406">
        <v>44454</v>
      </c>
      <c r="G145" s="408">
        <v>5.0027397260273974</v>
      </c>
      <c r="H145" s="409" t="s">
        <v>917</v>
      </c>
      <c r="I145" s="410" t="s">
        <v>155</v>
      </c>
      <c r="J145" s="412">
        <v>9.4999999999999998E-3</v>
      </c>
      <c r="K145" s="420"/>
      <c r="L145" s="413">
        <v>32239.06</v>
      </c>
      <c r="M145" s="414">
        <v>4524.8456807401526</v>
      </c>
      <c r="N145" s="415">
        <v>1318.236177928668</v>
      </c>
    </row>
    <row r="146" spans="2:14" s="91" customFormat="1" ht="15">
      <c r="B146" s="678"/>
      <c r="C146" s="404" t="s">
        <v>930</v>
      </c>
      <c r="D146" s="405" t="s">
        <v>915</v>
      </c>
      <c r="E146" s="516">
        <v>42809</v>
      </c>
      <c r="F146" s="406">
        <v>44635</v>
      </c>
      <c r="G146" s="408">
        <v>5.0027397260273974</v>
      </c>
      <c r="H146" s="409" t="s">
        <v>917</v>
      </c>
      <c r="I146" s="410" t="s">
        <v>155</v>
      </c>
      <c r="J146" s="412">
        <v>9.4999999999999998E-3</v>
      </c>
      <c r="K146" s="419"/>
      <c r="L146" s="413">
        <v>44052.03</v>
      </c>
      <c r="M146" s="414">
        <v>6182.8303205284383</v>
      </c>
      <c r="N146" s="415">
        <v>1801.2615646113438</v>
      </c>
    </row>
    <row r="147" spans="2:14" s="91" customFormat="1" ht="15">
      <c r="B147" s="678"/>
      <c r="C147" s="404" t="s">
        <v>931</v>
      </c>
      <c r="D147" s="405" t="s">
        <v>915</v>
      </c>
      <c r="E147" s="516">
        <v>42628</v>
      </c>
      <c r="F147" s="406">
        <v>44454</v>
      </c>
      <c r="G147" s="408">
        <v>5.0027397260273974</v>
      </c>
      <c r="H147" s="409" t="s">
        <v>917</v>
      </c>
      <c r="I147" s="410" t="s">
        <v>155</v>
      </c>
      <c r="J147" s="412">
        <v>9.4999999999999998E-3</v>
      </c>
      <c r="K147" s="420"/>
      <c r="L147" s="413">
        <v>21755.429999999989</v>
      </c>
      <c r="M147" s="414">
        <v>3053.4377698402077</v>
      </c>
      <c r="N147" s="415">
        <v>889.56672100224557</v>
      </c>
    </row>
    <row r="148" spans="2:14" s="91" customFormat="1" ht="15">
      <c r="B148" s="678"/>
      <c r="C148" s="404" t="s">
        <v>932</v>
      </c>
      <c r="D148" s="405" t="s">
        <v>915</v>
      </c>
      <c r="E148" s="516">
        <v>41715</v>
      </c>
      <c r="F148" s="406">
        <v>43905</v>
      </c>
      <c r="G148" s="408">
        <v>6</v>
      </c>
      <c r="H148" s="432" t="s">
        <v>883</v>
      </c>
      <c r="I148" s="410">
        <v>0</v>
      </c>
      <c r="J148" s="412">
        <v>2.8500000000000001E-2</v>
      </c>
      <c r="K148" s="419"/>
      <c r="L148" s="413">
        <v>0</v>
      </c>
      <c r="M148" s="414">
        <v>0</v>
      </c>
      <c r="N148" s="415">
        <v>0</v>
      </c>
    </row>
    <row r="149" spans="2:14" s="91" customFormat="1" ht="15">
      <c r="B149" s="678"/>
      <c r="C149" s="404" t="s">
        <v>933</v>
      </c>
      <c r="D149" s="405" t="s">
        <v>915</v>
      </c>
      <c r="E149" s="516">
        <v>41533</v>
      </c>
      <c r="F149" s="406">
        <v>44089</v>
      </c>
      <c r="G149" s="408">
        <v>7.0027397260273974</v>
      </c>
      <c r="H149" s="432" t="s">
        <v>883</v>
      </c>
      <c r="I149" s="410">
        <v>0</v>
      </c>
      <c r="J149" s="412">
        <v>3.0599999999999999E-2</v>
      </c>
      <c r="K149" s="420"/>
      <c r="L149" s="413">
        <v>0</v>
      </c>
      <c r="M149" s="414">
        <v>0</v>
      </c>
      <c r="N149" s="415">
        <v>0</v>
      </c>
    </row>
    <row r="150" spans="2:14" s="91" customFormat="1" ht="15">
      <c r="B150" s="678"/>
      <c r="C150" s="404" t="s">
        <v>934</v>
      </c>
      <c r="D150" s="405" t="s">
        <v>915</v>
      </c>
      <c r="E150" s="516">
        <v>42809</v>
      </c>
      <c r="F150" s="406">
        <v>44635</v>
      </c>
      <c r="G150" s="408">
        <v>5.0027397260273974</v>
      </c>
      <c r="H150" s="409" t="s">
        <v>917</v>
      </c>
      <c r="I150" s="410" t="s">
        <v>155</v>
      </c>
      <c r="J150" s="412">
        <v>9.4999999999999998E-3</v>
      </c>
      <c r="K150" s="419"/>
      <c r="L150" s="413">
        <v>39998.885000000002</v>
      </c>
      <c r="M150" s="414">
        <v>5613.9596510156325</v>
      </c>
      <c r="N150" s="415">
        <v>1635.530852444467</v>
      </c>
    </row>
    <row r="151" spans="2:14" s="91" customFormat="1" ht="15">
      <c r="B151" s="678"/>
      <c r="C151" s="404" t="s">
        <v>935</v>
      </c>
      <c r="D151" s="405" t="s">
        <v>915</v>
      </c>
      <c r="E151" s="516">
        <v>42628</v>
      </c>
      <c r="F151" s="406">
        <v>44454</v>
      </c>
      <c r="G151" s="408">
        <v>5.0027397260273974</v>
      </c>
      <c r="H151" s="409" t="s">
        <v>917</v>
      </c>
      <c r="I151" s="410" t="s">
        <v>155</v>
      </c>
      <c r="J151" s="412">
        <v>9.4999999999999998E-3</v>
      </c>
      <c r="K151" s="420"/>
      <c r="L151" s="413">
        <v>32126.75</v>
      </c>
      <c r="M151" s="414">
        <v>4509.0826461354236</v>
      </c>
      <c r="N151" s="415">
        <v>1313.6438881676397</v>
      </c>
    </row>
    <row r="152" spans="2:14" s="91" customFormat="1" ht="15">
      <c r="B152" s="678"/>
      <c r="C152" s="404" t="s">
        <v>936</v>
      </c>
      <c r="D152" s="405" t="s">
        <v>911</v>
      </c>
      <c r="E152" s="406">
        <v>43376</v>
      </c>
      <c r="F152" s="406">
        <v>45719</v>
      </c>
      <c r="G152" s="408">
        <v>6.419178082191781</v>
      </c>
      <c r="H152" s="432" t="s">
        <v>924</v>
      </c>
      <c r="I152" s="410" t="s">
        <v>155</v>
      </c>
      <c r="J152" s="412">
        <v>1.3299999999999999E-2</v>
      </c>
      <c r="K152" s="419"/>
      <c r="L152" s="413">
        <v>1547057062</v>
      </c>
      <c r="M152" s="414">
        <v>7469.2633591034446</v>
      </c>
      <c r="N152" s="415">
        <v>2176.0417652158612</v>
      </c>
    </row>
    <row r="153" spans="2:14" s="91" customFormat="1" ht="15">
      <c r="B153" s="678"/>
      <c r="C153" s="404" t="s">
        <v>937</v>
      </c>
      <c r="D153" s="405" t="s">
        <v>915</v>
      </c>
      <c r="E153" s="516">
        <v>40983</v>
      </c>
      <c r="F153" s="406">
        <v>44089</v>
      </c>
      <c r="G153" s="408">
        <v>8.5095890410958912</v>
      </c>
      <c r="H153" s="432" t="s">
        <v>883</v>
      </c>
      <c r="I153" s="410">
        <v>0</v>
      </c>
      <c r="J153" s="412">
        <v>4.53E-2</v>
      </c>
      <c r="K153" s="420"/>
      <c r="L153" s="413">
        <v>0</v>
      </c>
      <c r="M153" s="414">
        <v>0</v>
      </c>
      <c r="N153" s="415">
        <v>0</v>
      </c>
    </row>
    <row r="154" spans="2:14" s="91" customFormat="1" ht="15">
      <c r="B154" s="678"/>
      <c r="C154" s="404" t="s">
        <v>938</v>
      </c>
      <c r="D154" s="405" t="s">
        <v>915</v>
      </c>
      <c r="E154" s="516">
        <v>40617</v>
      </c>
      <c r="F154" s="406">
        <v>44635</v>
      </c>
      <c r="G154" s="408">
        <v>11.008219178082191</v>
      </c>
      <c r="H154" s="409" t="s">
        <v>917</v>
      </c>
      <c r="I154" s="410" t="s">
        <v>155</v>
      </c>
      <c r="J154" s="412">
        <v>9.4999999999999998E-3</v>
      </c>
      <c r="K154" s="419"/>
      <c r="L154" s="413">
        <v>125248.41999999997</v>
      </c>
      <c r="M154" s="414">
        <v>17578.979419887808</v>
      </c>
      <c r="N154" s="415">
        <v>5121.3341354370896</v>
      </c>
    </row>
    <row r="155" spans="2:14" s="91" customFormat="1" ht="15" customHeight="1">
      <c r="B155" s="678"/>
      <c r="C155" s="404" t="s">
        <v>939</v>
      </c>
      <c r="D155" s="405" t="s">
        <v>915</v>
      </c>
      <c r="E155" s="516">
        <v>41167</v>
      </c>
      <c r="F155" s="406">
        <v>44454</v>
      </c>
      <c r="G155" s="408">
        <v>9.0054794520547947</v>
      </c>
      <c r="H155" s="409" t="s">
        <v>917</v>
      </c>
      <c r="I155" s="410" t="s">
        <v>155</v>
      </c>
      <c r="J155" s="412">
        <v>9.4999999999999998E-3</v>
      </c>
      <c r="K155" s="420"/>
      <c r="L155" s="413">
        <v>58314.499999999985</v>
      </c>
      <c r="M155" s="414">
        <v>8184.6093977157343</v>
      </c>
      <c r="N155" s="415">
        <v>2384.4455637919109</v>
      </c>
    </row>
    <row r="156" spans="2:14" s="91" customFormat="1" ht="14.25" customHeight="1">
      <c r="B156" s="678"/>
      <c r="C156" s="404" t="s">
        <v>940</v>
      </c>
      <c r="D156" s="405" t="s">
        <v>915</v>
      </c>
      <c r="E156" s="516">
        <v>42809</v>
      </c>
      <c r="F156" s="406">
        <v>44635</v>
      </c>
      <c r="G156" s="408">
        <v>5.0027397260273974</v>
      </c>
      <c r="H156" s="409" t="s">
        <v>917</v>
      </c>
      <c r="I156" s="410" t="s">
        <v>155</v>
      </c>
      <c r="J156" s="412">
        <v>9.4999999999999998E-3</v>
      </c>
      <c r="K156" s="419"/>
      <c r="L156" s="413">
        <v>120136.42999999998</v>
      </c>
      <c r="M156" s="414">
        <v>16861.49678014934</v>
      </c>
      <c r="N156" s="415">
        <v>4912.307874770383</v>
      </c>
    </row>
    <row r="157" spans="2:14" s="91" customFormat="1" ht="15">
      <c r="B157" s="678"/>
      <c r="C157" s="404" t="s">
        <v>941</v>
      </c>
      <c r="D157" s="405" t="s">
        <v>915</v>
      </c>
      <c r="E157" s="516">
        <v>42628</v>
      </c>
      <c r="F157" s="406">
        <v>44454</v>
      </c>
      <c r="G157" s="408">
        <v>5.0027397260273974</v>
      </c>
      <c r="H157" s="409" t="s">
        <v>917</v>
      </c>
      <c r="I157" s="410" t="s">
        <v>155</v>
      </c>
      <c r="J157" s="412">
        <v>9.4999999999999998E-3</v>
      </c>
      <c r="K157" s="420"/>
      <c r="L157" s="413">
        <v>96492.49000000002</v>
      </c>
      <c r="M157" s="414">
        <v>13543.001148307745</v>
      </c>
      <c r="N157" s="415">
        <v>3945.5210920051695</v>
      </c>
    </row>
    <row r="158" spans="2:14" s="91" customFormat="1" ht="15">
      <c r="B158" s="678"/>
      <c r="C158" s="404" t="s">
        <v>942</v>
      </c>
      <c r="D158" s="405" t="s">
        <v>915</v>
      </c>
      <c r="E158" s="516">
        <v>42809</v>
      </c>
      <c r="F158" s="406">
        <v>44635</v>
      </c>
      <c r="G158" s="408">
        <v>5.0027397260273974</v>
      </c>
      <c r="H158" s="409" t="s">
        <v>917</v>
      </c>
      <c r="I158" s="410" t="s">
        <v>155</v>
      </c>
      <c r="J158" s="412">
        <v>9.4999999999999998E-3</v>
      </c>
      <c r="K158" s="419"/>
      <c r="L158" s="413">
        <v>44052.03</v>
      </c>
      <c r="M158" s="414">
        <v>6182.8303205284383</v>
      </c>
      <c r="N158" s="415">
        <v>1801.2615646113438</v>
      </c>
    </row>
    <row r="159" spans="2:14" s="91" customFormat="1" ht="15">
      <c r="B159" s="678"/>
      <c r="C159" s="404" t="s">
        <v>943</v>
      </c>
      <c r="D159" s="405" t="s">
        <v>915</v>
      </c>
      <c r="E159" s="516">
        <v>42628</v>
      </c>
      <c r="F159" s="406">
        <v>44454</v>
      </c>
      <c r="G159" s="408">
        <v>5.0027397260273974</v>
      </c>
      <c r="H159" s="409" t="s">
        <v>917</v>
      </c>
      <c r="I159" s="410" t="s">
        <v>155</v>
      </c>
      <c r="J159" s="412">
        <v>9.4999999999999998E-3</v>
      </c>
      <c r="K159" s="420"/>
      <c r="L159" s="413">
        <v>21755.429999999989</v>
      </c>
      <c r="M159" s="414">
        <v>3053.4377698402077</v>
      </c>
      <c r="N159" s="415">
        <v>889.56672100224557</v>
      </c>
    </row>
    <row r="160" spans="2:14" s="91" customFormat="1" ht="15">
      <c r="B160" s="678"/>
      <c r="C160" s="404" t="s">
        <v>944</v>
      </c>
      <c r="D160" s="405" t="s">
        <v>915</v>
      </c>
      <c r="E160" s="516">
        <v>41715</v>
      </c>
      <c r="F160" s="406">
        <v>43905</v>
      </c>
      <c r="G160" s="408">
        <v>6</v>
      </c>
      <c r="H160" s="432" t="s">
        <v>883</v>
      </c>
      <c r="I160" s="410">
        <v>0</v>
      </c>
      <c r="J160" s="412">
        <v>2.8500000000000001E-2</v>
      </c>
      <c r="K160" s="419"/>
      <c r="L160" s="413">
        <v>0</v>
      </c>
      <c r="M160" s="414">
        <v>0</v>
      </c>
      <c r="N160" s="415">
        <v>0</v>
      </c>
    </row>
    <row r="161" spans="2:14" s="91" customFormat="1" ht="15">
      <c r="B161" s="678"/>
      <c r="C161" s="404" t="s">
        <v>945</v>
      </c>
      <c r="D161" s="405" t="s">
        <v>915</v>
      </c>
      <c r="E161" s="516">
        <v>41533</v>
      </c>
      <c r="F161" s="406">
        <v>44089</v>
      </c>
      <c r="G161" s="408">
        <v>7.0027397260273974</v>
      </c>
      <c r="H161" s="432" t="s">
        <v>883</v>
      </c>
      <c r="I161" s="410">
        <v>0</v>
      </c>
      <c r="J161" s="412">
        <v>3.0599999999999999E-2</v>
      </c>
      <c r="K161" s="420"/>
      <c r="L161" s="413">
        <v>0</v>
      </c>
      <c r="M161" s="414">
        <v>0</v>
      </c>
      <c r="N161" s="415">
        <v>0</v>
      </c>
    </row>
    <row r="162" spans="2:14" s="91" customFormat="1" ht="15">
      <c r="B162" s="678"/>
      <c r="C162" s="404" t="s">
        <v>946</v>
      </c>
      <c r="D162" s="405" t="s">
        <v>915</v>
      </c>
      <c r="E162" s="516">
        <v>42809</v>
      </c>
      <c r="F162" s="406">
        <v>44635</v>
      </c>
      <c r="G162" s="408">
        <v>5.0027397260273974</v>
      </c>
      <c r="H162" s="409" t="s">
        <v>917</v>
      </c>
      <c r="I162" s="410" t="s">
        <v>155</v>
      </c>
      <c r="J162" s="412">
        <v>9.4999999999999998E-3</v>
      </c>
      <c r="K162" s="419"/>
      <c r="L162" s="413">
        <v>39998.885000000002</v>
      </c>
      <c r="M162" s="414">
        <v>5613.9596510156325</v>
      </c>
      <c r="N162" s="415">
        <v>1635.530852444467</v>
      </c>
    </row>
    <row r="163" spans="2:14" s="91" customFormat="1" ht="15">
      <c r="B163" s="678"/>
      <c r="C163" s="404" t="s">
        <v>947</v>
      </c>
      <c r="D163" s="405" t="s">
        <v>915</v>
      </c>
      <c r="E163" s="516">
        <v>42628</v>
      </c>
      <c r="F163" s="406">
        <v>44454</v>
      </c>
      <c r="G163" s="408">
        <v>5.0027397260273974</v>
      </c>
      <c r="H163" s="409" t="s">
        <v>917</v>
      </c>
      <c r="I163" s="410" t="s">
        <v>155</v>
      </c>
      <c r="J163" s="412">
        <v>9.4999999999999998E-3</v>
      </c>
      <c r="K163" s="420"/>
      <c r="L163" s="413">
        <v>32126.75</v>
      </c>
      <c r="M163" s="414">
        <v>4509.0826461354236</v>
      </c>
      <c r="N163" s="415">
        <v>1313.6438881676397</v>
      </c>
    </row>
    <row r="164" spans="2:14" s="91" customFormat="1" ht="15">
      <c r="B164" s="678"/>
      <c r="C164" s="404" t="s">
        <v>948</v>
      </c>
      <c r="D164" s="405" t="s">
        <v>911</v>
      </c>
      <c r="E164" s="406">
        <v>43376</v>
      </c>
      <c r="F164" s="406">
        <v>45719</v>
      </c>
      <c r="G164" s="408">
        <v>6.419178082191781</v>
      </c>
      <c r="H164" s="432" t="s">
        <v>924</v>
      </c>
      <c r="I164" s="410" t="s">
        <v>155</v>
      </c>
      <c r="J164" s="412">
        <v>1.3299999999999999E-2</v>
      </c>
      <c r="K164" s="419"/>
      <c r="L164" s="413">
        <v>2064462520</v>
      </c>
      <c r="M164" s="414">
        <v>9967.3209448032394</v>
      </c>
      <c r="N164" s="415">
        <v>2903.8079955726844</v>
      </c>
    </row>
    <row r="165" spans="2:14" s="91" customFormat="1" ht="17.25" customHeight="1">
      <c r="B165" s="483"/>
      <c r="C165" s="434"/>
      <c r="D165" s="435"/>
      <c r="E165" s="436"/>
      <c r="F165" s="436"/>
      <c r="G165" s="437"/>
      <c r="H165" s="496"/>
      <c r="I165" s="496"/>
      <c r="J165" s="439"/>
      <c r="K165" s="420"/>
      <c r="L165" s="483"/>
      <c r="M165" s="417">
        <v>302541.45711760694</v>
      </c>
      <c r="N165" s="417">
        <v>88140.264273155728</v>
      </c>
    </row>
    <row r="166" spans="2:14" s="91" customFormat="1" ht="15">
      <c r="B166" s="517"/>
      <c r="C166" s="434"/>
      <c r="D166" s="435"/>
      <c r="E166" s="436"/>
      <c r="F166" s="436"/>
      <c r="G166" s="437"/>
      <c r="H166" s="496"/>
      <c r="I166" s="496"/>
      <c r="J166" s="439"/>
      <c r="K166" s="419"/>
      <c r="L166" s="440"/>
      <c r="M166" s="518"/>
      <c r="N166" s="441"/>
    </row>
    <row r="167" spans="2:14" s="91" customFormat="1" ht="15">
      <c r="B167" s="667" t="s">
        <v>990</v>
      </c>
      <c r="C167" s="457" t="s">
        <v>949</v>
      </c>
      <c r="D167" s="405" t="s">
        <v>915</v>
      </c>
      <c r="E167" s="516">
        <v>42634</v>
      </c>
      <c r="F167" s="406">
        <v>44788</v>
      </c>
      <c r="G167" s="408">
        <v>5.9013698630136986</v>
      </c>
      <c r="H167" s="432" t="s">
        <v>883</v>
      </c>
      <c r="I167" s="519">
        <v>0</v>
      </c>
      <c r="J167" s="412">
        <v>3.6700000000000003E-2</v>
      </c>
      <c r="K167" s="420"/>
      <c r="L167" s="413">
        <v>560395.4844999999</v>
      </c>
      <c r="M167" s="414">
        <v>78653.170891438771</v>
      </c>
      <c r="N167" s="415">
        <v>22914.252262618724</v>
      </c>
    </row>
    <row r="168" spans="2:14" s="91" customFormat="1" ht="15">
      <c r="B168" s="668"/>
      <c r="C168" s="457" t="s">
        <v>950</v>
      </c>
      <c r="D168" s="405" t="s">
        <v>915</v>
      </c>
      <c r="E168" s="516">
        <v>42634</v>
      </c>
      <c r="F168" s="406">
        <v>44788</v>
      </c>
      <c r="G168" s="408">
        <v>5.9013698630136986</v>
      </c>
      <c r="H168" s="432" t="s">
        <v>883</v>
      </c>
      <c r="I168" s="519">
        <v>0</v>
      </c>
      <c r="J168" s="412">
        <v>3.6700000000000003E-2</v>
      </c>
      <c r="K168" s="419"/>
      <c r="L168" s="413">
        <v>206579.29879999987</v>
      </c>
      <c r="M168" s="414">
        <v>28994.018225623273</v>
      </c>
      <c r="N168" s="415">
        <v>8446.9098982150826</v>
      </c>
    </row>
    <row r="169" spans="2:14" s="91" customFormat="1" ht="15">
      <c r="B169" s="668"/>
      <c r="C169" s="457" t="s">
        <v>949</v>
      </c>
      <c r="D169" s="405" t="s">
        <v>915</v>
      </c>
      <c r="E169" s="516">
        <v>43469</v>
      </c>
      <c r="F169" s="406">
        <v>44910</v>
      </c>
      <c r="G169" s="408">
        <v>3.9479452054794519</v>
      </c>
      <c r="H169" s="432" t="s">
        <v>883</v>
      </c>
      <c r="I169" s="519">
        <v>0</v>
      </c>
      <c r="J169" s="412">
        <v>3.15E-2</v>
      </c>
      <c r="K169" s="420"/>
      <c r="L169" s="413">
        <v>103794.75</v>
      </c>
      <c r="M169" s="414">
        <v>14567.901482411333</v>
      </c>
      <c r="N169" s="415">
        <v>4244.1082250287936</v>
      </c>
    </row>
    <row r="170" spans="2:14" s="91" customFormat="1" ht="15">
      <c r="B170" s="668"/>
      <c r="C170" s="457" t="s">
        <v>951</v>
      </c>
      <c r="D170" s="405" t="s">
        <v>915</v>
      </c>
      <c r="E170" s="516">
        <v>43469</v>
      </c>
      <c r="F170" s="406">
        <v>44910</v>
      </c>
      <c r="G170" s="408">
        <v>3.9479452054794519</v>
      </c>
      <c r="H170" s="432" t="s">
        <v>883</v>
      </c>
      <c r="I170" s="519">
        <v>0</v>
      </c>
      <c r="J170" s="412">
        <v>3.15E-2</v>
      </c>
      <c r="K170" s="419"/>
      <c r="L170" s="413">
        <v>121205.25</v>
      </c>
      <c r="M170" s="414">
        <v>17011.516874900088</v>
      </c>
      <c r="N170" s="415">
        <v>4956.0136561981317</v>
      </c>
    </row>
    <row r="171" spans="2:14" s="91" customFormat="1" ht="15">
      <c r="B171" s="668"/>
      <c r="C171" s="457" t="s">
        <v>951</v>
      </c>
      <c r="D171" s="405" t="s">
        <v>915</v>
      </c>
      <c r="E171" s="516">
        <v>43539</v>
      </c>
      <c r="F171" s="406">
        <v>45641</v>
      </c>
      <c r="G171" s="408">
        <v>5.7589041095890412</v>
      </c>
      <c r="H171" s="409" t="s">
        <v>917</v>
      </c>
      <c r="I171" s="410">
        <v>0</v>
      </c>
      <c r="J171" s="412">
        <v>8.9999999999999993E-3</v>
      </c>
      <c r="K171" s="420"/>
      <c r="L171" s="413">
        <v>51886</v>
      </c>
      <c r="M171" s="414">
        <v>7282.3542261664925</v>
      </c>
      <c r="N171" s="415">
        <v>2121.5889952415127</v>
      </c>
    </row>
    <row r="172" spans="2:14" s="91" customFormat="1" ht="14.25" customHeight="1">
      <c r="B172" s="668"/>
      <c r="C172" s="457" t="s">
        <v>949</v>
      </c>
      <c r="D172" s="405" t="s">
        <v>915</v>
      </c>
      <c r="E172" s="516">
        <v>43539</v>
      </c>
      <c r="F172" s="406">
        <v>45641</v>
      </c>
      <c r="G172" s="408">
        <v>5.7589041095890412</v>
      </c>
      <c r="H172" s="409" t="s">
        <v>917</v>
      </c>
      <c r="I172" s="410">
        <v>0</v>
      </c>
      <c r="J172" s="412">
        <v>8.9999999999999993E-3</v>
      </c>
      <c r="K172" s="419"/>
      <c r="L172" s="413">
        <v>44433</v>
      </c>
      <c r="M172" s="414">
        <v>6236.3035372018594</v>
      </c>
      <c r="N172" s="415">
        <v>1816.8400691046932</v>
      </c>
    </row>
    <row r="173" spans="2:14" s="91" customFormat="1" ht="15">
      <c r="B173" s="668"/>
      <c r="C173" s="457" t="s">
        <v>951</v>
      </c>
      <c r="D173" s="405" t="s">
        <v>915</v>
      </c>
      <c r="E173" s="516">
        <v>43693</v>
      </c>
      <c r="F173" s="406">
        <v>44270</v>
      </c>
      <c r="G173" s="408">
        <v>1.5808219178082192</v>
      </c>
      <c r="H173" s="409" t="s">
        <v>917</v>
      </c>
      <c r="I173" s="410">
        <v>0</v>
      </c>
      <c r="J173" s="412">
        <v>8.9999999999999993E-3</v>
      </c>
      <c r="K173" s="420"/>
      <c r="L173" s="413">
        <v>0</v>
      </c>
      <c r="M173" s="414">
        <v>0</v>
      </c>
      <c r="N173" s="415">
        <v>0</v>
      </c>
    </row>
    <row r="174" spans="2:14" s="91" customFormat="1" ht="15">
      <c r="B174" s="669"/>
      <c r="C174" s="457" t="s">
        <v>949</v>
      </c>
      <c r="D174" s="405" t="s">
        <v>915</v>
      </c>
      <c r="E174" s="516">
        <v>43693</v>
      </c>
      <c r="F174" s="406">
        <v>44270</v>
      </c>
      <c r="G174" s="408">
        <v>1.5808219178082192</v>
      </c>
      <c r="H174" s="409" t="s">
        <v>917</v>
      </c>
      <c r="I174" s="410">
        <v>0</v>
      </c>
      <c r="J174" s="412">
        <v>8.9999999999999993E-3</v>
      </c>
      <c r="K174" s="419"/>
      <c r="L174" s="413">
        <v>0</v>
      </c>
      <c r="M174" s="414">
        <v>0</v>
      </c>
      <c r="N174" s="415">
        <v>0</v>
      </c>
    </row>
    <row r="175" spans="2:14" s="91" customFormat="1" ht="15">
      <c r="B175" s="483"/>
      <c r="C175" s="483"/>
      <c r="D175" s="483"/>
      <c r="E175" s="483"/>
      <c r="F175" s="483"/>
      <c r="G175" s="520"/>
      <c r="H175" s="520"/>
      <c r="I175" s="520"/>
      <c r="J175" s="521"/>
      <c r="K175" s="420"/>
      <c r="L175" s="440"/>
      <c r="M175" s="417">
        <v>152745.26523774184</v>
      </c>
      <c r="N175" s="418">
        <v>44499.713106406933</v>
      </c>
    </row>
    <row r="176" spans="2:14" s="91" customFormat="1" ht="15">
      <c r="B176" s="480"/>
      <c r="C176" s="481"/>
      <c r="D176" s="500"/>
      <c r="E176" s="481"/>
      <c r="F176" s="481"/>
      <c r="G176" s="481"/>
      <c r="H176" s="481"/>
      <c r="I176" s="481"/>
      <c r="J176" s="508"/>
      <c r="K176" s="419"/>
      <c r="L176" s="522"/>
      <c r="M176" s="441"/>
      <c r="N176" s="441"/>
    </row>
    <row r="177" spans="2:14" s="91" customFormat="1" ht="15">
      <c r="B177" s="667" t="s">
        <v>991</v>
      </c>
      <c r="C177" s="430" t="s">
        <v>952</v>
      </c>
      <c r="D177" s="405" t="s">
        <v>915</v>
      </c>
      <c r="E177" s="516">
        <v>43370</v>
      </c>
      <c r="F177" s="406">
        <v>54954</v>
      </c>
      <c r="G177" s="408">
        <v>31.736986301369864</v>
      </c>
      <c r="H177" s="432" t="s">
        <v>883</v>
      </c>
      <c r="I177" s="519">
        <v>0</v>
      </c>
      <c r="J177" s="412">
        <v>3.85E-2</v>
      </c>
      <c r="K177" s="420"/>
      <c r="L177" s="413">
        <v>62000</v>
      </c>
      <c r="M177" s="414">
        <v>8701.9403392388067</v>
      </c>
      <c r="N177" s="415">
        <v>2535.1610602298051</v>
      </c>
    </row>
    <row r="178" spans="2:14" s="91" customFormat="1" ht="15">
      <c r="B178" s="668"/>
      <c r="C178" s="430" t="s">
        <v>953</v>
      </c>
      <c r="D178" s="405" t="s">
        <v>915</v>
      </c>
      <c r="E178" s="516">
        <v>43370</v>
      </c>
      <c r="F178" s="406">
        <v>54954</v>
      </c>
      <c r="G178" s="408">
        <v>31.736986301369864</v>
      </c>
      <c r="H178" s="432" t="s">
        <v>883</v>
      </c>
      <c r="I178" s="519">
        <v>0</v>
      </c>
      <c r="J178" s="412">
        <v>3.85E-2</v>
      </c>
      <c r="K178" s="419"/>
      <c r="L178" s="413">
        <v>613000</v>
      </c>
      <c r="M178" s="414">
        <v>86036.92625731272</v>
      </c>
      <c r="N178" s="415">
        <v>25065.382740659203</v>
      </c>
    </row>
    <row r="179" spans="2:14" s="91" customFormat="1" ht="15">
      <c r="B179" s="668"/>
      <c r="C179" s="430" t="s">
        <v>954</v>
      </c>
      <c r="D179" s="405" t="s">
        <v>915</v>
      </c>
      <c r="E179" s="516">
        <v>43370</v>
      </c>
      <c r="F179" s="406">
        <v>54954</v>
      </c>
      <c r="G179" s="408">
        <v>31.736986301369864</v>
      </c>
      <c r="H179" s="432" t="s">
        <v>883</v>
      </c>
      <c r="I179" s="519">
        <v>0</v>
      </c>
      <c r="J179" s="412">
        <v>3.85E-2</v>
      </c>
      <c r="K179" s="420"/>
      <c r="L179" s="413">
        <v>184000</v>
      </c>
      <c r="M179" s="414">
        <v>25825.11326483775</v>
      </c>
      <c r="N179" s="415">
        <v>7523.7037916497447</v>
      </c>
    </row>
    <row r="180" spans="2:14" s="91" customFormat="1" ht="15">
      <c r="B180" s="668"/>
      <c r="C180" s="430" t="s">
        <v>954</v>
      </c>
      <c r="D180" s="405" t="s">
        <v>915</v>
      </c>
      <c r="E180" s="516">
        <v>43370</v>
      </c>
      <c r="F180" s="406">
        <v>54954</v>
      </c>
      <c r="G180" s="408">
        <v>31.736986301369864</v>
      </c>
      <c r="H180" s="432" t="s">
        <v>883</v>
      </c>
      <c r="I180" s="519">
        <v>0</v>
      </c>
      <c r="J180" s="412">
        <v>3.85E-2</v>
      </c>
      <c r="K180" s="419"/>
      <c r="L180" s="413">
        <v>62000</v>
      </c>
      <c r="M180" s="414">
        <v>8701.9403392388067</v>
      </c>
      <c r="N180" s="415">
        <v>2535.1610602298051</v>
      </c>
    </row>
    <row r="181" spans="2:14" s="91" customFormat="1" ht="15">
      <c r="B181" s="669"/>
      <c r="C181" s="430" t="s">
        <v>952</v>
      </c>
      <c r="D181" s="405" t="s">
        <v>911</v>
      </c>
      <c r="E181" s="516">
        <v>43370</v>
      </c>
      <c r="F181" s="406">
        <v>44910</v>
      </c>
      <c r="G181" s="408">
        <v>4.2191780821917808</v>
      </c>
      <c r="H181" s="432" t="s">
        <v>924</v>
      </c>
      <c r="I181" s="523" t="s">
        <v>155</v>
      </c>
      <c r="J181" s="412">
        <v>3.5000000000000001E-3</v>
      </c>
      <c r="K181" s="420"/>
      <c r="L181" s="413">
        <v>6911764291</v>
      </c>
      <c r="M181" s="414">
        <v>33370.550361032219</v>
      </c>
      <c r="N181" s="415">
        <v>9721.9374686182709</v>
      </c>
    </row>
    <row r="182" spans="2:14" s="91" customFormat="1" ht="15">
      <c r="B182" s="483"/>
      <c r="C182" s="434"/>
      <c r="D182" s="435"/>
      <c r="E182" s="436"/>
      <c r="F182" s="436"/>
      <c r="G182" s="437"/>
      <c r="H182" s="438"/>
      <c r="I182" s="438"/>
      <c r="J182" s="439"/>
      <c r="K182" s="419"/>
      <c r="L182" s="440"/>
      <c r="M182" s="417">
        <v>162636.4705616603</v>
      </c>
      <c r="N182" s="418">
        <v>47381.346121386829</v>
      </c>
    </row>
    <row r="183" spans="2:14" s="91" customFormat="1" ht="15">
      <c r="B183" s="480"/>
      <c r="C183" s="481"/>
      <c r="D183" s="500"/>
      <c r="E183" s="481"/>
      <c r="F183" s="481"/>
      <c r="G183" s="481"/>
      <c r="H183" s="481"/>
      <c r="I183" s="481"/>
      <c r="J183" s="508"/>
      <c r="K183" s="420"/>
      <c r="L183" s="522"/>
      <c r="M183" s="441"/>
      <c r="N183" s="441"/>
    </row>
    <row r="184" spans="2:14" s="91" customFormat="1" ht="15">
      <c r="B184" s="505" t="s">
        <v>992</v>
      </c>
      <c r="C184" s="457" t="s">
        <v>956</v>
      </c>
      <c r="D184" s="457" t="s">
        <v>915</v>
      </c>
      <c r="E184" s="406">
        <v>44118</v>
      </c>
      <c r="F184" s="406">
        <v>44805</v>
      </c>
      <c r="G184" s="408">
        <v>1.8821917808219177</v>
      </c>
      <c r="H184" s="432" t="s">
        <v>912</v>
      </c>
      <c r="I184" s="410" t="s">
        <v>155</v>
      </c>
      <c r="J184" s="412">
        <v>3.5000000000000001E-3</v>
      </c>
      <c r="K184" s="420"/>
      <c r="L184" s="413">
        <v>4000000</v>
      </c>
      <c r="M184" s="414">
        <v>561411.67589696497</v>
      </c>
      <c r="N184" s="415">
        <v>163557.66231521193</v>
      </c>
    </row>
    <row r="185" spans="2:14" s="91" customFormat="1" ht="15">
      <c r="B185" s="483"/>
      <c r="C185" s="434"/>
      <c r="D185" s="435"/>
      <c r="E185" s="436"/>
      <c r="F185" s="436"/>
      <c r="G185" s="437"/>
      <c r="H185" s="438"/>
      <c r="I185" s="438"/>
      <c r="J185" s="439"/>
      <c r="K185" s="419"/>
      <c r="L185" s="440"/>
      <c r="M185" s="417">
        <v>561411.67589696497</v>
      </c>
      <c r="N185" s="417">
        <v>163557.66231521193</v>
      </c>
    </row>
    <row r="186" spans="2:14" s="91" customFormat="1" ht="15">
      <c r="B186" s="480"/>
      <c r="C186" s="481"/>
      <c r="D186" s="500"/>
      <c r="E186" s="481"/>
      <c r="F186" s="481"/>
      <c r="G186" s="481"/>
      <c r="H186" s="481"/>
      <c r="I186" s="481"/>
      <c r="J186" s="508"/>
      <c r="K186" s="420"/>
      <c r="L186" s="522"/>
      <c r="M186" s="441"/>
      <c r="N186" s="441"/>
    </row>
    <row r="187" spans="2:14" s="91" customFormat="1" ht="15">
      <c r="B187" s="667" t="s">
        <v>158</v>
      </c>
      <c r="C187" s="430" t="s">
        <v>955</v>
      </c>
      <c r="D187" s="405" t="s">
        <v>872</v>
      </c>
      <c r="E187" s="516">
        <v>42514</v>
      </c>
      <c r="F187" s="406">
        <v>47938</v>
      </c>
      <c r="G187" s="408">
        <v>14.860273972602739</v>
      </c>
      <c r="H187" s="432" t="s">
        <v>886</v>
      </c>
      <c r="I187" s="433" t="s">
        <v>155</v>
      </c>
      <c r="J187" s="524">
        <v>2.2499999999999999E-2</v>
      </c>
      <c r="K187" s="419"/>
      <c r="L187" s="413">
        <v>63803754.839038081</v>
      </c>
      <c r="M187" s="414">
        <v>219006.38848303506</v>
      </c>
      <c r="N187" s="415">
        <v>63803.75483846615</v>
      </c>
    </row>
    <row r="188" spans="2:14" s="91" customFormat="1" ht="15">
      <c r="B188" s="668"/>
      <c r="C188" s="430" t="s">
        <v>956</v>
      </c>
      <c r="D188" s="405" t="s">
        <v>872</v>
      </c>
      <c r="E188" s="516">
        <v>42514</v>
      </c>
      <c r="F188" s="406">
        <v>47938</v>
      </c>
      <c r="G188" s="408">
        <v>14.860273972602739</v>
      </c>
      <c r="H188" s="432" t="s">
        <v>886</v>
      </c>
      <c r="I188" s="433" t="s">
        <v>155</v>
      </c>
      <c r="J188" s="524">
        <v>2.2499999999999999E-2</v>
      </c>
      <c r="K188" s="420"/>
      <c r="L188" s="413">
        <v>63803754.568160504</v>
      </c>
      <c r="M188" s="414">
        <v>219006.38755324774</v>
      </c>
      <c r="N188" s="415">
        <v>63803.754567588563</v>
      </c>
    </row>
    <row r="189" spans="2:14" s="91" customFormat="1" ht="15">
      <c r="B189" s="668"/>
      <c r="C189" s="430" t="s">
        <v>894</v>
      </c>
      <c r="D189" s="405" t="s">
        <v>872</v>
      </c>
      <c r="E189" s="516">
        <v>42514</v>
      </c>
      <c r="F189" s="406">
        <v>47938</v>
      </c>
      <c r="G189" s="408">
        <v>14.860273972602739</v>
      </c>
      <c r="H189" s="432" t="s">
        <v>886</v>
      </c>
      <c r="I189" s="433" t="s">
        <v>155</v>
      </c>
      <c r="J189" s="524">
        <v>2.2499999999999999E-2</v>
      </c>
      <c r="K189" s="419"/>
      <c r="L189" s="413">
        <v>76639255.617557079</v>
      </c>
      <c r="M189" s="414">
        <v>263064.24490490655</v>
      </c>
      <c r="N189" s="415">
        <v>76639.255616870068</v>
      </c>
    </row>
    <row r="190" spans="2:14" s="91" customFormat="1" ht="15">
      <c r="B190" s="668"/>
      <c r="C190" s="430" t="s">
        <v>957</v>
      </c>
      <c r="D190" s="405" t="s">
        <v>872</v>
      </c>
      <c r="E190" s="516">
        <v>42514</v>
      </c>
      <c r="F190" s="406">
        <v>47938</v>
      </c>
      <c r="G190" s="408">
        <v>14.860273972602739</v>
      </c>
      <c r="H190" s="432" t="s">
        <v>886</v>
      </c>
      <c r="I190" s="433" t="s">
        <v>155</v>
      </c>
      <c r="J190" s="524">
        <v>2.2499999999999999E-2</v>
      </c>
      <c r="K190" s="420"/>
      <c r="L190" s="413">
        <v>63803754.539632306</v>
      </c>
      <c r="M190" s="414">
        <v>219006.3874553247</v>
      </c>
      <c r="N190" s="415">
        <v>63803.754539060363</v>
      </c>
    </row>
    <row r="191" spans="2:14" s="91" customFormat="1" ht="15">
      <c r="B191" s="668"/>
      <c r="C191" s="430" t="s">
        <v>958</v>
      </c>
      <c r="D191" s="405" t="s">
        <v>872</v>
      </c>
      <c r="E191" s="516">
        <v>42514</v>
      </c>
      <c r="F191" s="406">
        <v>47938</v>
      </c>
      <c r="G191" s="408">
        <v>14.860273972602739</v>
      </c>
      <c r="H191" s="432" t="s">
        <v>886</v>
      </c>
      <c r="I191" s="433" t="s">
        <v>155</v>
      </c>
      <c r="J191" s="524">
        <v>2.2499999999999999E-2</v>
      </c>
      <c r="K191" s="419"/>
      <c r="L191" s="413">
        <v>63708214.34190692</v>
      </c>
      <c r="M191" s="414">
        <v>218678.44572663525</v>
      </c>
      <c r="N191" s="415">
        <v>63708.214341335835</v>
      </c>
    </row>
    <row r="192" spans="2:14" s="91" customFormat="1" ht="16.5" customHeight="1">
      <c r="B192" s="668"/>
      <c r="C192" s="430" t="s">
        <v>959</v>
      </c>
      <c r="D192" s="405" t="s">
        <v>872</v>
      </c>
      <c r="E192" s="516">
        <v>42514</v>
      </c>
      <c r="F192" s="406">
        <v>47938</v>
      </c>
      <c r="G192" s="408">
        <v>14.860273972602739</v>
      </c>
      <c r="H192" s="432" t="s">
        <v>886</v>
      </c>
      <c r="I192" s="433" t="s">
        <v>155</v>
      </c>
      <c r="J192" s="524">
        <v>2.2499999999999999E-2</v>
      </c>
      <c r="K192" s="420"/>
      <c r="L192" s="413">
        <v>76734795.815282464</v>
      </c>
      <c r="M192" s="414">
        <v>263392.18663359596</v>
      </c>
      <c r="N192" s="415">
        <v>76734.795814594603</v>
      </c>
    </row>
    <row r="193" spans="1:14" s="91" customFormat="1" ht="14.25" customHeight="1">
      <c r="B193" s="668"/>
      <c r="C193" s="430" t="s">
        <v>960</v>
      </c>
      <c r="D193" s="405" t="s">
        <v>872</v>
      </c>
      <c r="E193" s="516">
        <v>42514</v>
      </c>
      <c r="F193" s="406">
        <v>47938</v>
      </c>
      <c r="G193" s="408">
        <v>14.860273972602739</v>
      </c>
      <c r="H193" s="432" t="s">
        <v>886</v>
      </c>
      <c r="I193" s="433" t="s">
        <v>155</v>
      </c>
      <c r="J193" s="524">
        <v>2.2499999999999999E-2</v>
      </c>
      <c r="K193" s="419"/>
      <c r="L193" s="413">
        <v>63803754.539632306</v>
      </c>
      <c r="M193" s="414">
        <v>219006.3874553247</v>
      </c>
      <c r="N193" s="415">
        <v>63803.754539060363</v>
      </c>
    </row>
    <row r="194" spans="1:14" s="91" customFormat="1" ht="14.25" customHeight="1">
      <c r="A194" s="225" t="s">
        <v>492</v>
      </c>
      <c r="B194" s="668"/>
      <c r="C194" s="430" t="s">
        <v>961</v>
      </c>
      <c r="D194" s="405" t="s">
        <v>872</v>
      </c>
      <c r="E194" s="516">
        <v>42514</v>
      </c>
      <c r="F194" s="406">
        <v>47938</v>
      </c>
      <c r="G194" s="408">
        <v>14.860273972602739</v>
      </c>
      <c r="H194" s="432" t="s">
        <v>886</v>
      </c>
      <c r="I194" s="433" t="s">
        <v>155</v>
      </c>
      <c r="J194" s="524">
        <v>2.2499999999999999E-2</v>
      </c>
      <c r="K194" s="420"/>
      <c r="L194" s="413">
        <v>63803754.539632306</v>
      </c>
      <c r="M194" s="414">
        <v>219006.3874553247</v>
      </c>
      <c r="N194" s="415">
        <v>63803.754539060363</v>
      </c>
    </row>
    <row r="195" spans="1:14" s="91" customFormat="1" ht="15">
      <c r="B195" s="668"/>
      <c r="C195" s="430" t="s">
        <v>962</v>
      </c>
      <c r="D195" s="405" t="s">
        <v>872</v>
      </c>
      <c r="E195" s="516">
        <v>42514</v>
      </c>
      <c r="F195" s="406">
        <v>47938</v>
      </c>
      <c r="G195" s="408">
        <v>14.860273972602739</v>
      </c>
      <c r="H195" s="432" t="s">
        <v>886</v>
      </c>
      <c r="I195" s="433" t="s">
        <v>155</v>
      </c>
      <c r="J195" s="524">
        <v>2.2499999999999999E-2</v>
      </c>
      <c r="K195" s="419"/>
      <c r="L195" s="413">
        <v>63944223.539274693</v>
      </c>
      <c r="M195" s="414">
        <v>219488.54729659288</v>
      </c>
      <c r="N195" s="415">
        <v>63944.223538701495</v>
      </c>
    </row>
    <row r="196" spans="1:14" s="271" customFormat="1" ht="15">
      <c r="B196" s="668"/>
      <c r="C196" s="430" t="s">
        <v>963</v>
      </c>
      <c r="D196" s="405" t="s">
        <v>872</v>
      </c>
      <c r="E196" s="516">
        <v>42514</v>
      </c>
      <c r="F196" s="406">
        <v>47938</v>
      </c>
      <c r="G196" s="408">
        <v>14.860273972602739</v>
      </c>
      <c r="H196" s="432" t="s">
        <v>886</v>
      </c>
      <c r="I196" s="433" t="s">
        <v>155</v>
      </c>
      <c r="J196" s="524">
        <v>2.2499999999999999E-2</v>
      </c>
      <c r="K196" s="420"/>
      <c r="L196" s="413">
        <v>45132891.51978045</v>
      </c>
      <c r="M196" s="414">
        <v>154918.65014025773</v>
      </c>
      <c r="N196" s="415">
        <v>45132.891519375888</v>
      </c>
    </row>
    <row r="197" spans="1:14" s="271" customFormat="1" ht="15">
      <c r="B197" s="668"/>
      <c r="C197" s="430" t="s">
        <v>964</v>
      </c>
      <c r="D197" s="405" t="s">
        <v>872</v>
      </c>
      <c r="E197" s="516">
        <v>42514</v>
      </c>
      <c r="F197" s="406">
        <v>47938</v>
      </c>
      <c r="G197" s="408">
        <v>14.860273972602739</v>
      </c>
      <c r="H197" s="432" t="s">
        <v>886</v>
      </c>
      <c r="I197" s="433" t="s">
        <v>155</v>
      </c>
      <c r="J197" s="524">
        <v>2.2499999999999999E-2</v>
      </c>
      <c r="K197" s="419"/>
      <c r="L197" s="413">
        <v>17631749.607632458</v>
      </c>
      <c r="M197" s="414">
        <v>60520.980527655898</v>
      </c>
      <c r="N197" s="415">
        <v>17631.749607474405</v>
      </c>
    </row>
    <row r="198" spans="1:14" s="271" customFormat="1" ht="15">
      <c r="B198" s="668"/>
      <c r="C198" s="457" t="s">
        <v>895</v>
      </c>
      <c r="D198" s="405" t="s">
        <v>872</v>
      </c>
      <c r="E198" s="516">
        <v>0</v>
      </c>
      <c r="F198" s="406">
        <v>0</v>
      </c>
      <c r="G198" s="408">
        <v>0</v>
      </c>
      <c r="H198" s="432" t="s">
        <v>886</v>
      </c>
      <c r="I198" s="433" t="s">
        <v>155</v>
      </c>
      <c r="J198" s="524">
        <v>2.2499999999999999E-2</v>
      </c>
      <c r="K198" s="420"/>
      <c r="L198" s="413">
        <v>83161733.640000001</v>
      </c>
      <c r="M198" s="414">
        <v>285452.65071674122</v>
      </c>
      <c r="N198" s="415">
        <v>83161.733639254555</v>
      </c>
    </row>
    <row r="199" spans="1:14" s="91" customFormat="1" ht="15">
      <c r="B199" s="668"/>
      <c r="C199" s="430" t="s">
        <v>957</v>
      </c>
      <c r="D199" s="405" t="s">
        <v>872</v>
      </c>
      <c r="E199" s="516">
        <v>43966</v>
      </c>
      <c r="F199" s="406">
        <v>47938</v>
      </c>
      <c r="G199" s="408">
        <v>10.882191780821918</v>
      </c>
      <c r="H199" s="432" t="s">
        <v>886</v>
      </c>
      <c r="I199" s="433" t="s">
        <v>155</v>
      </c>
      <c r="J199" s="524">
        <v>1.6E-2</v>
      </c>
      <c r="K199" s="419"/>
      <c r="L199" s="413">
        <v>20000000</v>
      </c>
      <c r="M199" s="414">
        <v>68649.999999384614</v>
      </c>
      <c r="N199" s="415">
        <v>19999.99999982072</v>
      </c>
    </row>
    <row r="200" spans="1:14" s="91" customFormat="1" ht="15">
      <c r="B200" s="668"/>
      <c r="C200" s="430" t="s">
        <v>960</v>
      </c>
      <c r="D200" s="405" t="s">
        <v>872</v>
      </c>
      <c r="E200" s="516">
        <v>43966</v>
      </c>
      <c r="F200" s="406">
        <v>47938</v>
      </c>
      <c r="G200" s="408">
        <v>10.882191780821918</v>
      </c>
      <c r="H200" s="432" t="s">
        <v>886</v>
      </c>
      <c r="I200" s="433" t="s">
        <v>155</v>
      </c>
      <c r="J200" s="524">
        <v>1.6E-2</v>
      </c>
      <c r="K200" s="420"/>
      <c r="L200" s="413">
        <v>34000000</v>
      </c>
      <c r="M200" s="414">
        <v>116704.99999895385</v>
      </c>
      <c r="N200" s="415">
        <v>33999.999999695217</v>
      </c>
    </row>
    <row r="201" spans="1:14" s="91" customFormat="1" ht="15">
      <c r="B201" s="668"/>
      <c r="C201" s="430" t="s">
        <v>963</v>
      </c>
      <c r="D201" s="405" t="s">
        <v>872</v>
      </c>
      <c r="E201" s="516">
        <v>43966</v>
      </c>
      <c r="F201" s="406">
        <v>47938</v>
      </c>
      <c r="G201" s="408">
        <v>10.882191780821918</v>
      </c>
      <c r="H201" s="432" t="s">
        <v>886</v>
      </c>
      <c r="I201" s="433" t="s">
        <v>155</v>
      </c>
      <c r="J201" s="524">
        <v>1.6E-2</v>
      </c>
      <c r="K201" s="419"/>
      <c r="L201" s="413">
        <v>20000000</v>
      </c>
      <c r="M201" s="414">
        <v>68649.999999384614</v>
      </c>
      <c r="N201" s="415">
        <v>19999.99999982072</v>
      </c>
    </row>
    <row r="202" spans="1:14" s="91" customFormat="1" ht="15">
      <c r="B202" s="668"/>
      <c r="C202" s="430" t="s">
        <v>956</v>
      </c>
      <c r="D202" s="405" t="s">
        <v>872</v>
      </c>
      <c r="E202" s="516">
        <v>43966</v>
      </c>
      <c r="F202" s="406">
        <v>47938</v>
      </c>
      <c r="G202" s="408">
        <v>10.882191780821918</v>
      </c>
      <c r="H202" s="432" t="s">
        <v>886</v>
      </c>
      <c r="I202" s="433" t="s">
        <v>155</v>
      </c>
      <c r="J202" s="524">
        <v>1.6E-2</v>
      </c>
      <c r="K202" s="420"/>
      <c r="L202" s="413">
        <v>20000000</v>
      </c>
      <c r="M202" s="414">
        <v>68649.999999384614</v>
      </c>
      <c r="N202" s="415">
        <v>19999.99999982072</v>
      </c>
    </row>
    <row r="203" spans="1:14" s="91" customFormat="1" ht="15">
      <c r="B203" s="668"/>
      <c r="C203" s="430" t="s">
        <v>955</v>
      </c>
      <c r="D203" s="405" t="s">
        <v>911</v>
      </c>
      <c r="E203" s="516">
        <v>42514</v>
      </c>
      <c r="F203" s="406">
        <v>43921</v>
      </c>
      <c r="G203" s="408">
        <v>3.8547945205479452</v>
      </c>
      <c r="H203" s="432" t="s">
        <v>965</v>
      </c>
      <c r="I203" s="523" t="s">
        <v>155</v>
      </c>
      <c r="J203" s="411">
        <v>1.0999999999999999E-2</v>
      </c>
      <c r="K203" s="419"/>
      <c r="L203" s="413">
        <v>0</v>
      </c>
      <c r="M203" s="414">
        <v>0</v>
      </c>
      <c r="N203" s="415">
        <v>0</v>
      </c>
    </row>
    <row r="204" spans="1:14" s="91" customFormat="1" ht="15">
      <c r="B204" s="668"/>
      <c r="C204" s="430" t="s">
        <v>869</v>
      </c>
      <c r="D204" s="405" t="s">
        <v>911</v>
      </c>
      <c r="E204" s="516">
        <v>42514</v>
      </c>
      <c r="F204" s="406">
        <v>43921</v>
      </c>
      <c r="G204" s="408">
        <v>3.8547945205479452</v>
      </c>
      <c r="H204" s="432" t="s">
        <v>965</v>
      </c>
      <c r="I204" s="523" t="s">
        <v>155</v>
      </c>
      <c r="J204" s="411">
        <v>1.0999999999999999E-2</v>
      </c>
      <c r="K204" s="420"/>
      <c r="L204" s="413">
        <v>0</v>
      </c>
      <c r="M204" s="414">
        <v>0</v>
      </c>
      <c r="N204" s="415">
        <v>0</v>
      </c>
    </row>
    <row r="205" spans="1:14" s="91" customFormat="1" ht="15">
      <c r="B205" s="669"/>
      <c r="C205" s="430" t="s">
        <v>966</v>
      </c>
      <c r="D205" s="405" t="s">
        <v>911</v>
      </c>
      <c r="E205" s="516">
        <v>42514</v>
      </c>
      <c r="F205" s="406">
        <v>43921</v>
      </c>
      <c r="G205" s="408">
        <v>3.8547945205479452</v>
      </c>
      <c r="H205" s="432" t="s">
        <v>965</v>
      </c>
      <c r="I205" s="523" t="s">
        <v>155</v>
      </c>
      <c r="J205" s="411">
        <v>1.0999999999999999E-2</v>
      </c>
      <c r="K205" s="419"/>
      <c r="L205" s="413">
        <v>0</v>
      </c>
      <c r="M205" s="414">
        <v>0</v>
      </c>
      <c r="N205" s="415">
        <v>0</v>
      </c>
    </row>
    <row r="206" spans="1:14" s="91" customFormat="1" ht="15">
      <c r="B206" s="483"/>
      <c r="C206" s="434"/>
      <c r="D206" s="435"/>
      <c r="E206" s="436"/>
      <c r="F206" s="436"/>
      <c r="G206" s="437"/>
      <c r="H206" s="438"/>
      <c r="I206" s="438"/>
      <c r="J206" s="439"/>
      <c r="K206" s="420"/>
      <c r="L206" s="439"/>
      <c r="M206" s="417">
        <v>2883202.6443457487</v>
      </c>
      <c r="N206" s="418">
        <v>839971.63710000005</v>
      </c>
    </row>
    <row r="207" spans="1:14" s="91" customFormat="1" ht="15">
      <c r="B207" s="480"/>
      <c r="C207" s="481"/>
      <c r="D207" s="500"/>
      <c r="E207" s="481"/>
      <c r="F207" s="481"/>
      <c r="G207" s="481"/>
      <c r="H207" s="481"/>
      <c r="I207" s="481"/>
      <c r="J207" s="508"/>
      <c r="K207" s="419"/>
      <c r="L207" s="508"/>
      <c r="M207" s="441"/>
      <c r="N207" s="441"/>
    </row>
    <row r="208" spans="1:14" s="91" customFormat="1" ht="15.5" thickBot="1">
      <c r="B208" s="670" t="s">
        <v>996</v>
      </c>
      <c r="C208" s="670"/>
      <c r="D208" s="670"/>
      <c r="E208" s="670"/>
      <c r="F208" s="670"/>
      <c r="G208" s="670"/>
      <c r="H208" s="670"/>
      <c r="I208" s="468"/>
      <c r="J208" s="469"/>
      <c r="K208" s="420"/>
      <c r="L208" s="469"/>
      <c r="M208" s="470">
        <f>+M5+M56+M74+M125</f>
        <v>8407520.0725734998</v>
      </c>
      <c r="N208" s="471">
        <f>+N5+N56+N74+N125</f>
        <v>2449386.7654984705</v>
      </c>
    </row>
    <row r="209" spans="2:14" s="91" customFormat="1" thickTop="1">
      <c r="B209" s="442"/>
      <c r="C209" s="442"/>
      <c r="D209" s="525"/>
      <c r="E209" s="525"/>
      <c r="F209" s="525"/>
      <c r="G209" s="525"/>
      <c r="H209" s="525"/>
      <c r="I209" s="525"/>
      <c r="J209" s="525"/>
      <c r="K209" s="444"/>
      <c r="L209" s="525"/>
      <c r="M209" s="442"/>
      <c r="N209" s="442"/>
    </row>
    <row r="210" spans="2:14" s="91" customFormat="1" ht="14">
      <c r="B210" s="442"/>
      <c r="C210" s="442"/>
      <c r="D210" s="442"/>
      <c r="E210" s="442"/>
      <c r="F210" s="442"/>
      <c r="G210" s="525"/>
      <c r="H210" s="525"/>
      <c r="I210" s="525"/>
      <c r="J210" s="525"/>
      <c r="K210" s="447"/>
      <c r="L210" s="526"/>
      <c r="M210" s="527"/>
      <c r="N210" s="528"/>
    </row>
    <row r="211" spans="2:14" s="91" customFormat="1" ht="14">
      <c r="B211" s="442"/>
      <c r="C211" s="442"/>
      <c r="D211" s="442"/>
      <c r="E211" s="442"/>
      <c r="F211" s="529"/>
      <c r="G211" s="525"/>
      <c r="H211" s="525"/>
      <c r="I211" s="525"/>
      <c r="J211" s="525"/>
      <c r="K211" s="444"/>
      <c r="L211" s="526"/>
      <c r="M211" s="442"/>
      <c r="N211" s="528"/>
    </row>
    <row r="212" spans="2:14" s="91" customFormat="1" ht="14">
      <c r="B212" s="442"/>
      <c r="C212" s="442"/>
      <c r="D212" s="442"/>
      <c r="E212" s="442"/>
      <c r="F212" s="442"/>
      <c r="G212" s="525"/>
      <c r="H212" s="442"/>
      <c r="I212" s="442"/>
      <c r="J212" s="442"/>
      <c r="K212" s="447"/>
      <c r="L212" s="526"/>
      <c r="M212" s="530"/>
      <c r="N212" s="442"/>
    </row>
    <row r="213" spans="2:14" s="91" customFormat="1" ht="14">
      <c r="G213" s="133"/>
      <c r="H213" s="133"/>
      <c r="I213" s="133"/>
      <c r="J213" s="133"/>
      <c r="L213" s="133"/>
      <c r="M213" s="134"/>
      <c r="N213" s="134"/>
    </row>
    <row r="214" spans="2:14" s="91" customFormat="1" ht="14">
      <c r="G214" s="133"/>
      <c r="H214" s="133"/>
      <c r="I214" s="133"/>
      <c r="J214" s="133"/>
      <c r="L214" s="133"/>
      <c r="M214" s="134"/>
      <c r="N214" s="134"/>
    </row>
    <row r="215" spans="2:14" s="91" customFormat="1" ht="14">
      <c r="G215" s="133"/>
      <c r="H215" s="133"/>
      <c r="I215" s="133"/>
      <c r="J215" s="133"/>
      <c r="L215" s="133"/>
      <c r="M215" s="134"/>
      <c r="N215" s="134"/>
    </row>
    <row r="216" spans="2:14" s="91" customFormat="1" ht="14">
      <c r="G216" s="133"/>
      <c r="H216" s="133"/>
      <c r="I216" s="133"/>
      <c r="J216" s="133"/>
      <c r="L216" s="133"/>
      <c r="M216" s="134"/>
      <c r="N216" s="134"/>
    </row>
    <row r="217" spans="2:14" s="91" customFormat="1" ht="14">
      <c r="G217" s="133"/>
      <c r="H217" s="133"/>
      <c r="I217" s="133"/>
      <c r="J217" s="133"/>
      <c r="L217" s="133"/>
      <c r="M217" s="134"/>
      <c r="N217" s="134"/>
    </row>
    <row r="218" spans="2:14" s="91" customFormat="1" ht="14">
      <c r="G218" s="133"/>
      <c r="H218" s="133"/>
      <c r="I218" s="133"/>
      <c r="J218" s="133"/>
      <c r="L218" s="133"/>
      <c r="M218" s="134"/>
      <c r="N218" s="134"/>
    </row>
    <row r="219" spans="2:14" s="91" customFormat="1" ht="14">
      <c r="G219" s="133"/>
      <c r="H219" s="133"/>
      <c r="I219" s="133"/>
      <c r="J219" s="133"/>
      <c r="L219" s="133"/>
      <c r="M219" s="134"/>
      <c r="N219" s="134"/>
    </row>
    <row r="220" spans="2:14" s="91" customFormat="1" ht="14">
      <c r="G220" s="133"/>
      <c r="H220" s="133"/>
      <c r="I220" s="133"/>
      <c r="J220" s="133"/>
      <c r="L220" s="133"/>
      <c r="M220" s="134"/>
      <c r="N220" s="134"/>
    </row>
    <row r="221" spans="2:14" s="91" customFormat="1" ht="14">
      <c r="G221" s="133"/>
      <c r="H221" s="133"/>
      <c r="I221" s="133"/>
      <c r="J221" s="133"/>
      <c r="L221" s="133"/>
      <c r="M221" s="134"/>
      <c r="N221" s="134"/>
    </row>
    <row r="222" spans="2:14" s="91" customFormat="1" ht="14">
      <c r="G222" s="133"/>
      <c r="H222" s="133"/>
      <c r="I222" s="133"/>
      <c r="J222" s="133"/>
      <c r="L222" s="133"/>
      <c r="M222" s="134"/>
      <c r="N222" s="134"/>
    </row>
    <row r="223" spans="2:14" s="91" customFormat="1" ht="14">
      <c r="G223" s="133"/>
      <c r="H223" s="133"/>
      <c r="I223" s="133"/>
      <c r="J223" s="133"/>
      <c r="L223" s="133"/>
      <c r="M223" s="134"/>
      <c r="N223" s="134"/>
    </row>
    <row r="224" spans="2:14" s="91" customFormat="1" ht="14">
      <c r="G224" s="133"/>
      <c r="H224" s="133"/>
      <c r="I224" s="133"/>
      <c r="J224" s="133"/>
      <c r="L224" s="133"/>
      <c r="M224" s="134"/>
      <c r="N224" s="134"/>
    </row>
    <row r="225" spans="7:14" s="91" customFormat="1" ht="14">
      <c r="G225" s="133"/>
      <c r="H225" s="133"/>
      <c r="I225" s="133"/>
      <c r="J225" s="133"/>
      <c r="L225" s="133"/>
      <c r="M225" s="134"/>
      <c r="N225" s="134"/>
    </row>
    <row r="226" spans="7:14" s="91" customFormat="1" ht="14">
      <c r="G226" s="133"/>
      <c r="H226" s="133"/>
      <c r="I226" s="133"/>
      <c r="J226" s="133"/>
      <c r="L226" s="133"/>
      <c r="M226" s="134"/>
      <c r="N226" s="134"/>
    </row>
    <row r="227" spans="7:14" s="91" customFormat="1" ht="14">
      <c r="G227" s="133"/>
      <c r="H227" s="133"/>
      <c r="I227" s="133"/>
      <c r="J227" s="133"/>
      <c r="L227" s="133"/>
      <c r="M227" s="134"/>
      <c r="N227" s="134"/>
    </row>
    <row r="228" spans="7:14" s="91" customFormat="1" ht="14">
      <c r="G228" s="133"/>
      <c r="H228" s="133"/>
      <c r="I228" s="133"/>
      <c r="J228" s="133"/>
      <c r="L228" s="133"/>
      <c r="M228" s="134"/>
      <c r="N228" s="134"/>
    </row>
    <row r="229" spans="7:14" s="91" customFormat="1" ht="14">
      <c r="H229" s="133"/>
      <c r="I229" s="133"/>
      <c r="J229" s="133"/>
      <c r="L229" s="133"/>
      <c r="M229" s="134"/>
      <c r="N229" s="134"/>
    </row>
    <row r="230" spans="7:14" s="91" customFormat="1" ht="14">
      <c r="H230" s="133"/>
      <c r="I230" s="133"/>
      <c r="J230" s="133"/>
      <c r="L230" s="133"/>
      <c r="M230" s="134"/>
      <c r="N230" s="134"/>
    </row>
    <row r="231" spans="7:14" s="91" customFormat="1" ht="14">
      <c r="H231" s="133"/>
      <c r="I231" s="133"/>
      <c r="J231" s="133"/>
      <c r="L231" s="133"/>
      <c r="M231" s="134"/>
      <c r="N231" s="134"/>
    </row>
    <row r="232" spans="7:14" s="91" customFormat="1" ht="14">
      <c r="H232" s="133"/>
      <c r="I232" s="133"/>
      <c r="J232" s="133"/>
      <c r="L232" s="133"/>
      <c r="M232" s="134"/>
      <c r="N232" s="134"/>
    </row>
    <row r="233" spans="7:14" s="91" customFormat="1" ht="14">
      <c r="H233" s="133"/>
      <c r="I233" s="133"/>
      <c r="J233" s="133"/>
      <c r="L233" s="133"/>
      <c r="M233" s="134"/>
      <c r="N233" s="134"/>
    </row>
    <row r="234" spans="7:14" s="91" customFormat="1" ht="14">
      <c r="H234" s="133"/>
      <c r="I234" s="133"/>
      <c r="J234" s="133"/>
      <c r="L234" s="133"/>
      <c r="M234" s="134"/>
      <c r="N234" s="134"/>
    </row>
    <row r="235" spans="7:14" s="91" customFormat="1" ht="14">
      <c r="H235" s="133"/>
      <c r="I235" s="133"/>
      <c r="J235" s="133"/>
      <c r="L235" s="133"/>
      <c r="M235" s="134"/>
      <c r="N235" s="134"/>
    </row>
    <row r="236" spans="7:14" s="91" customFormat="1" ht="14">
      <c r="H236" s="133"/>
      <c r="I236" s="133"/>
      <c r="J236" s="133"/>
      <c r="L236" s="133"/>
      <c r="M236" s="134"/>
      <c r="N236" s="134"/>
    </row>
    <row r="237" spans="7:14" s="91" customFormat="1" ht="14">
      <c r="H237" s="133"/>
      <c r="I237" s="133"/>
      <c r="J237" s="133"/>
      <c r="L237" s="133"/>
      <c r="M237" s="134"/>
      <c r="N237" s="134"/>
    </row>
    <row r="238" spans="7:14" s="91" customFormat="1" ht="14">
      <c r="H238" s="133"/>
      <c r="I238" s="133"/>
      <c r="J238" s="133"/>
      <c r="L238" s="133"/>
      <c r="M238" s="134"/>
      <c r="N238" s="134"/>
    </row>
    <row r="239" spans="7:14" s="91" customFormat="1" ht="14">
      <c r="H239" s="133"/>
      <c r="I239" s="133"/>
      <c r="J239" s="133"/>
      <c r="L239" s="133"/>
      <c r="M239" s="134"/>
      <c r="N239" s="134"/>
    </row>
    <row r="240" spans="7:14" s="91" customFormat="1" ht="14">
      <c r="H240" s="133"/>
      <c r="I240" s="133"/>
      <c r="J240" s="133"/>
      <c r="L240" s="133"/>
      <c r="M240" s="134"/>
      <c r="N240" s="134"/>
    </row>
    <row r="241" spans="8:14" s="91" customFormat="1" ht="14">
      <c r="H241" s="133"/>
      <c r="I241" s="133"/>
      <c r="J241" s="133"/>
      <c r="L241" s="133"/>
      <c r="M241" s="134"/>
      <c r="N241" s="134"/>
    </row>
    <row r="242" spans="8:14" s="91" customFormat="1" ht="14">
      <c r="H242" s="133"/>
      <c r="I242" s="133"/>
      <c r="J242" s="133"/>
      <c r="L242" s="133"/>
      <c r="M242" s="134"/>
      <c r="N242" s="134"/>
    </row>
    <row r="243" spans="8:14" s="91" customFormat="1" ht="14">
      <c r="H243" s="133"/>
      <c r="I243" s="133"/>
      <c r="J243" s="133"/>
      <c r="L243" s="133"/>
      <c r="M243" s="134"/>
      <c r="N243" s="134"/>
    </row>
    <row r="244" spans="8:14" s="91" customFormat="1" ht="14">
      <c r="H244" s="133"/>
      <c r="I244" s="133"/>
      <c r="J244" s="133"/>
      <c r="L244" s="133"/>
      <c r="M244" s="134"/>
      <c r="N244" s="134"/>
    </row>
    <row r="245" spans="8:14" s="91" customFormat="1" ht="14">
      <c r="H245" s="133"/>
      <c r="I245" s="133"/>
      <c r="J245" s="133"/>
      <c r="L245" s="133"/>
      <c r="M245" s="134"/>
      <c r="N245" s="134"/>
    </row>
    <row r="246" spans="8:14" s="91" customFormat="1" ht="14">
      <c r="H246" s="133"/>
      <c r="I246" s="133"/>
      <c r="J246" s="133"/>
      <c r="L246" s="133"/>
      <c r="M246" s="134"/>
      <c r="N246" s="134"/>
    </row>
    <row r="247" spans="8:14" s="91" customFormat="1" ht="14">
      <c r="H247" s="133"/>
      <c r="I247" s="133"/>
      <c r="J247" s="133"/>
      <c r="L247" s="133"/>
      <c r="M247" s="134"/>
      <c r="N247" s="134"/>
    </row>
    <row r="248" spans="8:14" s="91" customFormat="1" ht="14">
      <c r="H248" s="133"/>
      <c r="I248" s="133"/>
      <c r="J248" s="133"/>
      <c r="L248" s="133"/>
      <c r="M248" s="134"/>
      <c r="N248" s="134"/>
    </row>
    <row r="249" spans="8:14" s="91" customFormat="1" ht="14">
      <c r="H249" s="133"/>
      <c r="I249" s="133"/>
      <c r="J249" s="133"/>
      <c r="L249" s="133"/>
      <c r="M249" s="134"/>
      <c r="N249" s="134"/>
    </row>
    <row r="250" spans="8:14" s="91" customFormat="1" ht="14">
      <c r="H250" s="133"/>
      <c r="I250" s="133"/>
      <c r="J250" s="133"/>
      <c r="L250" s="133"/>
      <c r="M250" s="134"/>
      <c r="N250" s="134"/>
    </row>
    <row r="251" spans="8:14" s="91" customFormat="1" ht="14">
      <c r="H251" s="133"/>
      <c r="I251" s="133"/>
      <c r="J251" s="133"/>
      <c r="L251" s="133"/>
      <c r="M251" s="134"/>
      <c r="N251" s="134"/>
    </row>
    <row r="252" spans="8:14" s="91" customFormat="1" ht="14">
      <c r="H252" s="133"/>
      <c r="I252" s="133"/>
      <c r="J252" s="133"/>
      <c r="L252" s="133"/>
      <c r="M252" s="134"/>
      <c r="N252" s="134"/>
    </row>
    <row r="253" spans="8:14" s="91" customFormat="1" ht="14">
      <c r="H253" s="133"/>
      <c r="I253" s="133"/>
      <c r="J253" s="133"/>
      <c r="L253" s="133"/>
      <c r="M253" s="134"/>
      <c r="N253" s="134"/>
    </row>
    <row r="254" spans="8:14" s="91" customFormat="1" ht="14">
      <c r="H254" s="133"/>
      <c r="I254" s="133"/>
      <c r="J254" s="133"/>
      <c r="L254" s="133"/>
      <c r="M254" s="134"/>
      <c r="N254" s="134"/>
    </row>
    <row r="255" spans="8:14" s="91" customFormat="1" ht="14">
      <c r="H255" s="133"/>
      <c r="I255" s="133"/>
      <c r="J255" s="133"/>
      <c r="L255" s="133"/>
      <c r="M255" s="134"/>
      <c r="N255" s="134"/>
    </row>
    <row r="256" spans="8:14" s="91" customFormat="1" ht="14">
      <c r="H256" s="133"/>
      <c r="I256" s="133"/>
      <c r="J256" s="133"/>
      <c r="L256" s="133"/>
      <c r="M256" s="134"/>
      <c r="N256" s="134"/>
    </row>
    <row r="257" spans="8:14" s="91" customFormat="1" ht="14">
      <c r="H257" s="133"/>
      <c r="I257" s="133"/>
      <c r="J257" s="133"/>
      <c r="L257" s="133"/>
      <c r="M257" s="134"/>
      <c r="N257" s="134"/>
    </row>
    <row r="258" spans="8:14" s="91" customFormat="1" ht="14">
      <c r="H258" s="133"/>
      <c r="I258" s="133"/>
      <c r="J258" s="133"/>
      <c r="L258" s="133"/>
      <c r="M258" s="134"/>
      <c r="N258" s="134"/>
    </row>
    <row r="259" spans="8:14" s="91" customFormat="1" ht="14">
      <c r="H259" s="133"/>
      <c r="I259" s="133"/>
      <c r="J259" s="133"/>
      <c r="L259" s="133"/>
      <c r="M259" s="134"/>
      <c r="N259" s="134"/>
    </row>
    <row r="260" spans="8:14" s="91" customFormat="1" ht="14">
      <c r="H260" s="133"/>
      <c r="I260" s="133"/>
      <c r="J260" s="133"/>
      <c r="L260" s="133"/>
      <c r="M260" s="134"/>
      <c r="N260" s="134"/>
    </row>
    <row r="261" spans="8:14" s="91" customFormat="1" ht="14">
      <c r="M261" s="134"/>
      <c r="N261" s="134"/>
    </row>
    <row r="262" spans="8:14" s="91" customFormat="1" ht="14">
      <c r="M262" s="134"/>
      <c r="N262" s="134"/>
    </row>
    <row r="263" spans="8:14" s="91" customFormat="1" ht="14">
      <c r="M263" s="134"/>
      <c r="N263" s="134"/>
    </row>
    <row r="264" spans="8:14" s="91" customFormat="1" ht="14">
      <c r="M264" s="134"/>
      <c r="N264" s="134"/>
    </row>
  </sheetData>
  <mergeCells count="19">
    <mergeCell ref="B167:B174"/>
    <mergeCell ref="B177:B181"/>
    <mergeCell ref="B187:B205"/>
    <mergeCell ref="B208:H208"/>
    <mergeCell ref="B35:B53"/>
    <mergeCell ref="B58:B59"/>
    <mergeCell ref="B65:B67"/>
    <mergeCell ref="B70:B71"/>
    <mergeCell ref="B76:B85"/>
    <mergeCell ref="B97:B98"/>
    <mergeCell ref="B104:B107"/>
    <mergeCell ref="B110:B122"/>
    <mergeCell ref="B127:B130"/>
    <mergeCell ref="B133:B164"/>
    <mergeCell ref="H3:J3"/>
    <mergeCell ref="B7:B20"/>
    <mergeCell ref="B22:B27"/>
    <mergeCell ref="B29:B32"/>
    <mergeCell ref="B91:B94"/>
  </mergeCells>
  <hyperlinks>
    <hyperlink ref="A1" location="'Table of Contents'!A1" display="Return to Table of Contents" xr:uid="{00000000-0004-0000-0B00-000000000000}"/>
  </hyperlinks>
  <pageMargins left="0.7" right="0.7" top="0.75" bottom="0.75" header="0.3" footer="0.3"/>
  <pageSetup orientation="portrait" r:id="rId1"/>
  <customProperties>
    <customPr name="_pios_id" r:id="rId2"/>
    <customPr name="EpmWorksheetKeyString_GUID" r:id="rId3"/>
  </customProperties>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2.xml><?xml version="1.0" encoding="utf-8"?>
<ds:datastoreItem xmlns:ds="http://schemas.openxmlformats.org/officeDocument/2006/customXml" ds:itemID="{B4699902-4F03-4A42-9870-AE91B8BB3760}">
  <ds:schemaRefs>
    <ds:schemaRef ds:uri="http://schemas.microsoft.com/office/2006/metadata/properties"/>
    <ds:schemaRef ds:uri="http://schemas.microsoft.com/office/infopath/2007/PartnerControls"/>
    <ds:schemaRef ds:uri="http://schemas.openxmlformats.org/package/2006/metadata/core-properties"/>
    <ds:schemaRef ds:uri="http://purl.org/dc/terms/"/>
    <ds:schemaRef ds:uri="5404eb88-a663-4133-8ebe-e567804cd15f"/>
    <ds:schemaRef ds:uri="http://purl.org/dc/elements/1.1/"/>
    <ds:schemaRef ds:uri="http://www.w3.org/XML/1998/namespace"/>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Table of Contents</vt:lpstr>
      <vt:lpstr>FS Consolidated</vt:lpstr>
      <vt:lpstr>FS ET Colombia</vt:lpstr>
      <vt:lpstr>FS ET Br</vt:lpstr>
      <vt:lpstr>RBSE</vt:lpstr>
      <vt:lpstr>FS ET Per</vt:lpstr>
      <vt:lpstr>FS ET Ch</vt:lpstr>
      <vt:lpstr>FS Road Ch</vt:lpstr>
      <vt:lpstr>Consolidated Debt Credits</vt:lpstr>
      <vt:lpstr>Consolidated Debt Bonds</vt:lpstr>
      <vt:lpstr>CAPEX</vt:lpstr>
      <vt:lpstr>Energy Regulation</vt:lpstr>
      <vt:lpstr>Roads Regulation</vt:lpstr>
      <vt:lpstr>Dividends</vt:lpstr>
      <vt:lpstr>Projects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DIANA MARÍA CARDONA LONDOÑO</cp:lastModifiedBy>
  <dcterms:created xsi:type="dcterms:W3CDTF">2020-09-01T20:14:00Z</dcterms:created>
  <dcterms:modified xsi:type="dcterms:W3CDTF">2021-04-08T14:54:58Z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