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drawings/drawing6.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inglés\"/>
    </mc:Choice>
  </mc:AlternateContent>
  <xr:revisionPtr revIDLastSave="0" documentId="13_ncr:1_{FEC33F8A-3ABB-4A10-B633-3041AD7C428A}" xr6:coauthVersionLast="45" xr6:coauthVersionMax="47" xr10:uidLastSave="{00000000-0000-0000-0000-000000000000}"/>
  <bookViews>
    <workbookView xWindow="-120" yWindow="-120" windowWidth="20730" windowHeight="11160" xr2:uid="{00000000-000D-0000-FFFF-FFFF00000000}"/>
  </bookViews>
  <sheets>
    <sheet name="Table of Contents" sheetId="1" r:id="rId1"/>
    <sheet name="FS Consolidated" sheetId="2" r:id="rId2"/>
    <sheet name="FS ET Colombia" sheetId="3" r:id="rId3"/>
    <sheet name="FS ET Br" sheetId="25" r:id="rId4"/>
    <sheet name="RBSE" sheetId="19" r:id="rId5"/>
    <sheet name="FS ET Per" sheetId="5" r:id="rId6"/>
    <sheet name="FS ET Ch" sheetId="7" r:id="rId7"/>
    <sheet name="FS Road Col" sheetId="26" r:id="rId8"/>
    <sheet name="FS Road Ch" sheetId="6" r:id="rId9"/>
    <sheet name="Consolidated Debt Credits" sheetId="24" r:id="rId10"/>
    <sheet name="Consolidated Debt Bonds" sheetId="23" r:id="rId11"/>
    <sheet name="CAPEX" sheetId="8" r:id="rId12"/>
    <sheet name="Energy Regulation" sheetId="9" r:id="rId13"/>
    <sheet name="Roads Regulation" sheetId="21" r:id="rId14"/>
    <sheet name="Roads Traffic" sheetId="29" r:id="rId15"/>
    <sheet name="Dividends" sheetId="16" r:id="rId16"/>
    <sheet name="Projects" sheetId="30" r:id="rId17"/>
    <sheet name="Energy Concessions Term" sheetId="27" r:id="rId18"/>
    <sheet name="Participation in subsidiaries" sheetId="28"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0">#REF!</definedName>
    <definedName name="\0" localSheetId="9">#REF!</definedName>
    <definedName name="\0" localSheetId="13">#REF!</definedName>
    <definedName name="\0">#REF!</definedName>
    <definedName name="\a" localSheetId="13">#REF!</definedName>
    <definedName name="\a">#REF!</definedName>
    <definedName name="\b" localSheetId="13">#REF!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[1]Lista!#REF!</definedName>
    <definedName name="___DAT14" localSheetId="10">#REF!</definedName>
    <definedName name="___DAT14" localSheetId="9">#REF!</definedName>
    <definedName name="___DAT14" localSheetId="13">#REF!</definedName>
    <definedName name="___DAT14">#REF!</definedName>
    <definedName name="___DAT17" localSheetId="13">#REF!</definedName>
    <definedName name="___DAT17">#REF!</definedName>
    <definedName name="___DAT18" localSheetId="13">#REF!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[2]Lista!#REF!</definedName>
    <definedName name="__DAT1" localSheetId="10">#REF!</definedName>
    <definedName name="__DAT1" localSheetId="9">#REF!</definedName>
    <definedName name="__DAT1" localSheetId="13">#REF!</definedName>
    <definedName name="__DAT1">#REF!</definedName>
    <definedName name="__DAT10" localSheetId="13">#REF!</definedName>
    <definedName name="__DAT10">#REF!</definedName>
    <definedName name="__DAT11" localSheetId="13">#REF!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[1]Lista!#REF!</definedName>
    <definedName name="_DAT1" localSheetId="10">#REF!</definedName>
    <definedName name="_DAT1" localSheetId="9">#REF!</definedName>
    <definedName name="_DAT1" localSheetId="13">#REF!</definedName>
    <definedName name="_DAT1">#REF!</definedName>
    <definedName name="_DAT10" localSheetId="13">#REF!</definedName>
    <definedName name="_DAT10">#REF!</definedName>
    <definedName name="_DAT11" localSheetId="13">#REF!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9" hidden="1">'Consolidated Debt Credits'!#REF!</definedName>
    <definedName name="_xlnm._FilterDatabase" localSheetId="16" hidden="1">Projects!$B$8:$F$53</definedName>
    <definedName name="_HOJ66" localSheetId="10">#REF!</definedName>
    <definedName name="_HOJ66" localSheetId="9">#REF!</definedName>
    <definedName name="_HOJ66" localSheetId="13">#REF!</definedName>
    <definedName name="_HOJ66">#REF!</definedName>
    <definedName name="_HOJ88">#REF!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[3]Gráficas!$A$43:$G$49</definedName>
    <definedName name="ACORDO">'[4]Dados de Ouvidoria'!$D$68:$P$79</definedName>
    <definedName name="Acres_Decresc_05">'[5]2º 3º pedidos'!$D$70:$P$76</definedName>
    <definedName name="Acresc_Decres">'[5]2º 3º pedidos'!$D$42:$P$48</definedName>
    <definedName name="activosreserva" localSheetId="10">#REF!</definedName>
    <definedName name="activosreserva" localSheetId="9">#REF!</definedName>
    <definedName name="activosreserva" localSheetId="13">#REF!</definedName>
    <definedName name="activosreserva">#REF!</definedName>
    <definedName name="Activostele" localSheetId="13">#REF!</definedName>
    <definedName name="Activostele">#REF!</definedName>
    <definedName name="Adicionada">'[5]Dados Perdas RAA'!$A$19:$N$25</definedName>
    <definedName name="Adicionada_Meta">'[5]Dados Perdas RAA'!$A$76:$N$82</definedName>
    <definedName name="ADTIVA" localSheetId="10">#REF!</definedName>
    <definedName name="ADTIVA" localSheetId="9">#REF!</definedName>
    <definedName name="ADTIVA" localSheetId="13">#REF!</definedName>
    <definedName name="ADTIVA">#REF!</definedName>
    <definedName name="AE" localSheetId="13">#REF!</definedName>
    <definedName name="AE">#REF!</definedName>
    <definedName name="AJUSTE" localSheetId="13">#REF!</definedName>
    <definedName name="AJUSTE">#REF!</definedName>
    <definedName name="ANE">[6]ELEGIR!$D$8</definedName>
    <definedName name="Ano_Vigente">[7]Tabela!$B$12</definedName>
    <definedName name="ANOUNO" localSheetId="10">#REF!</definedName>
    <definedName name="ANOUNO" localSheetId="9">#REF!</definedName>
    <definedName name="ANOUNO" localSheetId="13">#REF!</definedName>
    <definedName name="ANOUNO">#REF!</definedName>
    <definedName name="AOM_STE">'[3]aom reg'!$U$29:$AG$46</definedName>
    <definedName name="AOMC">[6]ELEGIR!$D$6</definedName>
    <definedName name="AOMI">[6]ELEGIR!$D$5</definedName>
    <definedName name="AP" localSheetId="10">#REF!</definedName>
    <definedName name="AP" localSheetId="9">#REF!</definedName>
    <definedName name="AP" localSheetId="13">#REF!</definedName>
    <definedName name="AP">#REF!</definedName>
    <definedName name="Aportes_Previsión_Social____Médicos" localSheetId="13">#REF!</definedName>
    <definedName name="Aportes_Previsión_Social____Médicos">#REF!</definedName>
    <definedName name="APOYO" localSheetId="13">#REF!</definedName>
    <definedName name="APOYO">#REF!</definedName>
    <definedName name="ARCH">#REF!</definedName>
    <definedName name="_xlnm.Extract">#REF!</definedName>
    <definedName name="_xlnm.Print_Area" localSheetId="10">'Consolidated Debt Bonds'!$B$1:$P$97</definedName>
    <definedName name="_xlnm.Print_Area" localSheetId="9">'Consolidated Debt Credits'!#REF!</definedName>
    <definedName name="ARREC">[4]Dados_Perdas!$C$3:$O$14</definedName>
    <definedName name="Arrecadacao">'[5]Dados Perdas RAA'!$A$29:$N$35</definedName>
    <definedName name="Arrecadacao_Meta">'[5]Dados Perdas RAA'!$A$98:$N$104</definedName>
    <definedName name="AUDIENCIA">'[4]Dados de Ouvidoria'!$D$54:$P$65</definedName>
    <definedName name="AUTO" localSheetId="10">#REF!</definedName>
    <definedName name="AUTO" localSheetId="9">#REF!</definedName>
    <definedName name="AUTO" localSheetId="13">#REF!</definedName>
    <definedName name="AUTO">#REF!</definedName>
    <definedName name="AY" localSheetId="13">#REF!</definedName>
    <definedName name="AY">#REF!</definedName>
    <definedName name="b" localSheetId="13">#REF!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[8]BALANCE!$A$1:$G$19</definedName>
    <definedName name="_xlnm.Database" localSheetId="10">#REF!</definedName>
    <definedName name="_xlnm.Database" localSheetId="9">#REF!</definedName>
    <definedName name="_xlnm.Database" localSheetId="13">#REF!</definedName>
    <definedName name="_xlnm.Database">#REF!</definedName>
    <definedName name="BASIS_EUR">'[9]#¡REF'!$C$52:$D$58</definedName>
    <definedName name="BASIS_JPY">'[9]#¡REF'!$E$52:$F$58</definedName>
    <definedName name="BC" localSheetId="10">#REF!</definedName>
    <definedName name="BC" localSheetId="9">#REF!</definedName>
    <definedName name="BC" localSheetId="13">#REF!</definedName>
    <definedName name="BC">#REF!</definedName>
    <definedName name="BD_Ref_Titulos">'[10]BD_REFATURAMENTO_GRUPO-B'!$D$1:$G$1</definedName>
    <definedName name="BD_Ref_Titulos_">'[10]BD_REFATURAMENTO_GRUPO-B'!$D$1:$K$1</definedName>
    <definedName name="BD_REF_TODO">'[10]BD_REFATURAMENTO_GRUPO-B'!$D$1:$K$161</definedName>
    <definedName name="BDI" localSheetId="10">#REF!</definedName>
    <definedName name="BDI" localSheetId="9">#REF!</definedName>
    <definedName name="BDI" localSheetId="13">#REF!</definedName>
    <definedName name="BDI">#REF!</definedName>
    <definedName name="BDI_IREG">'[5]Dados Inadimplência'!$C$55:$P$61</definedName>
    <definedName name="BDI_METAS">'[5]Dados Inadimplência'!$C$35:$P$41</definedName>
    <definedName name="BDI_REG">'[5]Dados Inadimplência'!$C$46:$P$52</definedName>
    <definedName name="BID__Veces">'[11]#¡REF'!$B$37</definedName>
    <definedName name="Bonificación_por_servicios_prestados" localSheetId="10">#REF!</definedName>
    <definedName name="Bonificación_por_servicios_prestados" localSheetId="9">#REF!</definedName>
    <definedName name="Bonificación_por_servicios_prestados" localSheetId="13">#REF!</definedName>
    <definedName name="Bonificación_por_servicios_prestados">#REF!</definedName>
    <definedName name="BPRUEBA" localSheetId="13">#REF!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13">#REF!</definedName>
    <definedName name="BuiltIn_Print_Area___0___0">#REF!</definedName>
    <definedName name="C.M.">'[11]#¡REF'!$B$27</definedName>
    <definedName name="C_" localSheetId="10">#REF!</definedName>
    <definedName name="C_" localSheetId="9">#REF!</definedName>
    <definedName name="C_" localSheetId="13">#REF!</definedName>
    <definedName name="C_">#REF!</definedName>
    <definedName name="CAJA" localSheetId="13">#REF!</definedName>
    <definedName name="CAJA">#REF!</definedName>
    <definedName name="cajainver" localSheetId="13">'[12]BASES GENERALES'!#REF!</definedName>
    <definedName name="cajainver">'[12]BASES GENERALES'!#REF!</definedName>
    <definedName name="CALCULAR" localSheetId="10">#REF!</definedName>
    <definedName name="CALCULAR" localSheetId="9">#REF!</definedName>
    <definedName name="CALCULAR" localSheetId="13">#REF!</definedName>
    <definedName name="CALCULAR">#REF!</definedName>
    <definedName name="calculo_dividendos">[3]Dividendos!$G$32</definedName>
    <definedName name="cambiar" localSheetId="10">#REF!</definedName>
    <definedName name="cambiar" localSheetId="9">#REF!</definedName>
    <definedName name="cambiar" localSheetId="13">#REF!</definedName>
    <definedName name="cambiar">#REF!</definedName>
    <definedName name="CAPITAL_MESES">[5]Capitalização!$F$41:$AC$49</definedName>
    <definedName name="CARACTERISTICAS" localSheetId="10">#REF!</definedName>
    <definedName name="CARACTERISTICAS" localSheetId="9">#REF!</definedName>
    <definedName name="CARACTERISTICAS" localSheetId="13">#REF!</definedName>
    <definedName name="CARACTERISTICAS">#REF!</definedName>
    <definedName name="causinver" localSheetId="10">'[12]BASES GENERALES'!#REF!</definedName>
    <definedName name="causinver" localSheetId="9">'[12]BASES GENERALES'!#REF!</definedName>
    <definedName name="causinver" localSheetId="13">'[12]BASES GENERALES'!#REF!</definedName>
    <definedName name="causinver">'[12]BASES GENERALES'!#REF!</definedName>
    <definedName name="ccioespecial" localSheetId="10">#REF!</definedName>
    <definedName name="ccioespecial" localSheetId="9">#REF!</definedName>
    <definedName name="ccioespecial" localSheetId="13">#REF!</definedName>
    <definedName name="ccioespecial">#REF!</definedName>
    <definedName name="CDEC">'[4]Dados DEC e FEC'!$CI$6:$CT$69</definedName>
    <definedName name="CECOS">'[9]#¡REF'!$C$2:$K$90</definedName>
    <definedName name="CFEC">'[4]Dados DEC e FEC'!$CI$80:$CT$143</definedName>
    <definedName name="CFJDHFD" localSheetId="10" hidden="1">{"'EST.RDOS(INT)'!$A$5:$E$58"}</definedName>
    <definedName name="CFJDHFD" localSheetId="9" hidden="1">{"'EST.RDOS(INT)'!$A$5:$E$58"}</definedName>
    <definedName name="CFJDHFD" localSheetId="3" hidden="1">{"'EST.RDOS(INT)'!$A$5:$E$58"}</definedName>
    <definedName name="CFJDHFD" localSheetId="7" hidden="1">{"'EST.RDOS(INT)'!$A$5:$E$58"}</definedName>
    <definedName name="CFJDHFD" localSheetId="18" hidden="1">{"'EST.RDOS(INT)'!$A$5:$E$58"}</definedName>
    <definedName name="CFJDHFD" localSheetId="16" hidden="1">{"'EST.RDOS(INT)'!$A$5:$E$58"}</definedName>
    <definedName name="CFJDHFD" localSheetId="13" hidden="1">{"'EST.RDOS(INT)'!$A$5:$E$58"}</definedName>
    <definedName name="CFJDHFD" localSheetId="14" hidden="1">{"'EST.RDOS(INT)'!$A$5:$E$58"}</definedName>
    <definedName name="CFJDHFD" hidden="1">{"'EST.RDOS(INT)'!$A$5:$E$58"}</definedName>
    <definedName name="CHF">[2]Lista!#REF!</definedName>
    <definedName name="CINT" localSheetId="10">#REF!</definedName>
    <definedName name="CINT" localSheetId="9">#REF!</definedName>
    <definedName name="CINT" localSheetId="13">#REF!</definedName>
    <definedName name="CINT">#REF!</definedName>
    <definedName name="CLASSIF_DEP" localSheetId="13">#REF!</definedName>
    <definedName name="CLASSIF_DEP">#REF!</definedName>
    <definedName name="CLASSIFICAÇÃO" localSheetId="13">[13]ANALITICO!#REF!</definedName>
    <definedName name="CLASSIFICAÇÃO">[13]ANALITICO!#REF!</definedName>
    <definedName name="CLAUSULA" localSheetId="10">#REF!</definedName>
    <definedName name="CLAUSULA" localSheetId="9">#REF!</definedName>
    <definedName name="CLAUSULA" localSheetId="13">#REF!</definedName>
    <definedName name="CLAUSULA">#REF!</definedName>
    <definedName name="CLEAN">'[5]Dados Inadimplência'!$D$64:$P$70</definedName>
    <definedName name="CLI3E4">[4]Dados_Perdas!$C$79:$O$90</definedName>
    <definedName name="CLIINF">[4]Dados_Perdas!$C$94:$O$105</definedName>
    <definedName name="CMUST">'[4]Dados Must'!$O$4:$R$22</definedName>
    <definedName name="CNCLIENTES">'[5]Dados ISO 9001'!$C$35:$D$41</definedName>
    <definedName name="CND" localSheetId="10">#REF!</definedName>
    <definedName name="CND" localSheetId="9">#REF!</definedName>
    <definedName name="CND" localSheetId="13">#REF!</definedName>
    <definedName name="CND">#REF!</definedName>
    <definedName name="COBERTURA_INVERSION">'[11]#¡REF'!$B$36</definedName>
    <definedName name="cobertura_serv">'[14]graf indi'!$J$31</definedName>
    <definedName name="COBERTURA_SERVICIO_DEUDA">'[11]#¡REF'!$B$35</definedName>
    <definedName name="codigos_válidos" localSheetId="10">#REF!</definedName>
    <definedName name="codigos_válidos" localSheetId="9">#REF!</definedName>
    <definedName name="codigos_válidos" localSheetId="13">#REF!</definedName>
    <definedName name="codigos_válidos">#REF!</definedName>
    <definedName name="Concepto_por_Gerencia" localSheetId="13">#REF!</definedName>
    <definedName name="Concepto_por_Gerencia">#REF!</definedName>
    <definedName name="condiciones_nuevas_finan">'[3]Flujo año 00-01-02'!$K$63</definedName>
    <definedName name="CONEX" localSheetId="10">#REF!</definedName>
    <definedName name="CONEX" localSheetId="9">#REF!</definedName>
    <definedName name="CONEX" localSheetId="13">#REF!</definedName>
    <definedName name="CONEX">#REF!</definedName>
    <definedName name="conex_ingresos">'[3]PyG Año 00-01-02'!$A$103:$I$116</definedName>
    <definedName name="conexascnd">'[3]PyG Año 00-01-02'!$A$376:$H$382</definedName>
    <definedName name="conexos_gastos">'[3]PyG Año 00-01-02'!$A$126:$H$139</definedName>
    <definedName name="consolidado" localSheetId="10">#REF!</definedName>
    <definedName name="consolidado" localSheetId="9">#REF!</definedName>
    <definedName name="consolidado" localSheetId="13">#REF!</definedName>
    <definedName name="consolidado">#REF!</definedName>
    <definedName name="CONSUMO_ESTRATO_3" localSheetId="13">#REF!</definedName>
    <definedName name="CONSUMO_ESTRATO_3">#REF!</definedName>
    <definedName name="CONT_AC">'[5]Dados Segurança'!$B$74:$I$78</definedName>
    <definedName name="CONT_LM">'[5]Dados Segurança'!$B$67:$I$71</definedName>
    <definedName name="CONTRIBUCION_AL_PLAN_DE_INVERSIONES">'[11]#¡REF'!$B$41</definedName>
    <definedName name="CONTRIBUCIONES_IMPUESTOS" localSheetId="10">#REF!</definedName>
    <definedName name="CONTRIBUCIONES_IMPUESTOS" localSheetId="9">#REF!</definedName>
    <definedName name="CONTRIBUCIONES_IMPUESTOS" localSheetId="13">#REF!</definedName>
    <definedName name="CONTRIBUCIONES_IMPUESTOS">#REF!</definedName>
    <definedName name="CORT3E4">[4]Dados_Perdas!$C$49:$O$60</definedName>
    <definedName name="Costo_Ventas">'[11]#¡REF'!$B$16</definedName>
    <definedName name="CPGERAL07" localSheetId="10">#REF!</definedName>
    <definedName name="CPGERAL07" localSheetId="9">#REF!</definedName>
    <definedName name="CPGERAL07" localSheetId="13">#REF!</definedName>
    <definedName name="CPGERAL07">#REF!</definedName>
    <definedName name="CPOPER07" localSheetId="13">#REF!</definedName>
    <definedName name="CPOPER07">#REF!</definedName>
    <definedName name="CPPERD07" localSheetId="13">#REF!</definedName>
    <definedName name="CPPERD07">#REF!</definedName>
    <definedName name="CPRJ">'[5]Dados ISO 9001'!$C$24:$D$30</definedName>
    <definedName name="CPSUB07" localSheetId="10">#REF!</definedName>
    <definedName name="CPSUB07" localSheetId="9">#REF!</definedName>
    <definedName name="CPSUB07" localSheetId="13">#REF!</definedName>
    <definedName name="CPSUB07">#REF!</definedName>
    <definedName name="CPUNDER07" localSheetId="13">#REF!</definedName>
    <definedName name="CPUNDER07">#REF!</definedName>
    <definedName name="Criteria_MI" localSheetId="13">#REF!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 localSheetId="10">#REF!</definedName>
    <definedName name="ctak" localSheetId="9">#REF!</definedName>
    <definedName name="ctak">#REF!</definedName>
    <definedName name="CVALUE">'[4]Dados RiscoEnergia'!$E$6:$Q$17</definedName>
    <definedName name="D" localSheetId="10">#REF!</definedName>
    <definedName name="D" localSheetId="9">#REF!</definedName>
    <definedName name="D" localSheetId="13">#REF!</definedName>
    <definedName name="D">#REF!</definedName>
    <definedName name="Database_MI" localSheetId="13">#REF!</definedName>
    <definedName name="Database_MI">#REF!</definedName>
    <definedName name="datos">[3]historia!$A$115:$IV$183</definedName>
    <definedName name="DBHH" localSheetId="10">#REF!</definedName>
    <definedName name="DBHH" localSheetId="9">#REF!</definedName>
    <definedName name="DBHH" localSheetId="13">#REF!</definedName>
    <definedName name="DBHH">#REF!</definedName>
    <definedName name="DBT" localSheetId="13">#REF!</definedName>
    <definedName name="DBT">#REF!</definedName>
    <definedName name="DEC">'[4]Dados DEC e FEC'!$A$6:$CF$69</definedName>
    <definedName name="DEC_01">[5]Dados_DEC_2005!$B$21:$J$39</definedName>
    <definedName name="DEC_01_2005">[5]Dados_DEC!$B$21:$J$39</definedName>
    <definedName name="DEC_02">[5]Dados_DEC_2005!$B$41:$J$59</definedName>
    <definedName name="DEC_02_2005">[5]Dados_DEC!$B$41:$J$59</definedName>
    <definedName name="DEC_03">[5]Dados_DEC_2005!$B$61:$J$79</definedName>
    <definedName name="DEC_03_2005">[5]Dados_DEC!$B$61:$J$79</definedName>
    <definedName name="DEC_04">[5]Dados_DEC_2005!$B$81:$J$99</definedName>
    <definedName name="DEC_04_2005">[5]Dados_DEC!$B$81:$J$99</definedName>
    <definedName name="DEC_05">[5]Dados_DEC_2005!$B$101:$J$119</definedName>
    <definedName name="DEC_05_2005">[5]Dados_DEC!$B$101:$J$119</definedName>
    <definedName name="DEC_06">[5]Dados_DEC_2005!$B$121:$J$139</definedName>
    <definedName name="DEC_06_2005">[5]Dados_DEC!$B$121:$J$139</definedName>
    <definedName name="DEC_07">[5]Dados_DEC_2005!$B$141:$J$159</definedName>
    <definedName name="DEC_07_2005">[5]Dados_DEC!$B$141:$J$159</definedName>
    <definedName name="DEC_08">[5]Dados_DEC_2005!$B$181:$J$199</definedName>
    <definedName name="DEC_08_2005">[5]Dados_DEC!$B$181:$J$199</definedName>
    <definedName name="DEC_09">[5]Dados_DEC_2005!$B$201:$J$219</definedName>
    <definedName name="DEC_09_2005">[5]Dados_DEC!$B$201:$J$219</definedName>
    <definedName name="DEC_10">[5]Dados_DEC_2005!$B$221:$J$239</definedName>
    <definedName name="DEC_10_2005">[5]Dados_DEC!$B$221:$J$239</definedName>
    <definedName name="DEC_11">[5]Dados_DEC_2005!$B$241:$J$259</definedName>
    <definedName name="DEC_11_2005">[5]Dados_DEC!$B$241:$J$259</definedName>
    <definedName name="DEC_12">[5]Dados_DEC_2005!$B$261:$J$279</definedName>
    <definedName name="DEC_12_2005">[5]Dados_DEC!$B$261:$J$279</definedName>
    <definedName name="DEC_13">[5]Dados_DEC_2005!$B$281:$J$299</definedName>
    <definedName name="DEC_13_2005">[5]Dados_DEC!$B$281:$J$299</definedName>
    <definedName name="DEC_14">[5]Dados_DEC_2005!$B$301:$J$319</definedName>
    <definedName name="DEC_14_2005">[5]Dados_DEC!$B$301:$J$319</definedName>
    <definedName name="DEC_15">[5]Dados_DEC_2005!$B$321:$J$339</definedName>
    <definedName name="DEC_15_2005">[5]Dados_DEC!$B$321:$J$339</definedName>
    <definedName name="DEC_16">[5]Dados_DEC_2005!$B$341:$J$359</definedName>
    <definedName name="DEC_16_2005">[5]Dados_DEC!$B$341:$J$359</definedName>
    <definedName name="DEC_17">[5]Dados_DEC_2005!$B$361:$J$379</definedName>
    <definedName name="DEC_17_2005">[5]Dados_DEC!$B$361:$J$379</definedName>
    <definedName name="DEC_18">[5]Dados_DEC_2005!$B$381:$J$399</definedName>
    <definedName name="DEC_18_2005">[5]Dados_DEC!$B$381:$J$399</definedName>
    <definedName name="DEC_19">[5]Dados_DEC_2005!$B$401:$J$419</definedName>
    <definedName name="DEC_19_2005">[5]Dados_DEC!$B$401:$J$419</definedName>
    <definedName name="DEC_20">[5]Dados_DEC_2005!$B$421:$J$439</definedName>
    <definedName name="DEC_20_2005">[5]Dados_DEC!$B$421:$J$439</definedName>
    <definedName name="DEC_21">[5]Dados_DEC_2005!$B$441:$J$459</definedName>
    <definedName name="DEC_21_2005">[5]Dados_DEC!$B$441:$J$459</definedName>
    <definedName name="DEC_22">[5]Dados_DEC_2005!$B$461:$J$479</definedName>
    <definedName name="DEC_22_2005">[5]Dados_DEC!$B$461:$J$479</definedName>
    <definedName name="DEC_23">[5]Dados_DEC_2005!$B$481:$J$499</definedName>
    <definedName name="DEC_23_2005">[5]Dados_DEC!$B$481:$J$499</definedName>
    <definedName name="DEC_24">[5]Dados_DEC_2005!$B$501:$J$519</definedName>
    <definedName name="DEC_24_2005">[5]Dados_DEC!$B$501:$J$519</definedName>
    <definedName name="DEC_25">[5]Dados_DEC_2005!$B$521:$J$539</definedName>
    <definedName name="DEC_25_2005">[5]Dados_DEC!$B$521:$J$539</definedName>
    <definedName name="DEC_26">[5]Dados_DEC_2005!$B$541:$J$559</definedName>
    <definedName name="DEC_26_2005">[5]Dados_DEC!$B$541:$J$559</definedName>
    <definedName name="DEC_27">[5]Dados_DEC_2005!$B$561:$J$579</definedName>
    <definedName name="DEC_27_2005">[5]Dados_DEC!$B$561:$J$579</definedName>
    <definedName name="DEC_28">[5]Dados_DEC_2005!$B$581:$J$599</definedName>
    <definedName name="DEC_28_2005">[5]Dados_DEC!$B$581:$J$599</definedName>
    <definedName name="DEC_29">[5]Dados_DEC_2005!$B$601:$J$619</definedName>
    <definedName name="DEC_29_2005">[5]Dados_DEC!$B$601:$J$619</definedName>
    <definedName name="DEC_30">[5]Dados_DEC_2005!$B$621:$J$639</definedName>
    <definedName name="DEC_30_2005">[5]Dados_DEC!$B$621:$J$639</definedName>
    <definedName name="DEC_31">[5]Dados_DEC_2005!$B$641:$J$659</definedName>
    <definedName name="DEC_31_2005">[5]Dados_DEC!$B$641:$J$659</definedName>
    <definedName name="DEC_32">[5]Dados_DEC_2005!$B$661:$J$679</definedName>
    <definedName name="DEC_32_2005">[5]Dados_DEC!$B$661:$J$679</definedName>
    <definedName name="DEC_33">[5]Dados_DEC_2005!$B$681:$J$699</definedName>
    <definedName name="DEC_33_2005">[5]Dados_DEC!$B$681:$J$699</definedName>
    <definedName name="DEC_34">[5]Dados_DEC_2005!$B$701:$J$719</definedName>
    <definedName name="DEC_34_2005">[5]Dados_DEC!$B$701:$J$719</definedName>
    <definedName name="DEC_35">[5]Dados_DEC_2005!$B$721:$J$739</definedName>
    <definedName name="DEC_35_2005">[5]Dados_DEC!$B$721:$J$739</definedName>
    <definedName name="DEC_36">[5]Dados_DEC_2005!$B$741:$J$759</definedName>
    <definedName name="DEC_36_2005">[5]Dados_DEC!$B$741:$J$759</definedName>
    <definedName name="DEC_37">[5]Dados_DEC_2005!$B$161:$J$179</definedName>
    <definedName name="DEC_37_2005">[5]Dados_DEC!$B$161:$J$179</definedName>
    <definedName name="DEC_38">[5]Dados_DEC_2005!$B$761:$J$779</definedName>
    <definedName name="DEC_38_2005">[5]Dados_DEC!$B$761:$J$779</definedName>
    <definedName name="DEC_39">[5]Dados_DEC_2005!$B$781:$J$799</definedName>
    <definedName name="DEC_39_2005">[5]Dados_DEC!$B$781:$J$799</definedName>
    <definedName name="DEC_40">[5]Dados_DEC_2005!$B$961:$J$979</definedName>
    <definedName name="DEC_40_2005">[5]Dados_DEC!$B$961:$J$979</definedName>
    <definedName name="DEC_41">[5]Dados_DEC_2005!$B$801:$J$819</definedName>
    <definedName name="DEC_41_2005">[5]Dados_DEC!$B$801:$J$819</definedName>
    <definedName name="DEC_42">[5]Dados_DEC_2005!$B$821:$J$839</definedName>
    <definedName name="DEC_42_2005">[5]Dados_DEC!$B$821:$J$839</definedName>
    <definedName name="DEC_43">[5]Dados_DEC_2005!$B$841:$J$859</definedName>
    <definedName name="DEC_43_2005">[5]Dados_DEC!$B$841:$J$859</definedName>
    <definedName name="DEC_44">[5]Dados_DEC_2005!$B$861:$J$879</definedName>
    <definedName name="DEC_44_2005">[5]Dados_DEC!$B$861:$J$879</definedName>
    <definedName name="DEC_45">[5]Dados_DEC_2005!$B$881:$J$899</definedName>
    <definedName name="DEC_45_2005">[5]Dados_DEC!$B$881:$J$899</definedName>
    <definedName name="DEC_46">[5]Dados_DEC_2005!$B$901:$J$919</definedName>
    <definedName name="DEC_46_2005">[5]Dados_DEC!$B$901:$J$919</definedName>
    <definedName name="DEC_47">[5]Dados_DEC_2005!$B$921:$J$939</definedName>
    <definedName name="DEC_47_2005">[5]Dados_DEC!$B$921:$J$939</definedName>
    <definedName name="DEC_48">[5]Dados_DEC_2005!$B$941:$J$959</definedName>
    <definedName name="DEC_48_2005">[5]Dados_DEC!$B$941:$J$959</definedName>
    <definedName name="DEC_49">[5]Dados_DEC_2005!$B$981:$J$999</definedName>
    <definedName name="DEC_49_2005">[5]Dados_DEC!$B$981:$J$999</definedName>
    <definedName name="DEC_50">[5]Dados_DEC_2005!$B$1001:$J$1019</definedName>
    <definedName name="DEC_50_2005">[5]Dados_DEC!$B$1001:$J$1019</definedName>
    <definedName name="DEC_51">[5]Dados_DEC_2005!$B$1021:$J$1039</definedName>
    <definedName name="DEC_51_2005">[5]Dados_DEC!$B$1021:$J$1039</definedName>
    <definedName name="DEC_512005" localSheetId="10">[5]Dados_DEC!#REF!</definedName>
    <definedName name="DEC_512005" localSheetId="9">[5]Dados_DEC!#REF!</definedName>
    <definedName name="DEC_512005">[5]Dados_DEC!#REF!</definedName>
    <definedName name="DEC_52">[5]Dados_DEC_2005!$B$1041:$J$1059</definedName>
    <definedName name="DEC_52_2005">[5]Dados_DEC!$B$1041:$J$1059</definedName>
    <definedName name="DEC_53">[5]Dados_DEC_2005!$B$1061:$J$1079</definedName>
    <definedName name="DEC_53_2005">[5]Dados_DEC!$B$1061:$J$1079</definedName>
    <definedName name="DEC_54">[5]Dados_DEC_2005!$B$1081:$J$1099</definedName>
    <definedName name="DEC_54_2005">[5]Dados_DEC!$B$1081:$J$1099</definedName>
    <definedName name="DEC_55">[5]Dados_DEC_2005!$B$1101:$J$1119</definedName>
    <definedName name="DEC_55_2005">[5]Dados_DEC!$B$1101:$J$1119</definedName>
    <definedName name="DEC_56">[5]Dados_DEC_2005!$B$1121:$J$1139</definedName>
    <definedName name="DEC_56_2005">[5]Dados_DEC!$B$1121:$J$1139</definedName>
    <definedName name="DEC_57">[5]Dados_DEC_2005!$B$1141:$J$1159</definedName>
    <definedName name="DEC_57_2005">[5]Dados_DEC!$B$1141:$J$1159</definedName>
    <definedName name="DEC_58">[5]Dados_DEC_2005!$B$1161:$J$1179</definedName>
    <definedName name="DEC_58_2005">[5]Dados_DEC!$B$1161:$J$1179</definedName>
    <definedName name="DEC_ANHEMBI">[5]Dados_DEC_2005!$B$1241:$J$1259</definedName>
    <definedName name="DEC_ANHEMBI_2005">[5]Dados_DEC!$B$1241:$J$1259</definedName>
    <definedName name="DEC_CENTRO">[5]Dados_DEC_2005!$B$1261:$J$1279</definedName>
    <definedName name="DEC_CENTRO_">[5]Dados_DEC_2005!$B$1321:$J$1339</definedName>
    <definedName name="DEC_CENTRO_2005">[5]Dados_DEC!$B$1261:$J$1279</definedName>
    <definedName name="DEC_CENTRO_T">[5]Dados_DEC_2005!$B$1321:$J$1339</definedName>
    <definedName name="DEC_CENTRO_T_2005">[5]Dados_DEC!$B$1321:$J$1339</definedName>
    <definedName name="DEC_GRANDE_ABC">[5]Dados_DEC_2005!$B$1301:$J$1319</definedName>
    <definedName name="DEC_GRANDE_ABC_2005">[5]Dados_DEC!$B$1301:$J$1319</definedName>
    <definedName name="DEC_LESTE">[5]Dados_DEC_2005!$B$1281:$J$1299</definedName>
    <definedName name="DEC_LESTE_2005">[5]Dados_DEC!$B$1281:$J$1299</definedName>
    <definedName name="DEC_OESTE">[5]Dados_DEC_2005!$B$1201:$J$1219</definedName>
    <definedName name="DEC_OESTE_2005">[5]Dados_DEC!$B$1201:$J$1219</definedName>
    <definedName name="DEC_SP_SUL">[5]Dados_DEC_2005!$B$1221:$J$1239</definedName>
    <definedName name="DEC_SP_SUL_2005">[5]Dados_DEC!$B$1221:$J$1239</definedName>
    <definedName name="DEC_T">[5]Dados_DEC_2005!$B$1181:$J$1199</definedName>
    <definedName name="DEC_T_2005">[5]Dados_DEC!$B$1181:$J$1199</definedName>
    <definedName name="DECI" localSheetId="10">#REF!</definedName>
    <definedName name="DECI" localSheetId="9">#REF!</definedName>
    <definedName name="DECI" localSheetId="13">#REF!</definedName>
    <definedName name="DECI">#REF!</definedName>
    <definedName name="deprecia">'[3]aom reg'!$W$7:$AB$12</definedName>
    <definedName name="Depreciaciones_y_Amort.">'[11]#¡REF'!$B$17</definedName>
    <definedName name="DEPRECIATION" localSheetId="10">#REF!</definedName>
    <definedName name="DEPRECIATION" localSheetId="9">#REF!</definedName>
    <definedName name="DEPRECIATION" localSheetId="13">#REF!</definedName>
    <definedName name="DEPRECIATION">#REF!</definedName>
    <definedName name="DEPT____GN_D" localSheetId="10">[13]ANALITICO!#REF!</definedName>
    <definedName name="DEPT____GN_D" localSheetId="9">[13]ANALITICO!#REF!</definedName>
    <definedName name="DEPT____GN_D" localSheetId="13">[13]ANALITICO!#REF!</definedName>
    <definedName name="DEPT____GN_D">[13]ANALITICO!#REF!</definedName>
    <definedName name="DESFALT" localSheetId="10">#REF!</definedName>
    <definedName name="DESFALT" localSheetId="9">#REF!</definedName>
    <definedName name="DESFALT" localSheetId="13">#REF!</definedName>
    <definedName name="DESFALT">#REF!</definedName>
    <definedName name="DESPESAS">'[4]Dados Inadimplência'!$C$49:$O$62</definedName>
    <definedName name="DEUDA" localSheetId="10">#REF!</definedName>
    <definedName name="DEUDA" localSheetId="9">#REF!</definedName>
    <definedName name="DEUDA" localSheetId="13">#REF!</definedName>
    <definedName name="DEUDA">#REF!</definedName>
    <definedName name="DEUDAL" localSheetId="13">#REF!</definedName>
    <definedName name="DEUDAL">#REF!</definedName>
    <definedName name="deudalp" localSheetId="13">#REF!</definedName>
    <definedName name="deudalp">#REF!</definedName>
    <definedName name="dfjdlñfj" localSheetId="10" hidden="1">{"'EST.RDOS(INT)'!$A$5:$E$58"}</definedName>
    <definedName name="dfjdlñfj" localSheetId="9" hidden="1">{"'EST.RDOS(INT)'!$A$5:$E$58"}</definedName>
    <definedName name="dfjdlñfj" localSheetId="3" hidden="1">{"'EST.RDOS(INT)'!$A$5:$E$58"}</definedName>
    <definedName name="dfjdlñfj" localSheetId="7" hidden="1">{"'EST.RDOS(INT)'!$A$5:$E$58"}</definedName>
    <definedName name="dfjdlñfj" localSheetId="18" hidden="1">{"'EST.RDOS(INT)'!$A$5:$E$58"}</definedName>
    <definedName name="dfjdlñfj" localSheetId="16" hidden="1">{"'EST.RDOS(INT)'!$A$5:$E$58"}</definedName>
    <definedName name="dfjdlñfj" localSheetId="13" hidden="1">{"'EST.RDOS(INT)'!$A$5:$E$58"}</definedName>
    <definedName name="dfjdlñfj" localSheetId="14" hidden="1">{"'EST.RDOS(INT)'!$A$5:$E$58"}</definedName>
    <definedName name="dfjdlñfj" hidden="1">{"'EST.RDOS(INT)'!$A$5:$E$58"}</definedName>
    <definedName name="DICFIC">'[4]Dados DEC e FEC'!$C$227:$O$244</definedName>
    <definedName name="Dif._Cambio">'[11]#¡REF'!$B$23</definedName>
    <definedName name="Disponibilidad_Final">'[11]#¡REF'!$B$57</definedName>
    <definedName name="dividendos">[3]Dividendos!$P$34:$W$46</definedName>
    <definedName name="dividendos_2">[3]Dividendos!$A$2:$K$26</definedName>
    <definedName name="DSDSD" localSheetId="10">#REF!</definedName>
    <definedName name="DSDSD" localSheetId="9">#REF!</definedName>
    <definedName name="DSDSD" localSheetId="13">#REF!</definedName>
    <definedName name="DSDSD">#REF!</definedName>
    <definedName name="DSO">'[4]Dados Inadimplência'!$C$66:$O$69</definedName>
    <definedName name="DUFF" localSheetId="10" hidden="1">{"'EST.RDOS(INT)'!$A$5:$E$58"}</definedName>
    <definedName name="DUFF" localSheetId="9" hidden="1">{"'EST.RDOS(INT)'!$A$5:$E$58"}</definedName>
    <definedName name="DUFF" localSheetId="3" hidden="1">{"'EST.RDOS(INT)'!$A$5:$E$58"}</definedName>
    <definedName name="DUFF" localSheetId="7" hidden="1">{"'EST.RDOS(INT)'!$A$5:$E$58"}</definedName>
    <definedName name="DUFF" localSheetId="18" hidden="1">{"'EST.RDOS(INT)'!$A$5:$E$58"}</definedName>
    <definedName name="DUFF" localSheetId="16" hidden="1">{"'EST.RDOS(INT)'!$A$5:$E$58"}</definedName>
    <definedName name="DUFF" localSheetId="13" hidden="1">{"'EST.RDOS(INT)'!$A$5:$E$58"}</definedName>
    <definedName name="DUFF" localSheetId="14" hidden="1">{"'EST.RDOS(INT)'!$A$5:$E$58"}</definedName>
    <definedName name="DUFF" hidden="1">{"'EST.RDOS(INT)'!$A$5:$E$58"}</definedName>
    <definedName name="duff2" localSheetId="10" hidden="1">{"'EST.RDOS(INT)'!$A$5:$E$58"}</definedName>
    <definedName name="duff2" localSheetId="9" hidden="1">{"'EST.RDOS(INT)'!$A$5:$E$58"}</definedName>
    <definedName name="duff2" localSheetId="3" hidden="1">{"'EST.RDOS(INT)'!$A$5:$E$58"}</definedName>
    <definedName name="duff2" localSheetId="7" hidden="1">{"'EST.RDOS(INT)'!$A$5:$E$58"}</definedName>
    <definedName name="duff2" localSheetId="18" hidden="1">{"'EST.RDOS(INT)'!$A$5:$E$58"}</definedName>
    <definedName name="duff2" localSheetId="16" hidden="1">{"'EST.RDOS(INT)'!$A$5:$E$58"}</definedName>
    <definedName name="duff2" localSheetId="13" hidden="1">{"'EST.RDOS(INT)'!$A$5:$E$58"}</definedName>
    <definedName name="duff2" localSheetId="14"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'[5]Dados Clandestina'!$T$54:$AF$56</definedName>
    <definedName name="EAS_ACUM">'[5]Dados Clandestina'!$D$84:$J$86</definedName>
    <definedName name="EAS_ANHEMBI">'[5]Dados Clandestina'!$T$39:$AF$41</definedName>
    <definedName name="EAS_CENTRO">'[5]Dados Clandestina'!$T$44:$AF$46</definedName>
    <definedName name="EAS_ELPA">'[5]Dados Clandestina'!$T$24:$AF$26</definedName>
    <definedName name="EAS_LESTE">'[5]Dados Clandestina'!$T$49:$AF$51</definedName>
    <definedName name="EAS_OESTE">'[5]Dados Clandestina'!$T$29:$AF$31</definedName>
    <definedName name="EAS_SUL">'[5]Dados Clandestina'!$T$34:$AF$36</definedName>
    <definedName name="EATIT">[4]Dados_Perdas!$Q$17:$Q$20</definedName>
    <definedName name="EBITDA___INTERESES_OPERACIÓN">'[11]#¡REF'!$B$43</definedName>
    <definedName name="EBITDA___SALDO_DEUDA_L.P">'[11]#¡REF'!$B$44</definedName>
    <definedName name="ebitda_inter">'[14]graf indi'!$J$52</definedName>
    <definedName name="ebitda_negocio">'[3]PyG Año 00-01-02'!$A$174:$I$216</definedName>
    <definedName name="EBITDAMEM">'[3]PyG Año 00-01-02'!$A$202</definedName>
    <definedName name="ELITE" localSheetId="10">#REF!</definedName>
    <definedName name="ELITE" localSheetId="9">#REF!</definedName>
    <definedName name="ELITE" localSheetId="13">#REF!</definedName>
    <definedName name="ELITE">#REF!</definedName>
    <definedName name="ELITE1" localSheetId="13">#REF!</definedName>
    <definedName name="ELITE1">#REF!</definedName>
    <definedName name="ENDEUDAMIENTO_BANCARIO">'[11]#¡REF'!$B$39</definedName>
    <definedName name="ENDEUDAMIENTO_L.P.">'[11]#¡REF'!$B$38</definedName>
    <definedName name="ENERO" localSheetId="10">'[15]AOM CON FAER mes'!#REF!</definedName>
    <definedName name="ENERO" localSheetId="9">'[15]AOM CON FAER mes'!#REF!</definedName>
    <definedName name="ENERO">'[15]AOM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'[5]Dados ISO 9001'!$H$24:$I$30</definedName>
    <definedName name="ERP" localSheetId="10">#REF!</definedName>
    <definedName name="ERP" localSheetId="9">#REF!</definedName>
    <definedName name="ERP" localSheetId="13">#REF!</definedName>
    <definedName name="ERP">#REF!</definedName>
    <definedName name="ERPC" localSheetId="13">#REF!</definedName>
    <definedName name="ERPC">#REF!</definedName>
    <definedName name="ERROR" localSheetId="13">#REF!</definedName>
    <definedName name="ERROR">#REF!</definedName>
    <definedName name="ESP">#REF!</definedName>
    <definedName name="ESPC">#REF!</definedName>
    <definedName name="Estado_Resultados">[8]HESREGRF!$A$16:$G$46</definedName>
    <definedName name="Estados_Resultados_Datos">[8]ESRES!$A$1:$G$40</definedName>
    <definedName name="ESTITLE" localSheetId="10">#REF!</definedName>
    <definedName name="ESTITLE" localSheetId="9">#REF!</definedName>
    <definedName name="ESTITLE" localSheetId="13">#REF!</definedName>
    <definedName name="ESTITLE">#REF!</definedName>
    <definedName name="evolucion_de_la_deuda">[3]Gráficas!$A$2:$H$10</definedName>
    <definedName name="Exec_Fora_Prazo_CE">'[5]Dados de relacionamento'!$B$138:$N$144</definedName>
    <definedName name="Exec_Fora_Prazo_LN">'[5]Dados de relacionamento'!$B$56:$N$62</definedName>
    <definedName name="Exec_Fora_Prazo_RL">'[5]Dados de relacionamento'!$B$81:$N$87</definedName>
    <definedName name="Exec_Fora_Prazo_RLU">'[5]Dados de relacionamento'!$B$106:$N$112</definedName>
    <definedName name="Exec_Fora_Prazo_SE">'[5]Dados de relacionamento'!$B$160:$N$166</definedName>
    <definedName name="EXP" localSheetId="10">#REF!</definedName>
    <definedName name="EXP" localSheetId="9">#REF!</definedName>
    <definedName name="EXP" localSheetId="13">#REF!</definedName>
    <definedName name="EXP">#REF!</definedName>
    <definedName name="exponotra" localSheetId="13">#REF!</definedName>
    <definedName name="exponotra">#REF!</definedName>
    <definedName name="EXTRACCIÓN_IM">#N/A</definedName>
    <definedName name="Extract_MI" localSheetId="10">#REF!</definedName>
    <definedName name="Extract_MI" localSheetId="9">#REF!</definedName>
    <definedName name="Extract_MI" localSheetId="13">#REF!</definedName>
    <definedName name="Extract_MI">#REF!</definedName>
    <definedName name="EYD" localSheetId="13">#REF!</definedName>
    <definedName name="EYD">#REF!</definedName>
    <definedName name="factor">'[6]c.u. vigentes'!$B$26</definedName>
    <definedName name="FALT" localSheetId="10">#REF!</definedName>
    <definedName name="FALT" localSheetId="9">#REF!</definedName>
    <definedName name="FALT" localSheetId="13">#REF!</definedName>
    <definedName name="FALT">#REF!</definedName>
    <definedName name="FALT1" localSheetId="13">#REF!</definedName>
    <definedName name="FALT1">#REF!</definedName>
    <definedName name="FALTANTE" localSheetId="13">#REF!</definedName>
    <definedName name="FALTANTE">#REF!</definedName>
    <definedName name="FATAL">[4]DadosSeguranc!$G$390:$R$395</definedName>
    <definedName name="FCRA" localSheetId="10">#REF!</definedName>
    <definedName name="FCRA" localSheetId="9">#REF!</definedName>
    <definedName name="FCRA" localSheetId="13">#REF!</definedName>
    <definedName name="FCRA">#REF!</definedName>
    <definedName name="FD_EUR">'[9]#¡REF'!$E$4:$E$43</definedName>
    <definedName name="FD_JPY">'[9]#¡REF'!$F$4:$F$43</definedName>
    <definedName name="FD_USD">'[9]#¡REF'!$D$4:$D$43</definedName>
    <definedName name="FEC">'[4]Dados DEC e FEC'!$A$80:$CF$142</definedName>
    <definedName name="FEC_01">[5]Dados_FEC_2005!$B$21:$J$39</definedName>
    <definedName name="FEC_01_2005">[5]Dados_FEC!$B$21:$J$39</definedName>
    <definedName name="FEC_02">[5]Dados_FEC_2005!$B$41:$J$59</definedName>
    <definedName name="FEC_02_2005">[5]Dados_FEC!$B$41:$J$59</definedName>
    <definedName name="FEC_03">[5]Dados_FEC_2005!$B$61:$J$79</definedName>
    <definedName name="FEC_03_2005">[5]Dados_FEC!$B$61:$J$79</definedName>
    <definedName name="FEC_04">[5]Dados_FEC_2005!$B$81:$J$99</definedName>
    <definedName name="FEC_04_2005">[5]Dados_FEC!$B$81:$J$99</definedName>
    <definedName name="FEC_05">[5]Dados_FEC_2005!$B$101:$J$119</definedName>
    <definedName name="FEC_05_2005">[5]Dados_FEC!$B$101:$J$119</definedName>
    <definedName name="FEC_06">[5]Dados_FEC_2005!$B$121:$J$139</definedName>
    <definedName name="FEC_06_2005">[5]Dados_FEC!$B$121:$J$139</definedName>
    <definedName name="FEC_07">[5]Dados_FEC_2005!$B$141:$J$159</definedName>
    <definedName name="FEC_07_2005">[5]Dados_FEC!$B$141:$J$159</definedName>
    <definedName name="FEC_08">[5]Dados_FEC_2005!$B$181:$J$199</definedName>
    <definedName name="FEC_08_2005">[5]Dados_FEC!$B$181:$J$199</definedName>
    <definedName name="FEC_09">[5]Dados_FEC_2005!$B$201:$J$219</definedName>
    <definedName name="FEC_09_2005">[5]Dados_FEC!$B$201:$J$219</definedName>
    <definedName name="FEC_10">[5]Dados_FEC_2005!$B$221:$J$239</definedName>
    <definedName name="FEC_10_2005">[5]Dados_FEC!$B$221:$J$239</definedName>
    <definedName name="FEC_11">[5]Dados_FEC_2005!$B$241:$J$259</definedName>
    <definedName name="FEC_11_2005">[5]Dados_FEC!$B$241:$J$259</definedName>
    <definedName name="FEC_12">[5]Dados_FEC_2005!$B$261:$J$279</definedName>
    <definedName name="FEC_12_2005">[5]Dados_FEC!$B$261:$J$279</definedName>
    <definedName name="FEC_13">[5]Dados_FEC_2005!$B$281:$J$299</definedName>
    <definedName name="FEC_13_2005">[5]Dados_FEC!$B$281:$J$299</definedName>
    <definedName name="FEC_14">[5]Dados_FEC_2005!$B$301:$J$319</definedName>
    <definedName name="FEC_14_2005">[5]Dados_FEC!$B$301:$J$319</definedName>
    <definedName name="FEC_15">[5]Dados_FEC_2005!$B$321:$J$339</definedName>
    <definedName name="FEC_15_2005">[5]Dados_FEC!$B$321:$J$339</definedName>
    <definedName name="FEC_16">[5]Dados_FEC_2005!$B$341:$J$359</definedName>
    <definedName name="FEC_16_2005">[5]Dados_FEC!$B$341:$J$359</definedName>
    <definedName name="FEC_17">[5]Dados_FEC_2005!$B$361:$J$379</definedName>
    <definedName name="FEC_17_2005">[5]Dados_FEC!$B$361:$J$379</definedName>
    <definedName name="FEC_18">[5]Dados_FEC_2005!$B$381:$J$399</definedName>
    <definedName name="FEC_18_2005">[5]Dados_FEC!$B$381:$J$399</definedName>
    <definedName name="FEC_19">[5]Dados_FEC_2005!$B$401:$J$419</definedName>
    <definedName name="FEC_19_2005">[5]Dados_FEC!$B$401:$J$419</definedName>
    <definedName name="FEC_20">[5]Dados_FEC_2005!$B$421:$J$439</definedName>
    <definedName name="FEC_20_2005">[5]Dados_FEC!$B$421:$J$439</definedName>
    <definedName name="FEC_21">[5]Dados_FEC_2005!$B$441:$J$459</definedName>
    <definedName name="FEC_21_2005">[5]Dados_FEC!$B$441:$J$459</definedName>
    <definedName name="FEC_22">[5]Dados_FEC_2005!$B$461:$J$479</definedName>
    <definedName name="FEC_22_2005">[5]Dados_FEC!$B$461:$J$479</definedName>
    <definedName name="FEC_23">[5]Dados_FEC_2005!$B$481:$J$499</definedName>
    <definedName name="FEC_23_2005">[5]Dados_FEC!$B$481:$J$499</definedName>
    <definedName name="FEC_24">[5]Dados_FEC_2005!$B$501:$J$519</definedName>
    <definedName name="FEC_24_2005">[5]Dados_FEC!$B$501:$J$519</definedName>
    <definedName name="FEC_25">[5]Dados_FEC_2005!$B$521:$J$539</definedName>
    <definedName name="FEC_25_2005">[5]Dados_FEC!$B$521:$J$539</definedName>
    <definedName name="FEC_26">[5]Dados_FEC_2005!$B$541:$J$559</definedName>
    <definedName name="FEC_26_2005">[5]Dados_FEC!$B$541:$J$559</definedName>
    <definedName name="FEC_27">[5]Dados_FEC_2005!$B$561:$J$579</definedName>
    <definedName name="FEC_27_2005">[5]Dados_FEC!$B$561:$J$579</definedName>
    <definedName name="FEC_28">[5]Dados_FEC_2005!$B$581:$J$599</definedName>
    <definedName name="FEC_28_2005">[5]Dados_FEC!$B$581:$J$599</definedName>
    <definedName name="FEC_29">[5]Dados_FEC_2005!$B$601:$J$619</definedName>
    <definedName name="FEC_29_2005">[5]Dados_FEC!$B$601:$J$619</definedName>
    <definedName name="FEC_30">[5]Dados_FEC_2005!$B$621:$J$639</definedName>
    <definedName name="FEC_30_2005">[5]Dados_FEC!$B$621:$J$639</definedName>
    <definedName name="FEC_31">[5]Dados_FEC_2005!$B$641:$J$659</definedName>
    <definedName name="FEC_31_2005">[5]Dados_FEC!$B$641:$J$659</definedName>
    <definedName name="FEC_32">[5]Dados_FEC_2005!$B$661:$J$679</definedName>
    <definedName name="FEC_32_2005">[5]Dados_FEC!$B$661:$J$679</definedName>
    <definedName name="FEC_33">[5]Dados_FEC_2005!$B$681:$J$699</definedName>
    <definedName name="FEC_33_2005">[5]Dados_FEC!$B$681:$J$699</definedName>
    <definedName name="FEC_34">[5]Dados_FEC_2005!$B$701:$J$719</definedName>
    <definedName name="FEC_34_2005">[5]Dados_FEC!$B$701:$J$719</definedName>
    <definedName name="FEC_35">[5]Dados_FEC_2005!$B$721:$J$739</definedName>
    <definedName name="FEC_35_2005">[5]Dados_FEC!$B$721:$J$739</definedName>
    <definedName name="FEC_36">[5]Dados_FEC_2005!$B$741:$J$759</definedName>
    <definedName name="FEC_36_2005">[5]Dados_FEC!$B$741:$J$759</definedName>
    <definedName name="FEC_37">[5]Dados_FEC_2005!$B$161:$J$179</definedName>
    <definedName name="FEC_37_2005">[5]Dados_FEC!$B$161:$J$179</definedName>
    <definedName name="FEC_38">[5]Dados_FEC_2005!$B$761:$J$779</definedName>
    <definedName name="FEC_38_2005">[5]Dados_FEC!$B$761:$J$779</definedName>
    <definedName name="FEC_39">[5]Dados_FEC_2005!$B$781:$J$799</definedName>
    <definedName name="FEC_39_2005">[5]Dados_FEC!$B$781:$J$799</definedName>
    <definedName name="FEC_40">[5]Dados_FEC_2005!$B$961:$J$979</definedName>
    <definedName name="FEC_40_2005">[5]Dados_FEC!$B$961:$J$979</definedName>
    <definedName name="FEC_41">[5]Dados_FEC_2005!$B$801:$J$819</definedName>
    <definedName name="FEC_41_2005">[5]Dados_FEC!$B$801:$J$819</definedName>
    <definedName name="FEC_42">[5]Dados_FEC_2005!$B$821:$J$839</definedName>
    <definedName name="FEC_42_2005">[5]Dados_FEC!$B$821:$J$839</definedName>
    <definedName name="FEC_43">[5]Dados_FEC_2005!$B$841:$J$859</definedName>
    <definedName name="FEC_43_2005">[5]Dados_FEC!$B$841:$J$859</definedName>
    <definedName name="FEC_44">[5]Dados_FEC_2005!$B$861:$J$879</definedName>
    <definedName name="FEC_44_2005">[5]Dados_FEC!$B$861:$J$879</definedName>
    <definedName name="FEC_45">[5]Dados_FEC_2005!$B$881:$J$899</definedName>
    <definedName name="FEC_45_2005">[5]Dados_FEC!$B$881:$J$899</definedName>
    <definedName name="FEC_46">[5]Dados_FEC_2005!$B$901:$J$919</definedName>
    <definedName name="FEC_46_2005">[5]Dados_FEC!$B$901:$J$919</definedName>
    <definedName name="FEC_47">[5]Dados_FEC_2005!$B$921:$J$939</definedName>
    <definedName name="FEC_47_2005">[5]Dados_FEC!$B$921:$J$939</definedName>
    <definedName name="FEC_48">[5]Dados_FEC_2005!$B$941:$J$959</definedName>
    <definedName name="FEC_48_2005">[5]Dados_FEC!$B$941:$J$959</definedName>
    <definedName name="FEC_49">[5]Dados_FEC_2005!$B$981:$J$999</definedName>
    <definedName name="FEC_49_2005">[5]Dados_FEC!$B$981:$J$999</definedName>
    <definedName name="FEC_50">[5]Dados_FEC_2005!$B$1001:$J$1019</definedName>
    <definedName name="FEC_50_2005">[5]Dados_FEC!$B$1001:$J$1019</definedName>
    <definedName name="FEC_51">[5]Dados_FEC_2005!$B$1021:$J$1039</definedName>
    <definedName name="FEC_51_2005">[5]Dados_FEC!$B$1021:$J$1039</definedName>
    <definedName name="FEC_52">[5]Dados_FEC_2005!$B$1041:$J$1059</definedName>
    <definedName name="FEC_52_2005">[5]Dados_FEC!$B$1041:$J$1059</definedName>
    <definedName name="FEC_53">[5]Dados_FEC_2005!$B$1061:$J$1079</definedName>
    <definedName name="FEC_53_2005">[5]Dados_FEC!$B$1061:$J$1079</definedName>
    <definedName name="FEC_54">[5]Dados_FEC_2005!$B$1081:$J$1099</definedName>
    <definedName name="FEC_54_2005">[5]Dados_FEC!$B$1081:$J$1099</definedName>
    <definedName name="FEC_55">[5]Dados_FEC_2005!$B$1101:$J$1119</definedName>
    <definedName name="FEC_55_2005">[5]Dados_FEC!$B$1101:$J$1119</definedName>
    <definedName name="FEC_56">[5]Dados_FEC_2005!$B$1121:$J$1139</definedName>
    <definedName name="FEC_56_2005">[5]Dados_FEC!$B$1121:$J$1139</definedName>
    <definedName name="FEC_57">[5]Dados_FEC_2005!$B$1141:$J$1159</definedName>
    <definedName name="FEC_57_2005">[5]Dados_FEC!$B$1141:$J$1159</definedName>
    <definedName name="FEC_58">[5]Dados_FEC_2005!$B$1161:$J$1179</definedName>
    <definedName name="FEC_58_2005">[5]Dados_FEC!$B$1161:$J$1179</definedName>
    <definedName name="FEC_ANHEMBI">[5]Dados_FEC_2005!$B$1241:$J$1259</definedName>
    <definedName name="FEC_ANHEMBI_2005">[5]Dados_FEC!$B$1241:$J$1259</definedName>
    <definedName name="FEC_CENTRO">[5]Dados_FEC_2005!$B$1261:$J$1279</definedName>
    <definedName name="FEC_CENTRO_2005">[5]Dados_FEC!$B$1261:$J$1279</definedName>
    <definedName name="FEC_CENTRO_T">[5]Dados_FEC_2005!$B$1321:$J$1339</definedName>
    <definedName name="FEC_CENTRO_T_2005">[5]Dados_FEC!$B$1321:$J$1339</definedName>
    <definedName name="FEC_GRANDE_ABC">[5]Dados_FEC_2005!$B$1301:$J$1319</definedName>
    <definedName name="FEC_GRANDE_ABC_2005">[5]Dados_FEC!$B$1301:$J$1319</definedName>
    <definedName name="FEC_LESTE">[5]Dados_FEC_2005!$B$1281:$J$1299</definedName>
    <definedName name="FEC_LESTE_2005">[5]Dados_FEC!$B$1281:$J$1299</definedName>
    <definedName name="FEC_OESTE">[5]Dados_FEC_2005!$B$1201:$J$1219</definedName>
    <definedName name="FEC_OESTE_2005">[5]Dados_FEC!$B$1201:$J$1219</definedName>
    <definedName name="FEC_SP_SUL">[5]Dados_FEC_2005!$B$1221:$J$1239</definedName>
    <definedName name="FEC_SP_SUL_2005">[5]Dados_FEC!$B$1221:$J$1239</definedName>
    <definedName name="FEC_T">[5]Dados_FEC_2005!$B$1181:$J$1199</definedName>
    <definedName name="FEC_T_2005">[5]Dados_FEC!$B$1181:$J$1199</definedName>
    <definedName name="FECHA">[6]ELEGIR!$E$8</definedName>
    <definedName name="FFSDFSD" localSheetId="10">#REF!</definedName>
    <definedName name="FFSDFSD" localSheetId="9">#REF!</definedName>
    <definedName name="FFSDFSD" localSheetId="13">#REF!</definedName>
    <definedName name="FFSDFSD">#REF!</definedName>
    <definedName name="fg" localSheetId="10" hidden="1">{"'EST.RDOS(INT)'!$A$5:$E$58"}</definedName>
    <definedName name="fg" localSheetId="9" hidden="1">{"'EST.RDOS(INT)'!$A$5:$E$58"}</definedName>
    <definedName name="fg" localSheetId="3" hidden="1">{"'EST.RDOS(INT)'!$A$5:$E$58"}</definedName>
    <definedName name="fg" localSheetId="7" hidden="1">{"'EST.RDOS(INT)'!$A$5:$E$58"}</definedName>
    <definedName name="fg" localSheetId="18" hidden="1">{"'EST.RDOS(INT)'!$A$5:$E$58"}</definedName>
    <definedName name="fg" localSheetId="16" hidden="1">{"'EST.RDOS(INT)'!$A$5:$E$58"}</definedName>
    <definedName name="fg" localSheetId="13" hidden="1">{"'EST.RDOS(INT)'!$A$5:$E$58"}</definedName>
    <definedName name="fg" localSheetId="14" hidden="1">{"'EST.RDOS(INT)'!$A$5:$E$58"}</definedName>
    <definedName name="fg" hidden="1">{"'EST.RDOS(INT)'!$A$5:$E$58"}</definedName>
    <definedName name="Financiación">'[11]#¡REF'!$B$7</definedName>
    <definedName name="flujocpa" localSheetId="10">#REF!</definedName>
    <definedName name="flujocpa" localSheetId="9">#REF!</definedName>
    <definedName name="flujocpa" localSheetId="13">#REF!</definedName>
    <definedName name="flujocpa">#REF!</definedName>
    <definedName name="flujocpp" localSheetId="13">#REF!</definedName>
    <definedName name="flujocpp">#REF!</definedName>
    <definedName name="flujoesp" localSheetId="13">#REF!</definedName>
    <definedName name="flujoesp">#REF!</definedName>
    <definedName name="flujolpa">#REF!</definedName>
    <definedName name="flujolpo">#REF!</definedName>
    <definedName name="flujolpp">#REF!</definedName>
    <definedName name="FMS">'[4]Dados de Ouvidoria'!$D$2:$P$15</definedName>
    <definedName name="FORA_PRAZO">'[5]Dados Ouvidoria II'!$C$50:$O$56</definedName>
    <definedName name="FORDIV" localSheetId="10">#REF!</definedName>
    <definedName name="FORDIV" localSheetId="9">#REF!</definedName>
    <definedName name="FORDIV" localSheetId="13">#REF!</definedName>
    <definedName name="FORDIV">#REF!</definedName>
    <definedName name="FRANOM">[4]Dados_Perdas!$C$18:$O$29</definedName>
    <definedName name="Fraude_CSPE">'[5]Dados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13">#REF!,#REF!,#REF!,#REF!,#REF!,#REF!,#REF!,#REF!,#REF!,#REF!,#REF!,#REF!,#REF!,#REF!,#REF!,#REF!,#REF!,#REF!,#REF!,#REF!,#REF!,#REF!,#REF!,#REF!,#REF!,#REF!,#REF!,#REF!,#REF!</definedName>
    <definedName name="FUEN">#REF!,#REF!,#REF!,#REF!,#REF!,#REF!,#REF!,#REF!,#REF!,#REF!,#REF!,#REF!,#REF!,#REF!,#REF!,#REF!,#REF!,#REF!,#REF!,#REF!,#REF!,#REF!,#REF!,#REF!,#REF!,#REF!,#REF!,#REF!,#REF!</definedName>
    <definedName name="Gastos_AOM">'[11]#¡REF'!$B$15</definedName>
    <definedName name="Gastos_de_Funcionamiento">'[11]#¡REF'!$B$56</definedName>
    <definedName name="gastos_finan">'[3]PyG Año 00-01-02'!$A$86:$H$90</definedName>
    <definedName name="GASTOS_GENERALES" localSheetId="10">#REF!</definedName>
    <definedName name="GASTOS_GENERALES" localSheetId="9">#REF!</definedName>
    <definedName name="GASTOS_GENERALES" localSheetId="13">#REF!</definedName>
    <definedName name="GASTOS_GENERALES">#REF!</definedName>
    <definedName name="Gastos_Operacionales" localSheetId="13">#REF!</definedName>
    <definedName name="Gastos_Operacionales">#REF!</definedName>
    <definedName name="GESTION" localSheetId="13">#REF!</definedName>
    <definedName name="GESTION">#REF!</definedName>
    <definedName name="GGRAL">#REF!</definedName>
    <definedName name="GINCL">#REF!</definedName>
    <definedName name="grafic_aom_remunera">'[3]aom reg'!$AG$61</definedName>
    <definedName name="GRAVE">[4]DadosSeguranc!$G$398:$R$403</definedName>
    <definedName name="Header" localSheetId="10">#REF!</definedName>
    <definedName name="Header" localSheetId="9">#REF!</definedName>
    <definedName name="Header" localSheetId="13">#REF!</definedName>
    <definedName name="Header">#REF!</definedName>
    <definedName name="hhhhhhhhhhhh">'[11]#¡REF'!$B$6</definedName>
    <definedName name="HHT" localSheetId="10">'[16]Dados Work'!#REF!</definedName>
    <definedName name="HHT" localSheetId="9">'[16]Dados Work'!#REF!</definedName>
    <definedName name="HHT">'[16]Dados Work'!#REF!</definedName>
    <definedName name="HHTOPER07" localSheetId="10">#REF!</definedName>
    <definedName name="HHTOPER07" localSheetId="9">#REF!</definedName>
    <definedName name="HHTOPER07" localSheetId="13">#REF!</definedName>
    <definedName name="HHTOPER07">#REF!</definedName>
    <definedName name="HHTPER07" localSheetId="13">#REF!</definedName>
    <definedName name="HHTPER07">#REF!</definedName>
    <definedName name="HHTSUB07" localSheetId="13">#REF!</definedName>
    <definedName name="HHTSUB07">#REF!</definedName>
    <definedName name="hhtunder07">#REF!</definedName>
    <definedName name="hjhjhjh" localSheetId="10" hidden="1">{"'EST.RDOS(INT)'!$A$5:$E$58"}</definedName>
    <definedName name="hjhjhjh" localSheetId="9" hidden="1">{"'EST.RDOS(INT)'!$A$5:$E$58"}</definedName>
    <definedName name="hjhjhjh" localSheetId="3" hidden="1">{"'EST.RDOS(INT)'!$A$5:$E$58"}</definedName>
    <definedName name="hjhjhjh" localSheetId="7" hidden="1">{"'EST.RDOS(INT)'!$A$5:$E$58"}</definedName>
    <definedName name="hjhjhjh" localSheetId="18" hidden="1">{"'EST.RDOS(INT)'!$A$5:$E$58"}</definedName>
    <definedName name="hjhjhjh" localSheetId="16" hidden="1">{"'EST.RDOS(INT)'!$A$5:$E$58"}</definedName>
    <definedName name="hjhjhjh" localSheetId="13" hidden="1">{"'EST.RDOS(INT)'!$A$5:$E$58"}</definedName>
    <definedName name="hjhjhjh" localSheetId="14" hidden="1">{"'EST.RDOS(INT)'!$A$5:$E$58"}</definedName>
    <definedName name="hjhjhjh" hidden="1">{"'EST.RDOS(INT)'!$A$5:$E$58"}</definedName>
    <definedName name="HOJAS">#REF!</definedName>
    <definedName name="hola" hidden="1">#REF!</definedName>
    <definedName name="HONORARIOS">#REF!</definedName>
    <definedName name="hoy">'[9]#¡REF'!$B$1</definedName>
    <definedName name="HTML_CodePage" hidden="1">1252</definedName>
    <definedName name="HTML_Control" localSheetId="10" hidden="1">{"'EST.RDOS(INT)'!$A$5:$E$58"}</definedName>
    <definedName name="HTML_Control" localSheetId="9" hidden="1">{"'EST.RDOS(INT)'!$A$5:$E$58"}</definedName>
    <definedName name="HTML_Control" localSheetId="3" hidden="1">{"'EST.RDOS(INT)'!$A$5:$E$58"}</definedName>
    <definedName name="HTML_Control" localSheetId="7" hidden="1">{"'EST.RDOS(INT)'!$A$5:$E$58"}</definedName>
    <definedName name="HTML_Control" localSheetId="18" hidden="1">{"'EST.RDOS(INT)'!$A$5:$E$58"}</definedName>
    <definedName name="HTML_Control" localSheetId="16" hidden="1">{"'EST.RDOS(INT)'!$A$5:$E$58"}</definedName>
    <definedName name="HTML_Control" localSheetId="13" hidden="1">{"'EST.RDOS(INT)'!$A$5:$E$58"}</definedName>
    <definedName name="HTML_Control" localSheetId="14"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'[5]Dados Faturamento'!$C$92:$N$98</definedName>
    <definedName name="I_ANTERIOR">'[5]Dados Faturamento'!$C$61:$N$67</definedName>
    <definedName name="IA2PR">'[4]Dados Ind Com'!$V$28:$AH$51</definedName>
    <definedName name="IARR">'[4]Dados Ind Com'!$V$54:$AH$77</definedName>
    <definedName name="IARU">'[4]Dados Ind Com'!$V$2:$AH$25</definedName>
    <definedName name="ICMS">'[4]Dados Prod Serv'!$B$14:$N$15</definedName>
    <definedName name="IDIOMA" localSheetId="10">#REF!</definedName>
    <definedName name="IDIOMA" localSheetId="9">#REF!</definedName>
    <definedName name="IDIOMA" localSheetId="13">#REF!</definedName>
    <definedName name="IDIOMA">#REF!</definedName>
    <definedName name="IFC10MM" localSheetId="13">#REF!</definedName>
    <definedName name="IFC10MM">#REF!</definedName>
    <definedName name="iiiiiiii">'[11]#¡REF'!$B$6</definedName>
    <definedName name="IM_10MIL">'[5]Dados Faturamento'!$C$71:$N$77</definedName>
    <definedName name="IM_IRC">'[5]Dados Faturamento'!$C$102:$N$108</definedName>
    <definedName name="IMPANO0" localSheetId="10">#REF!</definedName>
    <definedName name="IMPANO0" localSheetId="9">#REF!</definedName>
    <definedName name="IMPANO0" localSheetId="13">#REF!</definedName>
    <definedName name="IMPANO0">#REF!</definedName>
    <definedName name="impoprto" localSheetId="13">#REF!</definedName>
    <definedName name="impoprto">#REF!</definedName>
    <definedName name="IMPRI" localSheetId="13">#REF!</definedName>
    <definedName name="IMPRI">#REF!</definedName>
    <definedName name="Impuestos">'[11]#¡REF'!$B$28</definedName>
    <definedName name="increm_eva">'[14]graf indi'!$J$11</definedName>
    <definedName name="Incremento_mensual_Dev.">'[11]#¡REF'!$B$3</definedName>
    <definedName name="INCSTMT_DETAIL" localSheetId="10">#REF!</definedName>
    <definedName name="INCSTMT_DETAIL" localSheetId="9">#REF!</definedName>
    <definedName name="INCSTMT_DETAIL" localSheetId="13">#REF!</definedName>
    <definedName name="INCSTMT_DETAIL">#REF!</definedName>
    <definedName name="indi">[17]Datos!$D$129</definedName>
    <definedName name="INDICA" localSheetId="10">#REF!</definedName>
    <definedName name="INDICA" localSheetId="9">#REF!</definedName>
    <definedName name="INDICA" localSheetId="13">#REF!</definedName>
    <definedName name="INDICA">#REF!</definedName>
    <definedName name="INDICADORES">'[11]#¡REF'!$B$31</definedName>
    <definedName name="Indice_Ante">'[5]Dados Faturamento'!$AZ$3</definedName>
    <definedName name="infc">'[18]S Gles'!$C$17:$Z$17</definedName>
    <definedName name="ingles" localSheetId="10">#REF!</definedName>
    <definedName name="ingles" localSheetId="9">#REF!</definedName>
    <definedName name="ingles" localSheetId="13">#REF!</definedName>
    <definedName name="ingles">#REF!</definedName>
    <definedName name="ingregastoconextele" localSheetId="10">'[3]PyG Año 00-01-02'!#REF!</definedName>
    <definedName name="ingregastoconextele" localSheetId="9">'[3]PyG Año 00-01-02'!#REF!</definedName>
    <definedName name="ingregastoconextele" localSheetId="13">'[3]PyG Año 00-01-02'!#REF!</definedName>
    <definedName name="ingregastoconextele">'[3]PyG Año 00-01-02'!#REF!</definedName>
    <definedName name="ingregastoconextrans">'[3]PyG Año 00-01-02'!$A$353</definedName>
    <definedName name="INGREGASTOSTELE">'[3]PyG Año 00-01-02'!$A$269:$H$274</definedName>
    <definedName name="ingresos" localSheetId="10">#REF!</definedName>
    <definedName name="ingresos" localSheetId="9">#REF!</definedName>
    <definedName name="ingresos" localSheetId="13">#REF!</definedName>
    <definedName name="ingresos">#REF!</definedName>
    <definedName name="Ingresos___Disp._Inicial">'[11]#¡REF'!$B$53</definedName>
    <definedName name="Ingresos_Corrientes">'[11]#¡REF'!$B$50</definedName>
    <definedName name="Ingresos_de_Capital">'[11]#¡REF'!$B$51</definedName>
    <definedName name="ingresos_no_ope">'[3]PyG Año 00-01-02'!$A$65:$H$83</definedName>
    <definedName name="Ingresos_no_operacionales">'[11]#¡REF'!$B$20</definedName>
    <definedName name="Ingresos_Operacionales">'[11]#¡REF'!$B$14</definedName>
    <definedName name="INICIO" localSheetId="10">#REF!</definedName>
    <definedName name="INICIO" localSheetId="9">#REF!</definedName>
    <definedName name="INICIO" localSheetId="13">#REF!</definedName>
    <definedName name="INICIO">#REF!</definedName>
    <definedName name="INIDEUDA" localSheetId="13">#REF!</definedName>
    <definedName name="INIDEUDA">#REF!</definedName>
    <definedName name="INPUT1" localSheetId="13">[2]Lista!#REF!</definedName>
    <definedName name="INPUT1">[2]Lista!#REF!</definedName>
    <definedName name="INPUT2" localSheetId="13">[2]Lista!#REF!</definedName>
    <definedName name="INPUT2">[2]Lista!#REF!</definedName>
    <definedName name="INPUT3" localSheetId="13">[2]Lista!#REF!</definedName>
    <definedName name="INPUT3">[2]Lista!#REF!</definedName>
    <definedName name="INPUT4" localSheetId="13">[2]Lista!#REF!</definedName>
    <definedName name="INPUT4">[2]Lista!#REF!</definedName>
    <definedName name="INPUT5">[2]Lista!#REF!</definedName>
    <definedName name="INPUT6">[2]Lista!#REF!</definedName>
    <definedName name="INPUT7">[2]Lista!#REF!</definedName>
    <definedName name="INSP_META">'[5]Dados Perdas'!$C$36:$O$42</definedName>
    <definedName name="INSP_REAL">'[5]Dados Perdas'!$C$26:$O$32</definedName>
    <definedName name="interconexión" localSheetId="10">#REF!</definedName>
    <definedName name="interconexión" localSheetId="9">#REF!</definedName>
    <definedName name="interconexión" localSheetId="13">#REF!</definedName>
    <definedName name="interconexión">#REF!</definedName>
    <definedName name="Intereses">'[11]#¡REF'!$B$22</definedName>
    <definedName name="INVERDEPREMEM">[3]inver2!$A$38</definedName>
    <definedName name="Inversion">'[11]#¡REF'!$B$54</definedName>
    <definedName name="inversioncnd">[3]inver2!$A$31</definedName>
    <definedName name="inversiones">[14]Hoja1!$A$62:$H$77</definedName>
    <definedName name="inversitransporte">[3]inver2!$A$58</definedName>
    <definedName name="invext" localSheetId="10">#REF!</definedName>
    <definedName name="invext" localSheetId="9">#REF!</definedName>
    <definedName name="invext" localSheetId="13">#REF!</definedName>
    <definedName name="invext">#REF!</definedName>
    <definedName name="IPP" localSheetId="10">'[11]#¡REF'!#REF!</definedName>
    <definedName name="IPP" localSheetId="9">'[11]#¡REF'!#REF!</definedName>
    <definedName name="IPP" localSheetId="13">'[11]#¡REF'!#REF!</definedName>
    <definedName name="IPP">'[11]#¡REF'!#REF!</definedName>
    <definedName name="IRREGULAR">'[4]Dados de Ouvidoria'!$D$82:$P$93</definedName>
    <definedName name="ITER" localSheetId="10">#REF!</definedName>
    <definedName name="ITER" localSheetId="9">#REF!</definedName>
    <definedName name="ITER" localSheetId="13">#REF!</definedName>
    <definedName name="ITER">#REF!</definedName>
    <definedName name="ITER2" localSheetId="13">#REF!</definedName>
    <definedName name="ITER2">#REF!</definedName>
    <definedName name="Janeiro">[4]DadosSeguranc!$E$140:$AB$179</definedName>
    <definedName name="JUL" localSheetId="10">#REF!</definedName>
    <definedName name="JUL" localSheetId="9">#REF!</definedName>
    <definedName name="JUL" localSheetId="13">#REF!</definedName>
    <definedName name="JUL">#REF!</definedName>
    <definedName name="k" localSheetId="13">#REF!</definedName>
    <definedName name="k">#REF!</definedName>
    <definedName name="KDJFKD" localSheetId="10" hidden="1">{"'EST.RDOS(INT)'!$A$5:$E$58"}</definedName>
    <definedName name="KDJFKD" localSheetId="9" hidden="1">{"'EST.RDOS(INT)'!$A$5:$E$58"}</definedName>
    <definedName name="KDJFKD" localSheetId="3" hidden="1">{"'EST.RDOS(INT)'!$A$5:$E$58"}</definedName>
    <definedName name="KDJFKD" localSheetId="7" hidden="1">{"'EST.RDOS(INT)'!$A$5:$E$58"}</definedName>
    <definedName name="KDJFKD" localSheetId="18" hidden="1">{"'EST.RDOS(INT)'!$A$5:$E$58"}</definedName>
    <definedName name="KDJFKD" localSheetId="16" hidden="1">{"'EST.RDOS(INT)'!$A$5:$E$58"}</definedName>
    <definedName name="KDJFKD" localSheetId="13" hidden="1">{"'EST.RDOS(INT)'!$A$5:$E$58"}</definedName>
    <definedName name="KDJFKD" localSheetId="14" hidden="1">{"'EST.RDOS(INT)'!$A$5:$E$58"}</definedName>
    <definedName name="KDJFKD" hidden="1">{"'EST.RDOS(INT)'!$A$5:$E$58"}</definedName>
    <definedName name="KK">#REF!</definedName>
    <definedName name="KPI_1000DAN">'[5]Otimização Ativos Poste'!$Q$78:$AQ$84</definedName>
    <definedName name="KPI_600DAN">'[5]Otimização Ativos Poste'!$Q$67:$AQ$73</definedName>
    <definedName name="KPI_KVA">'[5]Otimização Ativos Trafo'!$U$74:$AU$80</definedName>
    <definedName name="KPI_KW">'[5]Otimização Ativos Trafo'!$U$63:$AU$69</definedName>
    <definedName name="KPI_POSTE">'[5]Otimização Ativos Poste'!$Q$56:$AQ$62</definedName>
    <definedName name="KPI_TRAFO">'[5]Otimização Ativos Trafo'!$U$52:$AU$58</definedName>
    <definedName name="KPIPERDAS">'[5]F Perdas - KPI DADOS'!$A$21:$N$76</definedName>
    <definedName name="LEASING_1">[11]Hoja1!$A$1:$I$19</definedName>
    <definedName name="LEASING_2">[11]Hoja1!$K$22:$R$43</definedName>
    <definedName name="LETRA" localSheetId="10">#REF!</definedName>
    <definedName name="LETRA" localSheetId="9">#REF!</definedName>
    <definedName name="LETRA" localSheetId="13">#REF!</definedName>
    <definedName name="LETRA">#REF!</definedName>
    <definedName name="LETRAS" localSheetId="13">#REF!</definedName>
    <definedName name="LETRAS">#REF!</definedName>
    <definedName name="LEVE">[4]DadosSeguranc!$G$406:$R$411</definedName>
    <definedName name="libo1" localSheetId="10">#REF!</definedName>
    <definedName name="libo1" localSheetId="9">#REF!</definedName>
    <definedName name="libo1" localSheetId="13">#REF!</definedName>
    <definedName name="libo1">#REF!</definedName>
    <definedName name="libor" localSheetId="13">#REF!</definedName>
    <definedName name="libor">#REF!</definedName>
    <definedName name="LIGINF">[4]Dados_Perdas!$C$64:$O$75</definedName>
    <definedName name="LOJAS">'[4]Dados das Lojas'!$D$2:$P$91</definedName>
    <definedName name="luzma" localSheetId="10" hidden="1">{"'EST.RDOS(INT)'!$A$5:$E$58"}</definedName>
    <definedName name="luzma" localSheetId="9" hidden="1">{"'EST.RDOS(INT)'!$A$5:$E$58"}</definedName>
    <definedName name="luzma" localSheetId="3" hidden="1">{"'EST.RDOS(INT)'!$A$5:$E$58"}</definedName>
    <definedName name="luzma" localSheetId="7" hidden="1">{"'EST.RDOS(INT)'!$A$5:$E$58"}</definedName>
    <definedName name="luzma" localSheetId="18" hidden="1">{"'EST.RDOS(INT)'!$A$5:$E$58"}</definedName>
    <definedName name="luzma" localSheetId="16" hidden="1">{"'EST.RDOS(INT)'!$A$5:$E$58"}</definedName>
    <definedName name="luzma" localSheetId="13" hidden="1">{"'EST.RDOS(INT)'!$A$5:$E$58"}</definedName>
    <definedName name="luzma" localSheetId="14" hidden="1">{"'EST.RDOS(INT)'!$A$5:$E$58"}</definedName>
    <definedName name="luzma" hidden="1">{"'EST.RDOS(INT)'!$A$5:$E$58"}</definedName>
    <definedName name="MACRO">#REF!</definedName>
    <definedName name="MAIN">#REF!</definedName>
    <definedName name="MANO">'[4]Dados DEC e FEC'!$G$160:$H$223</definedName>
    <definedName name="MAR" localSheetId="10">#REF!</definedName>
    <definedName name="MAR" localSheetId="9">#REF!</definedName>
    <definedName name="MAR" localSheetId="13">#REF!</definedName>
    <definedName name="MAR">#REF!</definedName>
    <definedName name="MARGENOPEMEM">'[3]PyG Año 00-01-02'!$A$336</definedName>
    <definedName name="MATERIAL" localSheetId="10">#REF!</definedName>
    <definedName name="MATERIAL" localSheetId="9">#REF!</definedName>
    <definedName name="MATERIAL" localSheetId="13">#REF!</definedName>
    <definedName name="MATERIAL">#REF!</definedName>
    <definedName name="Max_Cod">[7]Postes!$J$1</definedName>
    <definedName name="mayo" localSheetId="10">#REF!</definedName>
    <definedName name="mayo" localSheetId="9">#REF!</definedName>
    <definedName name="mayo" localSheetId="13">#REF!</definedName>
    <definedName name="mayo">#REF!</definedName>
    <definedName name="ME" localSheetId="13">#REF!</definedName>
    <definedName name="ME">#REF!</definedName>
    <definedName name="MEM" localSheetId="13">#REF!</definedName>
    <definedName name="MEM">#REF!</definedName>
    <definedName name="mes">#REF!</definedName>
    <definedName name="MESESL">#REF!</definedName>
    <definedName name="Meta_">'[5]Dados Faturamento'!$BA$3</definedName>
    <definedName name="META_ABR">'[5]Dados Faturamento'!$C$112:$N$118</definedName>
    <definedName name="META_REFAT">'[5]Dados Faturamento'!$C$82:$N$88</definedName>
    <definedName name="Metas_Perdas">'[5]Dados Perdas RAA'!$B$63:$D$69</definedName>
    <definedName name="METASLOJAS">'[4]Dados das Lojas'!$D$94:$P$108</definedName>
    <definedName name="Metaswork">'[5]Dados Work M'!$AC$5:$AN$8</definedName>
    <definedName name="mgm" localSheetId="10" hidden="1">{"'EST.RDOS(INT)'!$A$5:$E$58"}</definedName>
    <definedName name="mgm" localSheetId="9" hidden="1">{"'EST.RDOS(INT)'!$A$5:$E$58"}</definedName>
    <definedName name="mgm" localSheetId="3" hidden="1">{"'EST.RDOS(INT)'!$A$5:$E$58"}</definedName>
    <definedName name="mgm" localSheetId="7" hidden="1">{"'EST.RDOS(INT)'!$A$5:$E$58"}</definedName>
    <definedName name="mgm" localSheetId="18" hidden="1">{"'EST.RDOS(INT)'!$A$5:$E$58"}</definedName>
    <definedName name="mgm" localSheetId="16" hidden="1">{"'EST.RDOS(INT)'!$A$5:$E$58"}</definedName>
    <definedName name="mgm" localSheetId="13" hidden="1">{"'EST.RDOS(INT)'!$A$5:$E$58"}</definedName>
    <definedName name="mgm" localSheetId="14" hidden="1">{"'EST.RDOS(INT)'!$A$5:$E$58"}</definedName>
    <definedName name="mgm" hidden="1">{"'EST.RDOS(INT)'!$A$5:$E$58"}</definedName>
    <definedName name="MINI">#REF!</definedName>
    <definedName name="ML">#REF!</definedName>
    <definedName name="MONEDA">#REF!</definedName>
    <definedName name="MWORK">'[16]Dados Work'!#REF!</definedName>
    <definedName name="NCD">'[5]Estatisticas do Planejamento'!$A$56:$H$75</definedName>
    <definedName name="Necessidades">'[5]Estatisticas do Planejamento'!$A$56:$H$75</definedName>
    <definedName name="NG_D">[13]ANALITICO!$S$1:$S$65536</definedName>
    <definedName name="nombrehoja" localSheetId="10">#REF!</definedName>
    <definedName name="nombrehoja" localSheetId="9">#REF!</definedName>
    <definedName name="nombrehoja" localSheetId="13">#REF!</definedName>
    <definedName name="nombrehoja">#REF!</definedName>
    <definedName name="NPROG">[5]Cálculos_DM!$B$52:$O$59</definedName>
    <definedName name="NR_ABC">'[5]Dados Clandestina'!$D$54:$P$56</definedName>
    <definedName name="NR_ACUM">'[5]Dados Clandestina'!$D$79:$J$81</definedName>
    <definedName name="NR_ANHEMBI">'[5]Dados Clandestina'!$D$39:$P$41</definedName>
    <definedName name="NR_CENTRO">'[5]Dados Clandestina'!$D$44:$P$46</definedName>
    <definedName name="NR_ELPA">'[5]Dados Clandestina'!$D$24:$P$26</definedName>
    <definedName name="NR_LESTE">'[5]Dados Clandestina'!$D$49:$P$51</definedName>
    <definedName name="NR_OESTE">'[5]Dados Clandestina'!$D$29:$P$31</definedName>
    <definedName name="NR_SUL">'[5]Dados Clandestina'!$D$34:$P$36</definedName>
    <definedName name="nuevas_financiaciones">'[14]graf indi'!$A$2:$E$10</definedName>
    <definedName name="NUEVAS_OBLIGACIONES_FINANCIERAS">'[11]#¡REF'!$B$40</definedName>
    <definedName name="NUEVO" localSheetId="10">#REF!</definedName>
    <definedName name="NUEVO" localSheetId="9">#REF!</definedName>
    <definedName name="NUEVO" localSheetId="13">#REF!</definedName>
    <definedName name="NUEVO">#REF!</definedName>
    <definedName name="Nuevo_Financiamiento">'[11]#¡REF'!$B$59</definedName>
    <definedName name="nUnidad" localSheetId="10">[19]Datos!#REF!</definedName>
    <definedName name="nUnidad" localSheetId="9">[19]Datos!#REF!</definedName>
    <definedName name="nUnidad" localSheetId="3">[19]Datos!#REF!</definedName>
    <definedName name="nUnidad" localSheetId="13">[19]Datos!#REF!</definedName>
    <definedName name="nUnidad">[19]Datos!#REF!</definedName>
    <definedName name="ññ" localSheetId="10" hidden="1">{"'EST.RDOS(INT)'!$A$5:$E$58"}</definedName>
    <definedName name="ññ" localSheetId="9" hidden="1">{"'EST.RDOS(INT)'!$A$5:$E$58"}</definedName>
    <definedName name="ññ" localSheetId="3" hidden="1">{"'EST.RDOS(INT)'!$A$5:$E$58"}</definedName>
    <definedName name="ññ" localSheetId="7" hidden="1">{"'EST.RDOS(INT)'!$A$5:$E$58"}</definedName>
    <definedName name="ññ" localSheetId="18" hidden="1">{"'EST.RDOS(INT)'!$A$5:$E$58"}</definedName>
    <definedName name="ññ" localSheetId="16" hidden="1">{"'EST.RDOS(INT)'!$A$5:$E$58"}</definedName>
    <definedName name="ññ" localSheetId="13" hidden="1">{"'EST.RDOS(INT)'!$A$5:$E$58"}</definedName>
    <definedName name="ññ" localSheetId="14"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'[3]PyG Año 00-01-02'!#REF!</definedName>
    <definedName name="Otros_Gastos">'[11]#¡REF'!$B$24</definedName>
    <definedName name="Otros_gastos_generales" localSheetId="10">#REF!</definedName>
    <definedName name="Otros_gastos_generales" localSheetId="9">#REF!</definedName>
    <definedName name="Otros_gastos_generales" localSheetId="13">#REF!</definedName>
    <definedName name="Otros_gastos_generales">#REF!</definedName>
    <definedName name="otroslp" localSheetId="13">#REF!</definedName>
    <definedName name="otroslp">#REF!</definedName>
    <definedName name="OUTPUT" localSheetId="13">#REF!</definedName>
    <definedName name="OUTPUT">#REF!</definedName>
    <definedName name="OUTPUTE">#REF!</definedName>
    <definedName name="OUTPUTPR">#REF!</definedName>
    <definedName name="OUTRAS">#REF!</definedName>
    <definedName name="OUTROSKPIS">[4]Dados_Perdas!$C$117:$O$140</definedName>
    <definedName name="P_23" localSheetId="10">#REF!</definedName>
    <definedName name="P_23" localSheetId="9">#REF!</definedName>
    <definedName name="P_23" localSheetId="13">#REF!</definedName>
    <definedName name="P_23">#REF!</definedName>
    <definedName name="P_35" localSheetId="13">#REF!</definedName>
    <definedName name="P_35">#REF!</definedName>
    <definedName name="P_36" localSheetId="13">#REF!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[4]Dados_Perdas!$C$33:$O$44</definedName>
    <definedName name="Participación_Ciudadana">'[11]#¡REF'!$B$52</definedName>
    <definedName name="Participación_Subordinadas">'[11]#¡REF'!$B$21</definedName>
    <definedName name="PCLD">'[5]Dados Inadimplência'!$V$55:$AH$61</definedName>
    <definedName name="PCLDCOM">'[4]Dados Inadimplência'!$C$3:$N$22</definedName>
    <definedName name="PCLDMETA">'[5]Dados Inadimplência'!$V$76:$AH$82</definedName>
    <definedName name="PCLDSEM">'[4]Dados Inadimplência'!$C$26:$N$45</definedName>
    <definedName name="PER">[6]ELEGIR!$B$19</definedName>
    <definedName name="Perdas_FBH">'[5]Dados Perdas e BH'!$A$8:$N$14</definedName>
    <definedName name="Perdas_FBH_Metas">'[5]Dados Perdas e BH'!$A$19:$N$25</definedName>
    <definedName name="personal">'[3]aom reg'!$W$13:$AE$19</definedName>
    <definedName name="personalcnd">'[3]aom reg'!$W$118</definedName>
    <definedName name="PICA" localSheetId="10">#REF!</definedName>
    <definedName name="PICA" localSheetId="9">#REF!</definedName>
    <definedName name="PICA" localSheetId="13">#REF!</definedName>
    <definedName name="PICA">#REF!</definedName>
    <definedName name="PICA1" localSheetId="13">#REF!</definedName>
    <definedName name="PICA1">#REF!</definedName>
    <definedName name="PLA">'[5]Estatisticas do Planejamento'!$A$34:$H$53</definedName>
    <definedName name="Plan_Rel_Capex">'[5]Dados de relacionamento'!$B$30:$O$37</definedName>
    <definedName name="Plan_Rel_Opex">'[5]Dados de relacionamento'!$B$21:$O$28</definedName>
    <definedName name="Planejado">'[20]Dados de relacionamento'!$B$15:$M$22</definedName>
    <definedName name="PM_ABC">'[5]Plano de Manutenção'!$X$92:$AD$119</definedName>
    <definedName name="PM_ANHEMBI">'[5]Plano de Manutenção'!$X$122:$AD$149</definedName>
    <definedName name="PM_CENTRO">'[5]Plano de Manutenção'!$X$152:$AD$179</definedName>
    <definedName name="PM_ELPA">'[5]Plano de Manutenção'!$X$272:$AD$299</definedName>
    <definedName name="PM_LESTE">'[5]Plano de Manutenção'!$X$182:$AD$209</definedName>
    <definedName name="PM_OESTE">'[5]Plano de Manutenção'!$X$212:$AD$239</definedName>
    <definedName name="PM_SUL">'[5]Plano de Manutenção'!$X$242:$AD$269</definedName>
    <definedName name="PONTOCONEX">'[4]Dados Must'!$C$4:$N$22</definedName>
    <definedName name="PORDIV" localSheetId="10">#REF!</definedName>
    <definedName name="PORDIV" localSheetId="9">#REF!</definedName>
    <definedName name="PORDIV" localSheetId="13">#REF!</definedName>
    <definedName name="PORDIV">#REF!</definedName>
    <definedName name="PPPP" localSheetId="13">#REF!</definedName>
    <definedName name="PPPP">#REF!</definedName>
    <definedName name="PR_AC">'[5]Dados Segurança'!$B$60:$I$64</definedName>
    <definedName name="PR_LM">'[5]Dados Segurança'!$B$53:$I$57</definedName>
    <definedName name="Prepago_Deuda">'[11]#¡REF'!$B$8</definedName>
    <definedName name="PREST" localSheetId="10">#REF!</definedName>
    <definedName name="PREST" localSheetId="9">#REF!</definedName>
    <definedName name="PREST" localSheetId="13">#REF!</definedName>
    <definedName name="PREST">#REF!</definedName>
    <definedName name="PRESTTOT" localSheetId="13">#REF!</definedName>
    <definedName name="PRESTTOT">#REF!</definedName>
    <definedName name="Prima_o_subsidio_de_alimentación" localSheetId="13">#REF!</definedName>
    <definedName name="Prima_o_subsidio_de_alimentación">#REF!</definedName>
    <definedName name="Print_Area_MI">#REF!</definedName>
    <definedName name="PROATIVPC">[4]DadosSeguranc!$D$324:$AC$365</definedName>
    <definedName name="PROATIVPP">[4]DadosSeguranc!$D$278:$AC$319</definedName>
    <definedName name="Procon">'[5]Dados Ouvidoria II'!$C$60:$O$66</definedName>
    <definedName name="PRODAT">'[4]Dados Prod Serv'!$B$9:$N$10</definedName>
    <definedName name="PRODBT">'[4]Dados Prod Serv'!$B$3:$N$4</definedName>
    <definedName name="PROG">[5]Cálculos_DM!$B$42:$O$49</definedName>
    <definedName name="prospfyu" localSheetId="10">#REF!</definedName>
    <definedName name="prospfyu" localSheetId="9">#REF!</definedName>
    <definedName name="prospfyu" localSheetId="13">#REF!</definedName>
    <definedName name="prospfyu">#REF!</definedName>
    <definedName name="prospindic" localSheetId="13">#REF!</definedName>
    <definedName name="prospindic">#REF!</definedName>
    <definedName name="Provisiones">'[11]#¡REF'!$B$18</definedName>
    <definedName name="PROYC" localSheetId="10">#REF!</definedName>
    <definedName name="PROYC" localSheetId="9">#REF!</definedName>
    <definedName name="PROYC" localSheetId="13">#REF!</definedName>
    <definedName name="PROYC">#REF!</definedName>
    <definedName name="PUBLICO">'[5]Dados Segurança'!$B$80:$I$82</definedName>
    <definedName name="q" localSheetId="10">[21]Hoja1!#REF!</definedName>
    <definedName name="q" localSheetId="9">[21]Hoja1!#REF!</definedName>
    <definedName name="q" localSheetId="3">[21]Hoja1!#REF!</definedName>
    <definedName name="q" localSheetId="13">[21]Hoja1!#REF!</definedName>
    <definedName name="q">[21]Hoja1!#REF!</definedName>
    <definedName name="qq" localSheetId="10" hidden="1">#REF!</definedName>
    <definedName name="qq" localSheetId="9" hidden="1">#REF!</definedName>
    <definedName name="qq" localSheetId="13" hidden="1">#REF!</definedName>
    <definedName name="qq" hidden="1">#REF!</definedName>
    <definedName name="qryActivs_USDxUnidadesConstructivas" localSheetId="13">#REF!</definedName>
    <definedName name="qryActivs_USDxUnidadesConstructivas">#REF!</definedName>
    <definedName name="qryVentasxOficina" localSheetId="13">#REF!</definedName>
    <definedName name="qryVentasxOficina">#REF!</definedName>
    <definedName name="rangosub">#REF!</definedName>
    <definedName name="RawData">#REF!</definedName>
    <definedName name="Realizado">'[20]Dados de relacionamento'!$B$25:$M$32</definedName>
    <definedName name="RECAUDO">'[11]#¡REF'!$B$45</definedName>
    <definedName name="recaudo_cartera">[3]Gráficas!$A$61:$H$64</definedName>
    <definedName name="Reclamacao">'[10]REFAT_GRUPO-B_ELPA'!$AW$3</definedName>
    <definedName name="RECLAMADO">'[5]Dados Faturamento'!$C$51:$N$57</definedName>
    <definedName name="Ref_Ano">'[5]Dados Faturamento'!$AV$11</definedName>
    <definedName name="Ref_Qtd_Fat">'[5]Dados Faturamento'!$AU$3</definedName>
    <definedName name="Ref_Qtd_Ree">'[5]Dados Faturamento'!$AV$3</definedName>
    <definedName name="Ref_Qtde_ConInt">'[5]Dados Faturamento'!$AY$3</definedName>
    <definedName name="Ref_Unidades">'[5]Dados Faturamento'!$AZ$14</definedName>
    <definedName name="referenc_margen_ebitda">'[3]PyG Año 00-01-02'!$A$278</definedName>
    <definedName name="REITERADAS">'[4]Dados de Ouvidoria'!$D$18:$P$31</definedName>
    <definedName name="REJE_RELIG">'[5]Indicadores Associados (2)'!$AI$19:$AV$46</definedName>
    <definedName name="RELACION_GASTOS_A.O.M" localSheetId="10">'[11]#¡REF'!#REF!</definedName>
    <definedName name="RELACION_GASTOS_A.O.M" localSheetId="9">'[11]#¡REF'!#REF!</definedName>
    <definedName name="RELACION_GASTOS_A.O.M">'[11]#¡REF'!#REF!</definedName>
    <definedName name="RELACION_GASTOS_A.O.M___STE">'[11]#¡REF'!$B$34</definedName>
    <definedName name="RELACION_GASTOS_A.O.M_TOTAL" localSheetId="10">'[11]#¡REF'!#REF!</definedName>
    <definedName name="RELACION_GASTOS_A.O.M_TOTAL" localSheetId="9">'[11]#¡REF'!#REF!</definedName>
    <definedName name="RELACION_GASTOS_A.O.M_TOTAL">'[11]#¡REF'!#REF!</definedName>
    <definedName name="remuneracicndmem">'[3]aom reg'!$B$23</definedName>
    <definedName name="ren" localSheetId="10">#REF!</definedName>
    <definedName name="ren" localSheetId="9">#REF!</definedName>
    <definedName name="ren" localSheetId="13">#REF!</definedName>
    <definedName name="ren">#REF!</definedName>
    <definedName name="rent" localSheetId="13">#REF!</definedName>
    <definedName name="rent">#REF!</definedName>
    <definedName name="rentafactores" localSheetId="13">#REF!</definedName>
    <definedName name="rentafactores">#REF!</definedName>
    <definedName name="RENTAL">#REF!</definedName>
    <definedName name="REP">#REF!</definedName>
    <definedName name="rep_Saldo_Bloqueado_Titulos">'[22]rep_Saldo Bloqueado'!$D$1:$H$1</definedName>
    <definedName name="rep_Saldo_Bloqueado_Tudo">'[22]rep_Saldo Bloqueado'!$D$1:$H$159</definedName>
    <definedName name="REPDIV" localSheetId="10">#REF!</definedName>
    <definedName name="REPDIV" localSheetId="9">#REF!</definedName>
    <definedName name="REPDIV" localSheetId="13">#REF!</definedName>
    <definedName name="REPDIV">#REF!</definedName>
    <definedName name="REPOCALC" localSheetId="13">#REF!</definedName>
    <definedName name="REPOCALC">#REF!</definedName>
    <definedName name="REPOPRO" localSheetId="13">#REF!</definedName>
    <definedName name="REPOPRO">#REF!</definedName>
    <definedName name="REPSUB">#REF!</definedName>
    <definedName name="requeri_de_efecti">'[14]graf indi'!$J$73</definedName>
    <definedName name="RESBCE" localSheetId="10">#REF!</definedName>
    <definedName name="RESBCE" localSheetId="9">#REF!</definedName>
    <definedName name="RESBCE" localSheetId="13">#REF!</definedName>
    <definedName name="RESBCE">#REF!</definedName>
    <definedName name="RESFYU" localSheetId="13">#REF!</definedName>
    <definedName name="RESFYU">#REF!</definedName>
    <definedName name="RESPYG" localSheetId="13">#REF!</definedName>
    <definedName name="RESPYG">#REF!</definedName>
    <definedName name="RESREL">#REF!</definedName>
    <definedName name="Resultado_no_operacional">'[11]#¡REF'!$B$25</definedName>
    <definedName name="Resumen" localSheetId="10" hidden="1">#REF!</definedName>
    <definedName name="Resumen" localSheetId="9" hidden="1">#REF!</definedName>
    <definedName name="Resumen" localSheetId="13" hidden="1">#REF!</definedName>
    <definedName name="Resumen" hidden="1">#REF!</definedName>
    <definedName name="Resumen_por_Gerencia" localSheetId="13">#REF!</definedName>
    <definedName name="Resumen_por_Gerencia">#REF!</definedName>
    <definedName name="Resumen_PyG" localSheetId="13">#REF!</definedName>
    <definedName name="Resumen_PyG">#REF!</definedName>
    <definedName name="Resumen_Total">#REF!</definedName>
    <definedName name="RESUMO">'[23]NGs. BANCO DADOS'!#REF!</definedName>
    <definedName name="RESUMO_GERAL" localSheetId="10">#REF!</definedName>
    <definedName name="RESUMO_GERAL" localSheetId="9">#REF!</definedName>
    <definedName name="RESUMO_GERAL" localSheetId="13">#REF!</definedName>
    <definedName name="RESUMO_GERAL">#REF!</definedName>
    <definedName name="Retroativa">'[5]Dados Perdas RAA'!$A$9:$N$15</definedName>
    <definedName name="Retroativa_Meta">'[5]Dados Perdas RAA'!$A$87:$N$93</definedName>
    <definedName name="RFP" localSheetId="10">#REF!</definedName>
    <definedName name="RFP" localSheetId="9">#REF!</definedName>
    <definedName name="RFP" localSheetId="13">#REF!</definedName>
    <definedName name="RFP">#REF!</definedName>
    <definedName name="RFPC" localSheetId="13">#REF!</definedName>
    <definedName name="RFPC">#REF!</definedName>
    <definedName name="RFTITLE" localSheetId="13">#REF!</definedName>
    <definedName name="RFTITLE">#REF!</definedName>
    <definedName name="RTRETERTERTERTERT">#REF!</definedName>
    <definedName name="RU">'[5]Indicadores Associados (2)'!$C$19:$P$46</definedName>
    <definedName name="Saldo">'[11]#¡REF'!$B$9</definedName>
    <definedName name="Saldo_Bloqueado_Ano" localSheetId="10">[24]Dados_Saldo_Bloq!#REF!</definedName>
    <definedName name="Saldo_Bloqueado_Ano" localSheetId="9">[24]Dados_Saldo_Bloq!#REF!</definedName>
    <definedName name="Saldo_Bloqueado_Ano">[24]Dados_Saldo_Bloq!#REF!</definedName>
    <definedName name="Saldo_Bloqueado_Bloqueado_Contas" localSheetId="10">[24]Dados_Saldo_Bloq!#REF!</definedName>
    <definedName name="Saldo_Bloqueado_Bloqueado_Contas" localSheetId="9">[24]Dados_Saldo_Bloq!#REF!</definedName>
    <definedName name="Saldo_Bloqueado_Bloqueado_Contas">[24]Dados_Saldo_Bloq!#REF!</definedName>
    <definedName name="Saldo_Bloqueado_Bloqueado_Valor" localSheetId="10">[24]Dados_Saldo_Bloq!#REF!</definedName>
    <definedName name="Saldo_Bloqueado_Bloqueado_Valor" localSheetId="9">[24]Dados_Saldo_Bloq!#REF!</definedName>
    <definedName name="Saldo_Bloqueado_Bloqueado_Valor">[24]Dados_Saldo_Bloq!#REF!</definedName>
    <definedName name="Saldo_Bloqueado_Mes" localSheetId="10">[24]Dados_Saldo_Bloq!#REF!</definedName>
    <definedName name="Saldo_Bloqueado_Mes" localSheetId="9">[24]Dados_Saldo_Bloq!#REF!</definedName>
    <definedName name="Saldo_Bloqueado_Mes">[24]Dados_Saldo_Bloq!#REF!</definedName>
    <definedName name="Saldo_Bloqueado_Unidade_Anhembi">[24]Dados_Saldo_Bloq!#REF!</definedName>
    <definedName name="Saldo_Bloqueado_Unidade_Centro">[24]Dados_Saldo_Bloq!#REF!</definedName>
    <definedName name="Saldo_Bloqueado_Unidade_Grande_ABC">[24]Dados_Saldo_Bloq!#REF!</definedName>
    <definedName name="Saldo_Bloqueado_Unidade_Oeste">[24]Dados_Saldo_Bloq!#REF!</definedName>
    <definedName name="Saldo_Bloqueado_Unidade_Portal_Leste_Trabalhadores">[24]Dados_Saldo_Bloq!#REF!</definedName>
    <definedName name="Saldo_Bloqueado_Unidade_Sao_Paulo">[24]Dados_Saldo_Bloq!#REF!</definedName>
    <definedName name="Saldo_Inicial">'[11]#¡REF'!$B$49</definedName>
    <definedName name="saldodeuda" localSheetId="10">#REF!</definedName>
    <definedName name="saldodeuda" localSheetId="9">#REF!</definedName>
    <definedName name="saldodeuda" localSheetId="13">#REF!</definedName>
    <definedName name="saldodeuda">#REF!</definedName>
    <definedName name="sasasas" localSheetId="13">#REF!</definedName>
    <definedName name="sasasas">#REF!</definedName>
    <definedName name="SCREEN" localSheetId="13">#REF!</definedName>
    <definedName name="SCREEN">#REF!</definedName>
    <definedName name="SDSDSDSD">#REF!</definedName>
    <definedName name="SEG_CONTR">'[5]Dados Segurança'!$A$39:$Q$44</definedName>
    <definedName name="SEG_PED">'[5]Indicadores Associados (2)'!$S$19:$AF$46</definedName>
    <definedName name="Seg_Pedidor_05">'[5]2º 3º pedidos'!$D$33:$P$39</definedName>
    <definedName name="Seg_Pedidos_04">'[5]2º 3º pedidos'!$D$24:$P$30</definedName>
    <definedName name="SEG_PROP">'[5]Dados Segurança'!$A$32:$Q$37</definedName>
    <definedName name="SEG_PUBL">'[5]Dados Segurança'!$A$46:$Q$49</definedName>
    <definedName name="SEGACPP">[4]DadosSeguranc!$C$140:$AB$183</definedName>
    <definedName name="SEGDIST">[4]DadosSeguranc!$C$139:$AB$179</definedName>
    <definedName name="SEGNATCR">[4]DadosSeguranc!$B$234:$CN$257</definedName>
    <definedName name="SEGNATPR">[4]DadosSeguranc!$B$207:$CN$230</definedName>
    <definedName name="SEGPC">[4]DadosSeguranc!$AF$140:$BE$183</definedName>
    <definedName name="SEGPED">'[4]Dados Call Center'!$C$2:$O$19</definedName>
    <definedName name="SEGPUBL">[4]DadosSeguranc!$B$376:$CA$379</definedName>
    <definedName name="SEGPUBLTIPO">[4]DadosSeguranc!$B$418:$CA$438</definedName>
    <definedName name="SEGTRESPED">'[4]Dados de Ouvidoria'!$D$34:$P$51</definedName>
    <definedName name="SEGUROS_GG" localSheetId="10">#REF!</definedName>
    <definedName name="SEGUROS_GG" localSheetId="9">#REF!</definedName>
    <definedName name="SEGUROS_GG" localSheetId="13">#REF!</definedName>
    <definedName name="SEGUROS_GG">#REF!</definedName>
    <definedName name="sensibilidad_deval">'[9]#¡REF'!$C$67:$S$75</definedName>
    <definedName name="sensibilidad_ipc">'[9]#¡REF'!$C$67:$L$71</definedName>
    <definedName name="SENSIBILIDADES" localSheetId="10">#REF!</definedName>
    <definedName name="SENSIBILIDADES" localSheetId="9">#REF!</definedName>
    <definedName name="SENSIBILIDADES" localSheetId="13">#REF!</definedName>
    <definedName name="SENSIBILIDADES">#REF!</definedName>
    <definedName name="Servicio_de_la_Deuda">'[11]#¡REF'!$B$55</definedName>
    <definedName name="SERVICIOS_PERSONALES" localSheetId="10">#REF!</definedName>
    <definedName name="SERVICIOS_PERSONALES" localSheetId="9">#REF!</definedName>
    <definedName name="SERVICIOS_PERSONALES" localSheetId="13">#REF!</definedName>
    <definedName name="SERVICIOS_PERSONALES">#REF!</definedName>
    <definedName name="SERVIÇOS" localSheetId="13">#REF!</definedName>
    <definedName name="SERVIÇOS">#REF!</definedName>
    <definedName name="SGRAL" localSheetId="13">#REF!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 localSheetId="10">#REF!</definedName>
    <definedName name="SI" localSheetId="9">#REF!</definedName>
    <definedName name="SI">#REF!</definedName>
    <definedName name="snofactexpo" localSheetId="10">#REF!</definedName>
    <definedName name="snofactexpo" localSheetId="9">#REF!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'[9]#¡REF'!$C$45:$C$46</definedName>
    <definedName name="SPOT_JPY">'[9]#¡REF'!$D$45:$D$46</definedName>
    <definedName name="subordinadas">[14]Subordinadas!$A$2:$G$45</definedName>
    <definedName name="SUBT_EXT">[5]Cálculos_DM!$B$22:$O$29</definedName>
    <definedName name="SUBT_INT">[5]Cálculos_DM!$B$32:$O$39</definedName>
    <definedName name="Sueldos_del__Personal" localSheetId="10">#REF!</definedName>
    <definedName name="Sueldos_del__Personal" localSheetId="9">#REF!</definedName>
    <definedName name="Sueldos_del__Personal" localSheetId="13">#REF!</definedName>
    <definedName name="Sueldos_del__Personal">#REF!</definedName>
    <definedName name="supexpo" localSheetId="13">#REF!</definedName>
    <definedName name="supexpo">#REF!</definedName>
    <definedName name="supimpo" localSheetId="13">#REF!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'[5]Dados Agencias'!$Q$27:$AD$75</definedName>
    <definedName name="TAB_TMA">'[5]Dados Agencias'!$AF$27:$AS$75</definedName>
    <definedName name="Tab_TME">'[5]Dados Agencias'!$B$27:$O$75</definedName>
    <definedName name="TABLA_FWDS">'[9]#¡REF'!$C$87:$I$107</definedName>
    <definedName name="TABLA_FWDS_COPIA">'[9]#¡REF'!$C$64:$I$84</definedName>
    <definedName name="TablaHistorico" hidden="1">'[9]#¡REF'!$A$702:$B$3684</definedName>
    <definedName name="TABLE" localSheetId="10">#REF!</definedName>
    <definedName name="TABLE" localSheetId="9">#REF!</definedName>
    <definedName name="TABLE" localSheetId="13">#REF!</definedName>
    <definedName name="TABLE">#REF!</definedName>
    <definedName name="TABLE_2" localSheetId="13">#REF!</definedName>
    <definedName name="TABLE_2">#REF!</definedName>
    <definedName name="TARIFAS" localSheetId="13">#REF!</definedName>
    <definedName name="TARIFAS">#REF!</definedName>
    <definedName name="TASA">#REF!</definedName>
    <definedName name="TASATOT">#REF!</definedName>
    <definedName name="TCD_META">'[5]Dados Perdas'!$AG$36:$AS$42</definedName>
    <definedName name="TCD_REAL">'[5]Dados Perdas'!$AG$26:$AS$32</definedName>
    <definedName name="TD">[6]ELEGIR!$D$7</definedName>
    <definedName name="TELEC" localSheetId="10">#REF!</definedName>
    <definedName name="TELEC" localSheetId="9">#REF!</definedName>
    <definedName name="TELEC" localSheetId="13">#REF!</definedName>
    <definedName name="TELEC">#REF!</definedName>
    <definedName name="Tempo_Medio_CE">'[5]Dados de relacionamento'!$B$130:$N$136</definedName>
    <definedName name="Tempo_Medio_LN">'[5]Dados de relacionamento'!$B$48:$N$54</definedName>
    <definedName name="Tempo_Medio_RL">'[5]Dados de relacionamento'!$B$73:$N$79</definedName>
    <definedName name="Tempo_Medio_RLU">'[5]Dados de relacionamento'!$B$98:$N$104</definedName>
    <definedName name="Tempo_Medio_SE">'[5]Dados de relacionamento'!$B$152:$N$158</definedName>
    <definedName name="TEMPORAL" localSheetId="10">#REF!</definedName>
    <definedName name="TEMPORAL" localSheetId="9">#REF!</definedName>
    <definedName name="TEMPORAL" localSheetId="13">#REF!</definedName>
    <definedName name="TEMPORAL">#REF!</definedName>
    <definedName name="Ter_Pedidos_04">'[5]2º 3º pedidos'!$D$52:$P$58</definedName>
    <definedName name="Ter_Pedidos_05">'[5]2º 3º pedidos'!$D$61:$P$67</definedName>
    <definedName name="TERCER_PLAN_DE_TRANSMISION" localSheetId="10">#REF!</definedName>
    <definedName name="TERCER_PLAN_DE_TRANSMISION" localSheetId="9">#REF!</definedName>
    <definedName name="TERCER_PLAN_DE_TRANSMISION" localSheetId="13">#REF!</definedName>
    <definedName name="TERCER_PLAN_DE_TRANSMISION">#REF!</definedName>
    <definedName name="TERCPED">'[4]Dados Call Center'!$S$2:$AE$19</definedName>
    <definedName name="TEST0" localSheetId="10">#REF!</definedName>
    <definedName name="TEST0" localSheetId="9">#REF!</definedName>
    <definedName name="TEST0" localSheetId="13">#REF!</definedName>
    <definedName name="TEST0">#REF!</definedName>
    <definedName name="TEST1" localSheetId="13">#REF!</definedName>
    <definedName name="TEST1">#REF!</definedName>
    <definedName name="TEST2" localSheetId="13">#REF!</definedName>
    <definedName name="TEST2">#REF!</definedName>
    <definedName name="TESTHKEY">#REF!</definedName>
    <definedName name="TESTKEYS">#REF!</definedName>
    <definedName name="TESTVKEY">#REF!</definedName>
    <definedName name="TGTFCONTRAT">[4]DadosSeguranc!$G$70:$S$135</definedName>
    <definedName name="TGTFPROP">[4]DadosSeguranc!$G$2:$S$67</definedName>
    <definedName name="TIME1" localSheetId="10">#REF!</definedName>
    <definedName name="TIME1" localSheetId="9">#REF!</definedName>
    <definedName name="TIME1" localSheetId="13">#REF!</definedName>
    <definedName name="TIME1">#REF!</definedName>
    <definedName name="TIME2" localSheetId="13">#REF!</definedName>
    <definedName name="TIME2">#REF!</definedName>
    <definedName name="_xlnm.Print_Titles" localSheetId="9">'Consolidated Debt Credits'!#REF!</definedName>
    <definedName name="TMA">'[4]Dados DEC e FEC'!$D$247:$Q$258</definedName>
    <definedName name="TME">'[4]Dados Ind Com'!$D$16:$P$39</definedName>
    <definedName name="TME_GERAL" localSheetId="10">#REF!</definedName>
    <definedName name="TME_GERAL" localSheetId="9">#REF!</definedName>
    <definedName name="TME_GERAL" localSheetId="13">#REF!</definedName>
    <definedName name="TME_GERAL">#REF!</definedName>
    <definedName name="TME_MEDIA" localSheetId="13">#REF!</definedName>
    <definedName name="TME_MEDIA">#REF!</definedName>
    <definedName name="TME_NEG" localSheetId="13">#REF!</definedName>
    <definedName name="TME_NEG">#REF!</definedName>
    <definedName name="TME_PREF">#REF!</definedName>
    <definedName name="TME_TOI">#REF!</definedName>
    <definedName name="TML">'[4]Dados Ind Com'!$D$95:$P$118</definedName>
    <definedName name="TMR">'[4]Dados Ind Com'!$D$43:$P$66</definedName>
    <definedName name="TMRU">'[4]Dados Ind Com'!$D$69:$P$92</definedName>
    <definedName name="TMS">'[4]Dados Ind Com'!$D$2:$P$13</definedName>
    <definedName name="TNOV">'[4]Dados DEC e FEC'!$D$261:$P$272</definedName>
    <definedName name="TNOVENTA">'[4]Dados DEC e FEC'!$D$261:$Q$272</definedName>
    <definedName name="TOI_META">'[5]Dados Perdas'!$R$36:$AD$42</definedName>
    <definedName name="TOI_REAL">'[5]Dados Perdas'!$R$26:$AD$32</definedName>
    <definedName name="torres">[3]Gráficas!$A$55:$H$57</definedName>
    <definedName name="TOTAL">[5]Cálculos_DM!$B$12:$O$19</definedName>
    <definedName name="TOTAL_CI">'[5]Dados Faturamento'!$C$41:$N$47</definedName>
    <definedName name="TOTAL_FAT">'[5]Dados Faturamento'!$C$21:$N$27</definedName>
    <definedName name="TOTAL_ISA" localSheetId="10">#REF!</definedName>
    <definedName name="TOTAL_ISA" localSheetId="9">#REF!</definedName>
    <definedName name="TOTAL_ISA" localSheetId="13">#REF!</definedName>
    <definedName name="TOTAL_ISA">#REF!</definedName>
    <definedName name="TOTAL_RECLAM">'[5]Dados Faturamento'!$C$51:$N$57</definedName>
    <definedName name="TOTAL_REFAT">'[5]Dados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13">#REF!,#REF!,#REF!,#REF!,#REF!,#REF!,#REF!,#REF!,#REF!,#REF!,#REF!,#REF!,#REF!,#REF!,#REF!,#REF!,#REF!,#REF!,#REF!,#REF!,#REF!,#REF!,#REF!,#REF!,#REF!,#REF!,#REF!,#REF!,#REF!,#REF!,#REF!,#REF!,#REF!,#REF!,#REF!,#REF!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13">#REF!</definedName>
    <definedName name="transferencias">#REF!</definedName>
    <definedName name="TSFR2" localSheetId="13">#REF!</definedName>
    <definedName name="TSFR2">#REF!</definedName>
    <definedName name="TSFR3" localSheetId="13">#REF!</definedName>
    <definedName name="TSFR3">#REF!</definedName>
    <definedName name="TTE">#REF!</definedName>
    <definedName name="TXARREC">'[4]Dados Inadimplência'!$C$75:$N$92</definedName>
    <definedName name="TXARRECMETA">'[5]Dados Inadimplência'!$V$67:$AH$73</definedName>
    <definedName name="Unidad" localSheetId="10">[19]Datos!#REF!</definedName>
    <definedName name="Unidad" localSheetId="9">[19]Datos!#REF!</definedName>
    <definedName name="Unidad" localSheetId="3">[19]Datos!#REF!</definedName>
    <definedName name="Unidad" localSheetId="13">[19]Datos!#REF!</definedName>
    <definedName name="Unidad">[19]Datos!#REF!</definedName>
    <definedName name="Unidade">'[7]Cadastro Trafos'!$W$3:$W$8</definedName>
    <definedName name="UNO" localSheetId="10">#REF!</definedName>
    <definedName name="UNO" localSheetId="9">#REF!</definedName>
    <definedName name="UNO" localSheetId="13">#REF!</definedName>
    <definedName name="UNO">#REF!</definedName>
    <definedName name="UPS" localSheetId="10">'[16]Dados Work'!#REF!</definedName>
    <definedName name="UPS" localSheetId="9">'[16]Dados Work'!#REF!</definedName>
    <definedName name="UPS" localSheetId="13">'[16]Dados Work'!#REF!</definedName>
    <definedName name="UPS">'[16]Dados Work'!#REF!</definedName>
    <definedName name="UPSOPER07" localSheetId="10">#REF!</definedName>
    <definedName name="UPSOPER07" localSheetId="9">#REF!</definedName>
    <definedName name="UPSOPER07" localSheetId="13">#REF!</definedName>
    <definedName name="UPSOPER07">#REF!</definedName>
    <definedName name="UPSPERD07" localSheetId="13">#REF!</definedName>
    <definedName name="UPSPERD07">#REF!</definedName>
    <definedName name="UPSSUB07" localSheetId="13">#REF!</definedName>
    <definedName name="UPSSUB07">#REF!</definedName>
    <definedName name="UPSUNDER07">#REF!</definedName>
    <definedName name="Utilidad_antes_de_C.M.">'[11]#¡REF'!$B$26</definedName>
    <definedName name="Utilidad_Neta">'[11]#¡REF'!$B$29</definedName>
    <definedName name="Utilidad_Operacional">'[11]#¡REF'!$B$19</definedName>
    <definedName name="v" localSheetId="10">#REF!</definedName>
    <definedName name="v" localSheetId="9">#REF!</definedName>
    <definedName name="v" localSheetId="13">#REF!</definedName>
    <definedName name="v">#REF!</definedName>
    <definedName name="VALOR_DEP" localSheetId="13">#REF!</definedName>
    <definedName name="VALOR_DEP">#REF!</definedName>
    <definedName name="VALUE">'[4]Dados RiscoEnergia'!$F$3:$Q$4</definedName>
    <definedName name="VOL_EUR">'[9]#¡REF'!$C$48</definedName>
    <definedName name="VOL_JPY">'[9]#¡REF'!$D$48</definedName>
    <definedName name="WH" localSheetId="10">#REF!</definedName>
    <definedName name="WH" localSheetId="9">#REF!</definedName>
    <definedName name="WH" localSheetId="13">#REF!</definedName>
    <definedName name="WH">#REF!</definedName>
    <definedName name="workganho" localSheetId="13">#REF!</definedName>
    <definedName name="workganho">#REF!</definedName>
    <definedName name="WORKSHEET" localSheetId="13">#REF!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89" i="5" l="1"/>
  <c r="W192" i="5" s="1"/>
  <c r="W195" i="5" s="1"/>
  <c r="W177" i="5"/>
  <c r="W184" i="5" s="1"/>
  <c r="W165" i="5"/>
  <c r="W156" i="5"/>
  <c r="W157" i="5" s="1"/>
  <c r="W149" i="5"/>
  <c r="W138" i="5"/>
  <c r="W139" i="5" s="1"/>
  <c r="W130" i="5"/>
  <c r="W166" i="5" l="1"/>
  <c r="W267" i="3" l="1"/>
  <c r="W257" i="3"/>
  <c r="W248" i="3"/>
  <c r="W258" i="3" s="1"/>
  <c r="W268" i="3" s="1"/>
  <c r="W236" i="3"/>
  <c r="W235" i="3"/>
  <c r="W219" i="3"/>
  <c r="T252" i="25" l="1"/>
  <c r="T253" i="25" s="1"/>
  <c r="T238" i="25"/>
  <c r="T220" i="25"/>
  <c r="T199" i="25"/>
  <c r="T200" i="25" s="1"/>
  <c r="T195" i="25"/>
  <c r="T182" i="25"/>
  <c r="T156" i="25"/>
  <c r="T146" i="25"/>
  <c r="T145" i="25"/>
  <c r="T152" i="25" s="1"/>
  <c r="T155" i="25" s="1"/>
  <c r="T159" i="25" s="1"/>
  <c r="T161" i="25" s="1"/>
  <c r="T139" i="25"/>
  <c r="T138" i="25"/>
  <c r="T134" i="25"/>
  <c r="T76" i="25"/>
  <c r="T77" i="25" s="1"/>
  <c r="T61" i="25"/>
  <c r="T34" i="25"/>
  <c r="T24" i="25"/>
  <c r="T16" i="25"/>
  <c r="T15" i="25"/>
  <c r="T23" i="25" s="1"/>
  <c r="T30" i="25" s="1"/>
  <c r="T33" i="25" s="1"/>
  <c r="T38" i="25" s="1"/>
  <c r="T40" i="25" s="1"/>
  <c r="T8" i="25"/>
  <c r="T105" i="3" l="1"/>
  <c r="T103" i="3"/>
  <c r="C18" i="27" l="1"/>
  <c r="T15" i="3" l="1"/>
  <c r="T20" i="3" s="1"/>
  <c r="T23" i="3" s="1"/>
  <c r="T26" i="3" s="1"/>
  <c r="T87" i="3"/>
  <c r="T77" i="3"/>
  <c r="T68" i="3"/>
  <c r="T78" i="3" s="1"/>
  <c r="T88" i="3" s="1"/>
  <c r="T56" i="3"/>
  <c r="T41" i="3"/>
  <c r="T57" i="3" l="1"/>
  <c r="T89" i="3"/>
  <c r="T103" i="2"/>
  <c r="T101" i="2"/>
  <c r="T91" i="2"/>
  <c r="T81" i="2"/>
  <c r="T92" i="2" s="1"/>
  <c r="T104" i="2" s="1"/>
  <c r="T68" i="2"/>
  <c r="T51" i="2"/>
  <c r="T69" i="2" s="1"/>
  <c r="F12" i="28" l="1"/>
  <c r="T248" i="5" l="1"/>
  <c r="T239" i="5"/>
  <c r="T233" i="5"/>
  <c r="T240" i="5" s="1"/>
  <c r="T249" i="5" s="1"/>
  <c r="T218" i="5"/>
  <c r="T211" i="5"/>
  <c r="T219" i="5" s="1"/>
  <c r="T183" i="5"/>
  <c r="T184" i="5" s="1"/>
  <c r="T189" i="5" s="1"/>
  <c r="T192" i="5" s="1"/>
  <c r="T195" i="5" s="1"/>
  <c r="T165" i="5"/>
  <c r="T157" i="5"/>
  <c r="T166" i="5" s="1"/>
  <c r="T156" i="5"/>
  <c r="T149" i="5"/>
  <c r="T138" i="5"/>
  <c r="T130" i="5"/>
  <c r="T139" i="5" s="1"/>
  <c r="T103" i="5"/>
  <c r="T97" i="5"/>
  <c r="T104" i="5" s="1"/>
  <c r="T109" i="5" s="1"/>
  <c r="T112" i="5" s="1"/>
  <c r="T115" i="5" s="1"/>
  <c r="T85" i="5"/>
  <c r="T75" i="5"/>
  <c r="T68" i="5"/>
  <c r="T76" i="5" s="1"/>
  <c r="T86" i="5" s="1"/>
  <c r="T58" i="5"/>
  <c r="T47" i="5"/>
  <c r="T59" i="5" s="1"/>
  <c r="T21" i="5"/>
  <c r="T17" i="5"/>
  <c r="T22" i="5" s="1"/>
  <c r="T25" i="5" s="1"/>
  <c r="T28" i="5" s="1"/>
  <c r="T16" i="5"/>
  <c r="N22" i="24" l="1"/>
  <c r="M22" i="24"/>
  <c r="H21" i="29" l="1"/>
  <c r="G21" i="29"/>
  <c r="F21" i="29"/>
  <c r="E21" i="29"/>
  <c r="D21" i="29"/>
  <c r="C21" i="29"/>
  <c r="H17" i="29"/>
  <c r="G17" i="29"/>
  <c r="F17" i="29"/>
  <c r="E17" i="29"/>
  <c r="D17" i="29"/>
  <c r="C17" i="29"/>
  <c r="H13" i="29"/>
  <c r="G13" i="29"/>
  <c r="F13" i="29"/>
  <c r="E13" i="29"/>
  <c r="D13" i="29"/>
  <c r="C13" i="29"/>
  <c r="H9" i="29"/>
  <c r="G9" i="29"/>
  <c r="F9" i="29"/>
  <c r="E9" i="29"/>
  <c r="D9" i="29"/>
  <c r="C9" i="29"/>
  <c r="H7" i="29"/>
  <c r="G7" i="29"/>
  <c r="F7" i="29"/>
  <c r="E7" i="29"/>
  <c r="D7" i="29"/>
  <c r="C7" i="29"/>
  <c r="C5" i="29" s="1"/>
  <c r="H6" i="29"/>
  <c r="H5" i="29" s="1"/>
  <c r="G6" i="29"/>
  <c r="F6" i="29"/>
  <c r="F5" i="29" s="1"/>
  <c r="E6" i="29"/>
  <c r="E5" i="29" s="1"/>
  <c r="D6" i="29"/>
  <c r="C6" i="29"/>
  <c r="G5" i="29"/>
  <c r="D5" i="29"/>
  <c r="N126" i="24" l="1"/>
  <c r="M126" i="24"/>
  <c r="N80" i="24"/>
  <c r="M80" i="24"/>
  <c r="N57" i="24"/>
  <c r="M57" i="24"/>
  <c r="N8" i="24"/>
  <c r="M8" i="24"/>
  <c r="N71" i="23"/>
  <c r="M71" i="23"/>
  <c r="N55" i="23"/>
  <c r="M55" i="23"/>
  <c r="N41" i="23"/>
  <c r="M41" i="23"/>
  <c r="N8" i="23"/>
  <c r="M8" i="23"/>
  <c r="N189" i="24" l="1"/>
  <c r="N93" i="23"/>
  <c r="M93" i="23"/>
  <c r="M189" i="24"/>
  <c r="S86" i="3"/>
  <c r="S87" i="3" s="1"/>
  <c r="S77" i="3"/>
  <c r="S62" i="3"/>
  <c r="S68" i="3" s="1"/>
  <c r="S56" i="3"/>
  <c r="S41" i="3"/>
  <c r="Q87" i="3"/>
  <c r="Q77" i="3"/>
  <c r="Q68" i="3"/>
  <c r="Q56" i="3"/>
  <c r="Q41" i="3"/>
  <c r="Q57" i="3" s="1"/>
  <c r="S15" i="3"/>
  <c r="S20" i="3" s="1"/>
  <c r="S23" i="3" s="1"/>
  <c r="S26" i="3" s="1"/>
  <c r="Q15" i="3"/>
  <c r="Q20" i="3" s="1"/>
  <c r="Q23" i="3" s="1"/>
  <c r="Q26" i="3" s="1"/>
  <c r="O22" i="3"/>
  <c r="N22" i="3"/>
  <c r="O18" i="3"/>
  <c r="O20" i="3" s="1"/>
  <c r="O23" i="3" s="1"/>
  <c r="O26" i="3" s="1"/>
  <c r="N18" i="3"/>
  <c r="N20" i="3" s="1"/>
  <c r="N23" i="3" s="1"/>
  <c r="N26" i="3" s="1"/>
  <c r="M18" i="3"/>
  <c r="M20" i="3" s="1"/>
  <c r="M23" i="3" s="1"/>
  <c r="M26" i="3" s="1"/>
  <c r="S78" i="3" l="1"/>
  <c r="Q78" i="3"/>
  <c r="Q88" i="3" s="1"/>
  <c r="S57" i="3"/>
  <c r="S88" i="3"/>
  <c r="Q89" i="3"/>
  <c r="S18" i="2" l="1"/>
  <c r="S20" i="2" s="1"/>
  <c r="S10" i="2"/>
  <c r="N34" i="2"/>
  <c r="M34" i="2"/>
  <c r="N31" i="2"/>
  <c r="M31" i="2"/>
  <c r="O25" i="2"/>
  <c r="O24" i="2"/>
  <c r="N24" i="2"/>
  <c r="M24" i="2"/>
  <c r="O23" i="2"/>
  <c r="O20" i="2"/>
  <c r="N20" i="2"/>
  <c r="M20" i="2"/>
  <c r="N19" i="2"/>
  <c r="O12" i="2"/>
  <c r="N12" i="2"/>
  <c r="M12" i="2"/>
  <c r="O10" i="2"/>
  <c r="O21" i="2" s="1"/>
  <c r="O26" i="2" s="1"/>
  <c r="O29" i="2" s="1"/>
  <c r="O32" i="2" s="1"/>
  <c r="O35" i="2" s="1"/>
  <c r="M10" i="2"/>
  <c r="M21" i="2" s="1"/>
  <c r="M26" i="2" s="1"/>
  <c r="M29" i="2" s="1"/>
  <c r="M32" i="2" s="1"/>
  <c r="M35" i="2" s="1"/>
  <c r="N8" i="2"/>
  <c r="N10" i="2" s="1"/>
  <c r="N21" i="2" s="1"/>
  <c r="N26" i="2" s="1"/>
  <c r="N29" i="2" s="1"/>
  <c r="N32" i="2" s="1"/>
  <c r="N35" i="2" s="1"/>
  <c r="M8" i="2"/>
  <c r="S21" i="2" l="1"/>
  <c r="S26" i="2" s="1"/>
  <c r="S29" i="2" s="1"/>
  <c r="S32" i="2" s="1"/>
  <c r="S35" i="2" s="1"/>
  <c r="P101" i="2" l="1"/>
  <c r="P103" i="2" s="1"/>
  <c r="P100" i="2"/>
  <c r="P92" i="2"/>
  <c r="P104" i="2" s="1"/>
  <c r="P105" i="2" s="1"/>
  <c r="P91" i="2"/>
  <c r="P81" i="2"/>
  <c r="P67" i="2"/>
  <c r="P59" i="2"/>
  <c r="P68" i="2" s="1"/>
  <c r="P69" i="2" s="1"/>
  <c r="P51" i="2"/>
  <c r="S101" i="2"/>
  <c r="S103" i="2" s="1"/>
  <c r="S91" i="2"/>
  <c r="S81" i="2"/>
  <c r="S92" i="2" s="1"/>
  <c r="S104" i="2" s="1"/>
  <c r="S68" i="2"/>
  <c r="S69" i="2" s="1"/>
  <c r="S51" i="2"/>
  <c r="S105" i="2" l="1"/>
  <c r="F16" i="26" l="1"/>
  <c r="F17" i="26" s="1"/>
  <c r="F22" i="26" s="1"/>
  <c r="F25" i="26" s="1"/>
  <c r="F28" i="26" s="1"/>
  <c r="F10" i="26"/>
  <c r="F94" i="26" l="1"/>
  <c r="F92" i="26"/>
  <c r="F81" i="26"/>
  <c r="F82" i="26" s="1"/>
  <c r="F83" i="26" s="1"/>
  <c r="F93" i="26" s="1"/>
  <c r="F72" i="26"/>
  <c r="F59" i="26"/>
  <c r="F43" i="26"/>
  <c r="F60" i="26" s="1"/>
  <c r="S252" i="25" l="1"/>
  <c r="S238" i="25"/>
  <c r="S220" i="25"/>
  <c r="S199" i="25"/>
  <c r="S195" i="25"/>
  <c r="S182" i="25"/>
  <c r="S161" i="25"/>
  <c r="S156" i="25"/>
  <c r="S146" i="25"/>
  <c r="S139" i="25"/>
  <c r="S138" i="25"/>
  <c r="S145" i="25" s="1"/>
  <c r="S134" i="25"/>
  <c r="S124" i="25"/>
  <c r="S112" i="25"/>
  <c r="S96" i="25"/>
  <c r="S76" i="25"/>
  <c r="S61" i="25"/>
  <c r="S34" i="25"/>
  <c r="S24" i="25"/>
  <c r="S16" i="25"/>
  <c r="S15" i="25"/>
  <c r="S8" i="25"/>
  <c r="S200" i="25" l="1"/>
  <c r="S23" i="25"/>
  <c r="S30" i="25" s="1"/>
  <c r="S33" i="25" s="1"/>
  <c r="S38" i="25" s="1"/>
  <c r="S40" i="25" s="1"/>
  <c r="S253" i="25"/>
  <c r="S126" i="25"/>
  <c r="S152" i="25"/>
  <c r="S155" i="25" s="1"/>
  <c r="S77" i="25"/>
  <c r="C11" i="27" l="1"/>
  <c r="R252" i="25" l="1"/>
  <c r="Q252" i="25"/>
  <c r="P252" i="25"/>
  <c r="O252" i="25"/>
  <c r="N252" i="25"/>
  <c r="M252" i="25"/>
  <c r="L252" i="25"/>
  <c r="K252" i="25"/>
  <c r="J252" i="25"/>
  <c r="I252" i="25"/>
  <c r="H252" i="25"/>
  <c r="G252" i="25"/>
  <c r="F252" i="25"/>
  <c r="E252" i="25"/>
  <c r="D252" i="25"/>
  <c r="C252" i="25"/>
  <c r="R238" i="25"/>
  <c r="Q238" i="25"/>
  <c r="P238" i="25"/>
  <c r="O238" i="25"/>
  <c r="N238" i="25"/>
  <c r="M238" i="25"/>
  <c r="L238" i="25"/>
  <c r="K238" i="25"/>
  <c r="J238" i="25"/>
  <c r="I238" i="25"/>
  <c r="H238" i="25"/>
  <c r="G238" i="25"/>
  <c r="F238" i="25"/>
  <c r="E238" i="25"/>
  <c r="D238" i="25"/>
  <c r="C238" i="25"/>
  <c r="R220" i="25"/>
  <c r="Q220" i="25"/>
  <c r="P220" i="25"/>
  <c r="O220" i="25"/>
  <c r="N220" i="25"/>
  <c r="M220" i="25"/>
  <c r="L220" i="25"/>
  <c r="K220" i="25"/>
  <c r="J220" i="25"/>
  <c r="I220" i="25"/>
  <c r="H220" i="25"/>
  <c r="G220" i="25"/>
  <c r="F220" i="25"/>
  <c r="E220" i="25"/>
  <c r="D220" i="25"/>
  <c r="C220" i="25"/>
  <c r="R199" i="25"/>
  <c r="Q199" i="25"/>
  <c r="P199" i="25"/>
  <c r="O199" i="25"/>
  <c r="N199" i="25"/>
  <c r="M199" i="25"/>
  <c r="L199" i="25"/>
  <c r="K199" i="25"/>
  <c r="J199" i="25"/>
  <c r="I199" i="25"/>
  <c r="H199" i="25"/>
  <c r="G199" i="25"/>
  <c r="F199" i="25"/>
  <c r="E199" i="25"/>
  <c r="D199" i="25"/>
  <c r="C199" i="25"/>
  <c r="R195" i="25"/>
  <c r="Q195" i="25"/>
  <c r="P195" i="25"/>
  <c r="O195" i="25"/>
  <c r="N195" i="25"/>
  <c r="M195" i="25"/>
  <c r="L195" i="25"/>
  <c r="K195" i="25"/>
  <c r="J195" i="25"/>
  <c r="I195" i="25"/>
  <c r="H195" i="25"/>
  <c r="G195" i="25"/>
  <c r="F195" i="25"/>
  <c r="E195" i="25"/>
  <c r="D195" i="25"/>
  <c r="C195" i="25"/>
  <c r="R182" i="25"/>
  <c r="Q182" i="25"/>
  <c r="P182" i="25"/>
  <c r="O182" i="25"/>
  <c r="N182" i="25"/>
  <c r="M182" i="25"/>
  <c r="L182" i="25"/>
  <c r="K182" i="25"/>
  <c r="J182" i="25"/>
  <c r="I182" i="25"/>
  <c r="H182" i="25"/>
  <c r="G182" i="25"/>
  <c r="F182" i="25"/>
  <c r="E182" i="25"/>
  <c r="D182" i="25"/>
  <c r="C182" i="25"/>
  <c r="Q156" i="25"/>
  <c r="P156" i="25"/>
  <c r="O156" i="25"/>
  <c r="N156" i="25"/>
  <c r="M156" i="25"/>
  <c r="L156" i="25"/>
  <c r="K156" i="25"/>
  <c r="J156" i="25"/>
  <c r="I156" i="25"/>
  <c r="H156" i="25"/>
  <c r="G156" i="25"/>
  <c r="F156" i="25"/>
  <c r="E156" i="25"/>
  <c r="D156" i="25"/>
  <c r="C156" i="25"/>
  <c r="Q146" i="25"/>
  <c r="P146" i="25"/>
  <c r="O146" i="25"/>
  <c r="N146" i="25"/>
  <c r="M146" i="25"/>
  <c r="L146" i="25"/>
  <c r="K146" i="25"/>
  <c r="J146" i="25"/>
  <c r="I146" i="25"/>
  <c r="H146" i="25"/>
  <c r="G146" i="25"/>
  <c r="F146" i="25"/>
  <c r="D146" i="25"/>
  <c r="C146" i="25"/>
  <c r="R139" i="25"/>
  <c r="Q139" i="25"/>
  <c r="P139" i="25"/>
  <c r="O139" i="25"/>
  <c r="N139" i="25"/>
  <c r="M139" i="25"/>
  <c r="L139" i="25"/>
  <c r="K139" i="25"/>
  <c r="J139" i="25"/>
  <c r="I139" i="25"/>
  <c r="H139" i="25"/>
  <c r="G139" i="25"/>
  <c r="F139" i="25"/>
  <c r="E139" i="25"/>
  <c r="D139" i="25"/>
  <c r="C139" i="25"/>
  <c r="R138" i="25"/>
  <c r="R145" i="25" s="1"/>
  <c r="R152" i="25" s="1"/>
  <c r="R155" i="25" s="1"/>
  <c r="R159" i="25" s="1"/>
  <c r="R161" i="25" s="1"/>
  <c r="Q138" i="25"/>
  <c r="Q145" i="25" s="1"/>
  <c r="P138" i="25"/>
  <c r="P145" i="25" s="1"/>
  <c r="P152" i="25" s="1"/>
  <c r="P155" i="25" s="1"/>
  <c r="P159" i="25" s="1"/>
  <c r="P161" i="25" s="1"/>
  <c r="O138" i="25"/>
  <c r="O145" i="25" s="1"/>
  <c r="O152" i="25" s="1"/>
  <c r="O155" i="25" s="1"/>
  <c r="O159" i="25" s="1"/>
  <c r="O161" i="25" s="1"/>
  <c r="N138" i="25"/>
  <c r="N145" i="25" s="1"/>
  <c r="N152" i="25" s="1"/>
  <c r="N155" i="25" s="1"/>
  <c r="N159" i="25" s="1"/>
  <c r="N161" i="25" s="1"/>
  <c r="M138" i="25"/>
  <c r="M145" i="25" s="1"/>
  <c r="M152" i="25" s="1"/>
  <c r="M155" i="25" s="1"/>
  <c r="M159" i="25" s="1"/>
  <c r="M161" i="25" s="1"/>
  <c r="L138" i="25"/>
  <c r="L145" i="25" s="1"/>
  <c r="L152" i="25" s="1"/>
  <c r="L155" i="25" s="1"/>
  <c r="L159" i="25" s="1"/>
  <c r="L161" i="25" s="1"/>
  <c r="K138" i="25"/>
  <c r="K145" i="25" s="1"/>
  <c r="K152" i="25" s="1"/>
  <c r="K155" i="25" s="1"/>
  <c r="K159" i="25" s="1"/>
  <c r="K161" i="25" s="1"/>
  <c r="J138" i="25"/>
  <c r="J145" i="25" s="1"/>
  <c r="J152" i="25" s="1"/>
  <c r="J155" i="25" s="1"/>
  <c r="I138" i="25"/>
  <c r="I145" i="25" s="1"/>
  <c r="H138" i="25"/>
  <c r="G138" i="25"/>
  <c r="G145" i="25" s="1"/>
  <c r="G152" i="25" s="1"/>
  <c r="G155" i="25" s="1"/>
  <c r="G159" i="25" s="1"/>
  <c r="G161" i="25" s="1"/>
  <c r="F138" i="25"/>
  <c r="F145" i="25" s="1"/>
  <c r="F152" i="25" s="1"/>
  <c r="F155" i="25" s="1"/>
  <c r="F159" i="25" s="1"/>
  <c r="F161" i="25" s="1"/>
  <c r="E138" i="25"/>
  <c r="E145" i="25" s="1"/>
  <c r="E152" i="25" s="1"/>
  <c r="E155" i="25" s="1"/>
  <c r="E159" i="25" s="1"/>
  <c r="E161" i="25" s="1"/>
  <c r="D138" i="25"/>
  <c r="D145" i="25" s="1"/>
  <c r="D152" i="25" s="1"/>
  <c r="D155" i="25" s="1"/>
  <c r="D159" i="25" s="1"/>
  <c r="D161" i="25" s="1"/>
  <c r="C138" i="25"/>
  <c r="C145" i="25" s="1"/>
  <c r="C152" i="25" s="1"/>
  <c r="C155" i="25" s="1"/>
  <c r="C159" i="25" s="1"/>
  <c r="C161" i="25" s="1"/>
  <c r="Q134" i="25"/>
  <c r="P134" i="25"/>
  <c r="O134" i="25"/>
  <c r="N134" i="25"/>
  <c r="M134" i="25"/>
  <c r="L134" i="25"/>
  <c r="K134" i="25"/>
  <c r="J134" i="25"/>
  <c r="I134" i="25"/>
  <c r="H134" i="25"/>
  <c r="G134" i="25"/>
  <c r="F134" i="25"/>
  <c r="E134" i="25"/>
  <c r="R124" i="25"/>
  <c r="Q124" i="25"/>
  <c r="P124" i="25"/>
  <c r="O124" i="25"/>
  <c r="N124" i="25"/>
  <c r="M124" i="25"/>
  <c r="L124" i="25"/>
  <c r="K124" i="25"/>
  <c r="J124" i="25"/>
  <c r="I124" i="25"/>
  <c r="H124" i="25"/>
  <c r="G124" i="25"/>
  <c r="F124" i="25"/>
  <c r="E124" i="25"/>
  <c r="D124" i="25"/>
  <c r="C124" i="25"/>
  <c r="R112" i="25"/>
  <c r="Q112" i="25"/>
  <c r="P112" i="25"/>
  <c r="O112" i="25"/>
  <c r="N112" i="25"/>
  <c r="M112" i="25"/>
  <c r="L112" i="25"/>
  <c r="K112" i="25"/>
  <c r="J112" i="25"/>
  <c r="I112" i="25"/>
  <c r="H112" i="25"/>
  <c r="G112" i="25"/>
  <c r="F112" i="25"/>
  <c r="E112" i="25"/>
  <c r="D112" i="25"/>
  <c r="C112" i="25"/>
  <c r="R96" i="25"/>
  <c r="Q96" i="25"/>
  <c r="P96" i="25"/>
  <c r="O96" i="25"/>
  <c r="N96" i="25"/>
  <c r="M96" i="25"/>
  <c r="L96" i="25"/>
  <c r="K96" i="25"/>
  <c r="J96" i="25"/>
  <c r="I96" i="25"/>
  <c r="H96" i="25"/>
  <c r="G96" i="25"/>
  <c r="F96" i="25"/>
  <c r="E96" i="25"/>
  <c r="D96" i="25"/>
  <c r="C96" i="25"/>
  <c r="R76" i="25"/>
  <c r="Q76" i="25"/>
  <c r="P76" i="25"/>
  <c r="O76" i="25"/>
  <c r="N76" i="25"/>
  <c r="M76" i="25"/>
  <c r="L76" i="25"/>
  <c r="K76" i="25"/>
  <c r="J76" i="25"/>
  <c r="I76" i="25"/>
  <c r="H76" i="25"/>
  <c r="G76" i="25"/>
  <c r="F76" i="25"/>
  <c r="E76" i="25"/>
  <c r="D76" i="25"/>
  <c r="C76" i="25"/>
  <c r="R61" i="25"/>
  <c r="Q61" i="25"/>
  <c r="P61" i="25"/>
  <c r="O61" i="25"/>
  <c r="N61" i="25"/>
  <c r="M61" i="25"/>
  <c r="L61" i="25"/>
  <c r="K61" i="25"/>
  <c r="J61" i="25"/>
  <c r="I61" i="25"/>
  <c r="H61" i="25"/>
  <c r="G61" i="25"/>
  <c r="F61" i="25"/>
  <c r="E61" i="25"/>
  <c r="D61" i="25"/>
  <c r="C61" i="25"/>
  <c r="Q34" i="25"/>
  <c r="P34" i="25"/>
  <c r="O34" i="25"/>
  <c r="N34" i="25"/>
  <c r="M34" i="25"/>
  <c r="L34" i="25"/>
  <c r="K34" i="25"/>
  <c r="J34" i="25"/>
  <c r="I34" i="25"/>
  <c r="H34" i="25"/>
  <c r="G34" i="25"/>
  <c r="F34" i="25"/>
  <c r="E34" i="25"/>
  <c r="D34" i="25"/>
  <c r="C34" i="25"/>
  <c r="R24" i="25"/>
  <c r="Q24" i="25"/>
  <c r="P24" i="25"/>
  <c r="O24" i="25"/>
  <c r="N24" i="25"/>
  <c r="M24" i="25"/>
  <c r="L24" i="25"/>
  <c r="K24" i="25"/>
  <c r="J24" i="25"/>
  <c r="I24" i="25"/>
  <c r="H24" i="25"/>
  <c r="G24" i="25"/>
  <c r="F24" i="25"/>
  <c r="E24" i="25"/>
  <c r="D24" i="25"/>
  <c r="C24" i="25"/>
  <c r="Q16" i="25"/>
  <c r="P16" i="25"/>
  <c r="O16" i="25"/>
  <c r="N16" i="25"/>
  <c r="M16" i="25"/>
  <c r="L16" i="25"/>
  <c r="K16" i="25"/>
  <c r="J16" i="25"/>
  <c r="I16" i="25"/>
  <c r="H16" i="25"/>
  <c r="G16" i="25"/>
  <c r="F16" i="25"/>
  <c r="E16" i="25"/>
  <c r="D16" i="25"/>
  <c r="C16" i="25"/>
  <c r="R15" i="25"/>
  <c r="R23" i="25" s="1"/>
  <c r="R30" i="25" s="1"/>
  <c r="R33" i="25" s="1"/>
  <c r="R38" i="25" s="1"/>
  <c r="R40" i="25" s="1"/>
  <c r="Q15" i="25"/>
  <c r="Q23" i="25" s="1"/>
  <c r="Q30" i="25" s="1"/>
  <c r="Q33" i="25" s="1"/>
  <c r="Q38" i="25" s="1"/>
  <c r="Q40" i="25" s="1"/>
  <c r="P15" i="25"/>
  <c r="O15" i="25"/>
  <c r="O23" i="25" s="1"/>
  <c r="O30" i="25" s="1"/>
  <c r="O33" i="25" s="1"/>
  <c r="O38" i="25" s="1"/>
  <c r="O40" i="25" s="1"/>
  <c r="N15" i="25"/>
  <c r="N23" i="25" s="1"/>
  <c r="N30" i="25" s="1"/>
  <c r="N33" i="25" s="1"/>
  <c r="N38" i="25" s="1"/>
  <c r="N40" i="25" s="1"/>
  <c r="M15" i="25"/>
  <c r="M23" i="25" s="1"/>
  <c r="M30" i="25" s="1"/>
  <c r="M33" i="25" s="1"/>
  <c r="M38" i="25" s="1"/>
  <c r="M40" i="25" s="1"/>
  <c r="L15" i="25"/>
  <c r="L23" i="25" s="1"/>
  <c r="L30" i="25" s="1"/>
  <c r="L33" i="25" s="1"/>
  <c r="L38" i="25" s="1"/>
  <c r="L40" i="25" s="1"/>
  <c r="K15" i="25"/>
  <c r="K23" i="25" s="1"/>
  <c r="K30" i="25" s="1"/>
  <c r="K33" i="25" s="1"/>
  <c r="K38" i="25" s="1"/>
  <c r="K40" i="25" s="1"/>
  <c r="J15" i="25"/>
  <c r="J23" i="25" s="1"/>
  <c r="J30" i="25" s="1"/>
  <c r="J33" i="25" s="1"/>
  <c r="J38" i="25" s="1"/>
  <c r="J40" i="25" s="1"/>
  <c r="I15" i="25"/>
  <c r="I23" i="25" s="1"/>
  <c r="I30" i="25" s="1"/>
  <c r="I33" i="25" s="1"/>
  <c r="I38" i="25" s="1"/>
  <c r="I40" i="25" s="1"/>
  <c r="H15" i="25"/>
  <c r="H23" i="25" s="1"/>
  <c r="H30" i="25" s="1"/>
  <c r="H33" i="25" s="1"/>
  <c r="H38" i="25" s="1"/>
  <c r="H40" i="25" s="1"/>
  <c r="G15" i="25"/>
  <c r="G23" i="25" s="1"/>
  <c r="G30" i="25" s="1"/>
  <c r="G33" i="25" s="1"/>
  <c r="G38" i="25" s="1"/>
  <c r="G40" i="25" s="1"/>
  <c r="F15" i="25"/>
  <c r="F23" i="25" s="1"/>
  <c r="F30" i="25" s="1"/>
  <c r="F33" i="25" s="1"/>
  <c r="F38" i="25" s="1"/>
  <c r="F40" i="25" s="1"/>
  <c r="E15" i="25"/>
  <c r="E23" i="25" s="1"/>
  <c r="E30" i="25" s="1"/>
  <c r="E33" i="25" s="1"/>
  <c r="E38" i="25" s="1"/>
  <c r="E40" i="25" s="1"/>
  <c r="D15" i="25"/>
  <c r="D23" i="25" s="1"/>
  <c r="D30" i="25" s="1"/>
  <c r="D33" i="25" s="1"/>
  <c r="D38" i="25" s="1"/>
  <c r="D40" i="25" s="1"/>
  <c r="C15" i="25"/>
  <c r="C23" i="25" s="1"/>
  <c r="C30" i="25" s="1"/>
  <c r="C33" i="25" s="1"/>
  <c r="C38" i="25" s="1"/>
  <c r="C40" i="25" s="1"/>
  <c r="Q8" i="25"/>
  <c r="P8" i="25"/>
  <c r="O8" i="25"/>
  <c r="N8" i="25"/>
  <c r="M8" i="25"/>
  <c r="L8" i="25"/>
  <c r="K8" i="25"/>
  <c r="P23" i="25" l="1"/>
  <c r="P30" i="25" s="1"/>
  <c r="P33" i="25" s="1"/>
  <c r="P38" i="25" s="1"/>
  <c r="P40" i="25" s="1"/>
  <c r="M77" i="25"/>
  <c r="H145" i="25"/>
  <c r="H152" i="25" s="1"/>
  <c r="H155" i="25" s="1"/>
  <c r="H159" i="25" s="1"/>
  <c r="H161" i="25" s="1"/>
  <c r="F77" i="25"/>
  <c r="N77" i="25"/>
  <c r="F126" i="25"/>
  <c r="N126" i="25"/>
  <c r="I152" i="25"/>
  <c r="I155" i="25" s="1"/>
  <c r="I159" i="25" s="1"/>
  <c r="I161" i="25" s="1"/>
  <c r="Q152" i="25"/>
  <c r="Q155" i="25" s="1"/>
  <c r="Q159" i="25" s="1"/>
  <c r="Q161" i="25" s="1"/>
  <c r="D200" i="25"/>
  <c r="L200" i="25"/>
  <c r="D253" i="25"/>
  <c r="L253" i="25"/>
  <c r="E77" i="25"/>
  <c r="G77" i="25"/>
  <c r="O77" i="25"/>
  <c r="G126" i="25"/>
  <c r="O126" i="25"/>
  <c r="J159" i="25"/>
  <c r="J161" i="25" s="1"/>
  <c r="E200" i="25"/>
  <c r="M200" i="25"/>
  <c r="E253" i="25"/>
  <c r="M253" i="25"/>
  <c r="C253" i="25"/>
  <c r="H77" i="25"/>
  <c r="P77" i="25"/>
  <c r="H126" i="25"/>
  <c r="P126" i="25"/>
  <c r="F200" i="25"/>
  <c r="N200" i="25"/>
  <c r="F253" i="25"/>
  <c r="N253" i="25"/>
  <c r="M126" i="25"/>
  <c r="M127" i="25" s="1"/>
  <c r="K200" i="25"/>
  <c r="I77" i="25"/>
  <c r="Q77" i="25"/>
  <c r="I126" i="25"/>
  <c r="Q126" i="25"/>
  <c r="G200" i="25"/>
  <c r="O200" i="25"/>
  <c r="G253" i="25"/>
  <c r="O253" i="25"/>
  <c r="E126" i="25"/>
  <c r="J77" i="25"/>
  <c r="R77" i="25"/>
  <c r="J126" i="25"/>
  <c r="R126" i="25"/>
  <c r="H200" i="25"/>
  <c r="P200" i="25"/>
  <c r="H253" i="25"/>
  <c r="P253" i="25"/>
  <c r="K253" i="25"/>
  <c r="C77" i="25"/>
  <c r="K77" i="25"/>
  <c r="C126" i="25"/>
  <c r="C127" i="25" s="1"/>
  <c r="K126" i="25"/>
  <c r="I200" i="25"/>
  <c r="Q200" i="25"/>
  <c r="I253" i="25"/>
  <c r="Q253" i="25"/>
  <c r="C200" i="25"/>
  <c r="C254" i="25" s="1"/>
  <c r="D77" i="25"/>
  <c r="L77" i="25"/>
  <c r="D126" i="25"/>
  <c r="L126" i="25"/>
  <c r="J200" i="25"/>
  <c r="R200" i="25"/>
  <c r="J253" i="25"/>
  <c r="R253" i="25"/>
  <c r="F127" i="25"/>
  <c r="P127" i="25"/>
  <c r="R254" i="25" l="1"/>
  <c r="G127" i="25"/>
  <c r="L127" i="25"/>
  <c r="K127" i="25"/>
  <c r="O127" i="25"/>
  <c r="I127" i="25"/>
  <c r="R127" i="25"/>
  <c r="N127" i="25"/>
  <c r="J127" i="25"/>
  <c r="Q127" i="25"/>
  <c r="L254" i="25"/>
  <c r="J254" i="25"/>
  <c r="Q254" i="25"/>
  <c r="K254" i="25"/>
  <c r="D254" i="25"/>
  <c r="E127" i="25"/>
  <c r="H127" i="25"/>
  <c r="D127" i="25"/>
  <c r="H254" i="25"/>
  <c r="O254" i="25"/>
  <c r="P254" i="25"/>
  <c r="G254" i="25"/>
  <c r="N254" i="25"/>
  <c r="F254" i="25"/>
  <c r="M254" i="25"/>
  <c r="I254" i="25"/>
  <c r="E254" i="25"/>
  <c r="D94" i="26"/>
  <c r="E94" i="26"/>
  <c r="C94" i="26"/>
  <c r="Q105" i="2" l="1"/>
  <c r="R105" i="2"/>
  <c r="H191" i="5" l="1"/>
  <c r="N184" i="5"/>
  <c r="N189" i="5" s="1"/>
  <c r="N192" i="5" s="1"/>
  <c r="N195" i="5" s="1"/>
  <c r="I184" i="5"/>
  <c r="I189" i="5" s="1"/>
  <c r="I192" i="5" s="1"/>
  <c r="I195" i="5" s="1"/>
  <c r="F184" i="5"/>
  <c r="F189" i="5" s="1"/>
  <c r="F192" i="5" s="1"/>
  <c r="F195" i="5" s="1"/>
  <c r="Q183" i="5"/>
  <c r="Q184" i="5" s="1"/>
  <c r="Q189" i="5" s="1"/>
  <c r="Q192" i="5" s="1"/>
  <c r="Q195" i="5" s="1"/>
  <c r="P183" i="5"/>
  <c r="P184" i="5" s="1"/>
  <c r="P189" i="5" s="1"/>
  <c r="P192" i="5" s="1"/>
  <c r="P195" i="5" s="1"/>
  <c r="N183" i="5"/>
  <c r="M183" i="5"/>
  <c r="L183" i="5"/>
  <c r="K183" i="5"/>
  <c r="J183" i="5"/>
  <c r="I183" i="5"/>
  <c r="H183" i="5"/>
  <c r="G183" i="5"/>
  <c r="G184" i="5" s="1"/>
  <c r="G189" i="5" s="1"/>
  <c r="G192" i="5" s="1"/>
  <c r="G195" i="5" s="1"/>
  <c r="F183" i="5"/>
  <c r="E183" i="5"/>
  <c r="D183" i="5"/>
  <c r="C183" i="5"/>
  <c r="N177" i="5"/>
  <c r="M177" i="5"/>
  <c r="M184" i="5" s="1"/>
  <c r="M189" i="5" s="1"/>
  <c r="M192" i="5" s="1"/>
  <c r="M195" i="5" s="1"/>
  <c r="L177" i="5"/>
  <c r="L184" i="5" s="1"/>
  <c r="L189" i="5" s="1"/>
  <c r="L192" i="5" s="1"/>
  <c r="L195" i="5" s="1"/>
  <c r="K177" i="5"/>
  <c r="K184" i="5" s="1"/>
  <c r="K189" i="5" s="1"/>
  <c r="K192" i="5" s="1"/>
  <c r="K195" i="5" s="1"/>
  <c r="J177" i="5"/>
  <c r="J184" i="5" s="1"/>
  <c r="J189" i="5" s="1"/>
  <c r="J192" i="5" s="1"/>
  <c r="J195" i="5" s="1"/>
  <c r="I177" i="5"/>
  <c r="H177" i="5"/>
  <c r="H184" i="5" s="1"/>
  <c r="H189" i="5" s="1"/>
  <c r="H192" i="5" s="1"/>
  <c r="H195" i="5" s="1"/>
  <c r="G177" i="5"/>
  <c r="F177" i="5"/>
  <c r="E177" i="5"/>
  <c r="E184" i="5" s="1"/>
  <c r="E189" i="5" s="1"/>
  <c r="E192" i="5" s="1"/>
  <c r="E195" i="5" s="1"/>
  <c r="D177" i="5"/>
  <c r="D184" i="5" s="1"/>
  <c r="D189" i="5" s="1"/>
  <c r="C177" i="5"/>
  <c r="C184" i="5" s="1"/>
  <c r="C189" i="5" s="1"/>
  <c r="N167" i="5"/>
  <c r="M167" i="5"/>
  <c r="L167" i="5"/>
  <c r="K167" i="5"/>
  <c r="J167" i="5"/>
  <c r="I167" i="5"/>
  <c r="H167" i="5"/>
  <c r="G167" i="5"/>
  <c r="F167" i="5"/>
  <c r="E167" i="5"/>
  <c r="D167" i="5"/>
  <c r="C167" i="5"/>
  <c r="Q165" i="5"/>
  <c r="P165" i="5"/>
  <c r="Q156" i="5"/>
  <c r="P156" i="5"/>
  <c r="Q149" i="5"/>
  <c r="Q157" i="5" s="1"/>
  <c r="Q166" i="5" s="1"/>
  <c r="P146" i="5"/>
  <c r="P149" i="5" s="1"/>
  <c r="P157" i="5" s="1"/>
  <c r="P166" i="5" s="1"/>
  <c r="Q138" i="5"/>
  <c r="P138" i="5"/>
  <c r="Q130" i="5"/>
  <c r="Q139" i="5" s="1"/>
  <c r="Q167" i="5" s="1"/>
  <c r="P130" i="5"/>
  <c r="P139" i="5" s="1"/>
  <c r="P167" i="5" s="1"/>
  <c r="L111" i="5"/>
  <c r="N108" i="5"/>
  <c r="M108" i="5"/>
  <c r="H108" i="5"/>
  <c r="Q104" i="5"/>
  <c r="Q109" i="5" s="1"/>
  <c r="Q112" i="5" s="1"/>
  <c r="Q115" i="5" s="1"/>
  <c r="H104" i="5"/>
  <c r="H109" i="5" s="1"/>
  <c r="H112" i="5" s="1"/>
  <c r="H115" i="5" s="1"/>
  <c r="Q103" i="5"/>
  <c r="P103" i="5"/>
  <c r="N103" i="5"/>
  <c r="N104" i="5" s="1"/>
  <c r="N109" i="5" s="1"/>
  <c r="N112" i="5" s="1"/>
  <c r="N115" i="5" s="1"/>
  <c r="M103" i="5"/>
  <c r="L103" i="5"/>
  <c r="K103" i="5"/>
  <c r="J103" i="5"/>
  <c r="I103" i="5"/>
  <c r="H103" i="5"/>
  <c r="G103" i="5"/>
  <c r="F103" i="5"/>
  <c r="F104" i="5" s="1"/>
  <c r="F109" i="5" s="1"/>
  <c r="F112" i="5" s="1"/>
  <c r="F115" i="5" s="1"/>
  <c r="E103" i="5"/>
  <c r="D103" i="5"/>
  <c r="C103" i="5"/>
  <c r="D102" i="5"/>
  <c r="Q97" i="5"/>
  <c r="P97" i="5"/>
  <c r="P104" i="5" s="1"/>
  <c r="P109" i="5" s="1"/>
  <c r="P112" i="5" s="1"/>
  <c r="P115" i="5" s="1"/>
  <c r="N97" i="5"/>
  <c r="M97" i="5"/>
  <c r="M104" i="5" s="1"/>
  <c r="M109" i="5" s="1"/>
  <c r="M112" i="5" s="1"/>
  <c r="M115" i="5" s="1"/>
  <c r="L97" i="5"/>
  <c r="L104" i="5" s="1"/>
  <c r="L109" i="5" s="1"/>
  <c r="L112" i="5" s="1"/>
  <c r="L115" i="5" s="1"/>
  <c r="K97" i="5"/>
  <c r="K104" i="5" s="1"/>
  <c r="K109" i="5" s="1"/>
  <c r="K112" i="5" s="1"/>
  <c r="K115" i="5" s="1"/>
  <c r="J97" i="5"/>
  <c r="J104" i="5" s="1"/>
  <c r="J109" i="5" s="1"/>
  <c r="J112" i="5" s="1"/>
  <c r="J115" i="5" s="1"/>
  <c r="I97" i="5"/>
  <c r="I104" i="5" s="1"/>
  <c r="I109" i="5" s="1"/>
  <c r="I112" i="5" s="1"/>
  <c r="I115" i="5" s="1"/>
  <c r="H97" i="5"/>
  <c r="G97" i="5"/>
  <c r="G104" i="5" s="1"/>
  <c r="G109" i="5" s="1"/>
  <c r="G112" i="5" s="1"/>
  <c r="G115" i="5" s="1"/>
  <c r="F97" i="5"/>
  <c r="E97" i="5"/>
  <c r="E104" i="5" s="1"/>
  <c r="E109" i="5" s="1"/>
  <c r="E112" i="5" s="1"/>
  <c r="E115" i="5" s="1"/>
  <c r="D97" i="5"/>
  <c r="D104" i="5" s="1"/>
  <c r="D109" i="5" s="1"/>
  <c r="D112" i="5" s="1"/>
  <c r="D115" i="5" s="1"/>
  <c r="C97" i="5"/>
  <c r="C104" i="5" s="1"/>
  <c r="C109" i="5" s="1"/>
  <c r="C112" i="5" s="1"/>
  <c r="C115" i="5" s="1"/>
  <c r="N87" i="5"/>
  <c r="M87" i="5"/>
  <c r="L87" i="5"/>
  <c r="K87" i="5"/>
  <c r="J87" i="5"/>
  <c r="I87" i="5"/>
  <c r="H87" i="5"/>
  <c r="G87" i="5"/>
  <c r="F87" i="5"/>
  <c r="E87" i="5"/>
  <c r="D87" i="5"/>
  <c r="C87" i="5"/>
  <c r="Q85" i="5"/>
  <c r="P85" i="5"/>
  <c r="P76" i="5"/>
  <c r="P86" i="5" s="1"/>
  <c r="Q75" i="5"/>
  <c r="P75" i="5"/>
  <c r="Q68" i="5"/>
  <c r="Q76" i="5" s="1"/>
  <c r="Q86" i="5" s="1"/>
  <c r="P68" i="5"/>
  <c r="P59" i="5"/>
  <c r="P87" i="5" s="1"/>
  <c r="Q58" i="5"/>
  <c r="P58" i="5"/>
  <c r="Q47" i="5"/>
  <c r="Q59" i="5" s="1"/>
  <c r="Q87" i="5" s="1"/>
  <c r="P47" i="5"/>
  <c r="M24" i="5"/>
  <c r="L24" i="5"/>
  <c r="J24" i="5"/>
  <c r="P21" i="5"/>
  <c r="K17" i="5"/>
  <c r="K22" i="5" s="1"/>
  <c r="K25" i="5" s="1"/>
  <c r="K28" i="5" s="1"/>
  <c r="C17" i="5"/>
  <c r="C22" i="5" s="1"/>
  <c r="C25" i="5" s="1"/>
  <c r="C28" i="5" s="1"/>
  <c r="C88" i="5" s="1"/>
  <c r="Q16" i="5"/>
  <c r="P16" i="5"/>
  <c r="N16" i="5"/>
  <c r="M16" i="5"/>
  <c r="L16" i="5"/>
  <c r="K16" i="5"/>
  <c r="J16" i="5"/>
  <c r="I16" i="5"/>
  <c r="I17" i="5" s="1"/>
  <c r="I22" i="5" s="1"/>
  <c r="I25" i="5" s="1"/>
  <c r="I28" i="5" s="1"/>
  <c r="H16" i="5"/>
  <c r="G16" i="5"/>
  <c r="F16" i="5"/>
  <c r="E16" i="5"/>
  <c r="D16" i="5"/>
  <c r="C16" i="5"/>
  <c r="L15" i="5"/>
  <c r="Q10" i="5"/>
  <c r="Q17" i="5" s="1"/>
  <c r="Q22" i="5" s="1"/>
  <c r="Q25" i="5" s="1"/>
  <c r="Q28" i="5" s="1"/>
  <c r="P10" i="5"/>
  <c r="P17" i="5" s="1"/>
  <c r="P22" i="5" s="1"/>
  <c r="P25" i="5" s="1"/>
  <c r="P28" i="5" s="1"/>
  <c r="N10" i="5"/>
  <c r="N17" i="5" s="1"/>
  <c r="N22" i="5" s="1"/>
  <c r="N25" i="5" s="1"/>
  <c r="N28" i="5" s="1"/>
  <c r="M10" i="5"/>
  <c r="M17" i="5" s="1"/>
  <c r="M22" i="5" s="1"/>
  <c r="M25" i="5" s="1"/>
  <c r="M28" i="5" s="1"/>
  <c r="L10" i="5"/>
  <c r="L17" i="5" s="1"/>
  <c r="L22" i="5" s="1"/>
  <c r="L25" i="5" s="1"/>
  <c r="L28" i="5" s="1"/>
  <c r="K10" i="5"/>
  <c r="J10" i="5"/>
  <c r="J17" i="5" s="1"/>
  <c r="J22" i="5" s="1"/>
  <c r="J25" i="5" s="1"/>
  <c r="J28" i="5" s="1"/>
  <c r="I10" i="5"/>
  <c r="H10" i="5"/>
  <c r="H17" i="5" s="1"/>
  <c r="H22" i="5" s="1"/>
  <c r="H25" i="5" s="1"/>
  <c r="H28" i="5" s="1"/>
  <c r="G10" i="5"/>
  <c r="G17" i="5" s="1"/>
  <c r="G22" i="5" s="1"/>
  <c r="G25" i="5" s="1"/>
  <c r="G28" i="5" s="1"/>
  <c r="G88" i="5" s="1"/>
  <c r="F10" i="5"/>
  <c r="F17" i="5" s="1"/>
  <c r="F22" i="5" s="1"/>
  <c r="F25" i="5" s="1"/>
  <c r="F28" i="5" s="1"/>
  <c r="E10" i="5"/>
  <c r="E17" i="5" s="1"/>
  <c r="E22" i="5" s="1"/>
  <c r="E25" i="5" s="1"/>
  <c r="E28" i="5" s="1"/>
  <c r="D10" i="5"/>
  <c r="D17" i="5" s="1"/>
  <c r="D22" i="5" s="1"/>
  <c r="D25" i="5" s="1"/>
  <c r="D28" i="5" s="1"/>
  <c r="D88" i="5" s="1"/>
  <c r="C10" i="5"/>
  <c r="K88" i="5" l="1"/>
  <c r="L88" i="5"/>
  <c r="H88" i="5"/>
  <c r="F88" i="5"/>
  <c r="E88" i="5"/>
  <c r="N88" i="5"/>
  <c r="M88" i="5"/>
  <c r="D172" i="5"/>
  <c r="D192" i="5"/>
  <c r="D195" i="5" s="1"/>
  <c r="C192" i="5"/>
  <c r="C195" i="5" s="1"/>
  <c r="C172" i="5"/>
  <c r="I88" i="5"/>
  <c r="J88" i="5"/>
  <c r="D92" i="26" l="1"/>
  <c r="C92" i="26"/>
  <c r="D82" i="26"/>
  <c r="C82" i="26"/>
  <c r="D72" i="26"/>
  <c r="D83" i="26" s="1"/>
  <c r="D93" i="26" s="1"/>
  <c r="C72" i="26"/>
  <c r="C83" i="26" s="1"/>
  <c r="C93" i="26" s="1"/>
  <c r="D60" i="26"/>
  <c r="D59" i="26"/>
  <c r="C59" i="26"/>
  <c r="D43" i="26"/>
  <c r="C43" i="26"/>
  <c r="C60" i="26" s="1"/>
  <c r="C27" i="26"/>
  <c r="C21" i="26"/>
  <c r="C19" i="26"/>
  <c r="D17" i="26"/>
  <c r="D22" i="26" s="1"/>
  <c r="D25" i="26" s="1"/>
  <c r="D28" i="26" s="1"/>
  <c r="D16" i="26"/>
  <c r="C12" i="26"/>
  <c r="C13" i="26" s="1"/>
  <c r="D10" i="26"/>
  <c r="C9" i="26"/>
  <c r="C15" i="26" s="1"/>
  <c r="C8" i="26"/>
  <c r="C10" i="26" s="1"/>
  <c r="C16" i="26" l="1"/>
  <c r="C17" i="26" s="1"/>
  <c r="C22" i="26" s="1"/>
  <c r="C25" i="26" s="1"/>
  <c r="C28" i="26" s="1"/>
  <c r="Q103" i="2" l="1"/>
  <c r="Q104" i="2" s="1"/>
  <c r="Q101" i="2"/>
  <c r="Q81" i="2"/>
  <c r="Q68" i="2"/>
  <c r="Q51" i="2"/>
  <c r="Q69" i="2" s="1"/>
  <c r="Q20" i="2"/>
  <c r="Q10" i="2"/>
  <c r="Q21" i="2" s="1"/>
  <c r="Q26" i="2" s="1"/>
  <c r="Q29" i="2" s="1"/>
  <c r="Q32" i="2" s="1"/>
  <c r="Q35" i="2" s="1"/>
  <c r="Q362" i="6"/>
  <c r="Q352" i="6"/>
  <c r="Q338" i="6"/>
  <c r="Q336" i="6"/>
  <c r="Q343" i="6" s="1"/>
  <c r="Q353" i="6" s="1"/>
  <c r="Q363" i="6" s="1"/>
  <c r="Q330" i="6"/>
  <c r="Q310" i="6"/>
  <c r="Q315" i="6" s="1"/>
  <c r="Q331" i="6" s="1"/>
  <c r="Q296" i="6"/>
  <c r="Q288" i="6"/>
  <c r="Q282" i="6"/>
  <c r="Q289" i="6" s="1"/>
  <c r="Q294" i="6" s="1"/>
  <c r="Q297" i="6" s="1"/>
  <c r="Q300" i="6" s="1"/>
  <c r="Q270" i="6"/>
  <c r="Q260" i="6"/>
  <c r="Q246" i="6"/>
  <c r="Q244" i="6"/>
  <c r="Q238" i="6"/>
  <c r="Q223" i="6"/>
  <c r="Q239" i="6" s="1"/>
  <c r="Q218" i="6"/>
  <c r="Q196" i="6"/>
  <c r="Q190" i="6"/>
  <c r="Q197" i="6" s="1"/>
  <c r="Q202" i="6" s="1"/>
  <c r="Q205" i="6" s="1"/>
  <c r="Q208" i="6" s="1"/>
  <c r="Q179" i="6"/>
  <c r="Q169" i="6"/>
  <c r="Q163" i="6"/>
  <c r="Q155" i="6"/>
  <c r="Q153" i="6"/>
  <c r="Q160" i="6" s="1"/>
  <c r="Q147" i="6"/>
  <c r="Q127" i="6"/>
  <c r="Q132" i="6" s="1"/>
  <c r="Q114" i="6"/>
  <c r="Q106" i="6"/>
  <c r="Q107" i="6" s="1"/>
  <c r="Q112" i="6" s="1"/>
  <c r="Q115" i="6" s="1"/>
  <c r="Q118" i="6" s="1"/>
  <c r="Q100" i="6"/>
  <c r="Q89" i="6"/>
  <c r="Q79" i="6"/>
  <c r="Q80" i="6" s="1"/>
  <c r="Q90" i="6" s="1"/>
  <c r="Q63" i="6"/>
  <c r="Q70" i="6" s="1"/>
  <c r="Q57" i="6"/>
  <c r="Q37" i="6"/>
  <c r="Q42" i="6" s="1"/>
  <c r="Q58" i="6" s="1"/>
  <c r="Q24" i="6"/>
  <c r="Q16" i="6"/>
  <c r="Q10" i="6"/>
  <c r="Q17" i="6" s="1"/>
  <c r="Q22" i="6" s="1"/>
  <c r="Q25" i="6" s="1"/>
  <c r="Q28" i="6" s="1"/>
  <c r="Q148" i="6" l="1"/>
  <c r="Q170" i="6"/>
  <c r="Q180" i="6" s="1"/>
  <c r="Q251" i="6"/>
  <c r="Q261" i="6" s="1"/>
  <c r="Q271" i="6" s="1"/>
  <c r="P85" i="7"/>
  <c r="P75" i="7"/>
  <c r="P76" i="7" s="1"/>
  <c r="P86" i="7" s="1"/>
  <c r="P66" i="7"/>
  <c r="P53" i="7"/>
  <c r="P54" i="7" s="1"/>
  <c r="P38" i="7"/>
  <c r="P362" i="6" l="1"/>
  <c r="P352" i="6"/>
  <c r="P353" i="6" s="1"/>
  <c r="P343" i="6"/>
  <c r="P330" i="6"/>
  <c r="P315" i="6"/>
  <c r="P270" i="6"/>
  <c r="P260" i="6"/>
  <c r="P251" i="6"/>
  <c r="P261" i="6" s="1"/>
  <c r="P271" i="6" s="1"/>
  <c r="P238" i="6"/>
  <c r="P223" i="6"/>
  <c r="P239" i="6" s="1"/>
  <c r="P179" i="6"/>
  <c r="P169" i="6"/>
  <c r="P160" i="6"/>
  <c r="P147" i="6"/>
  <c r="P132" i="6"/>
  <c r="P89" i="6"/>
  <c r="P79" i="6"/>
  <c r="P70" i="6"/>
  <c r="P57" i="6"/>
  <c r="P42" i="6"/>
  <c r="N198" i="3"/>
  <c r="N201" i="3" s="1"/>
  <c r="N204" i="3" s="1"/>
  <c r="M198" i="3"/>
  <c r="M201" i="3" s="1"/>
  <c r="M204" i="3" s="1"/>
  <c r="F198" i="3"/>
  <c r="F201" i="3" s="1"/>
  <c r="F204" i="3" s="1"/>
  <c r="P193" i="3"/>
  <c r="P198" i="3" s="1"/>
  <c r="P201" i="3" s="1"/>
  <c r="P204" i="3" s="1"/>
  <c r="O193" i="3"/>
  <c r="O198" i="3" s="1"/>
  <c r="O201" i="3" s="1"/>
  <c r="O204" i="3" s="1"/>
  <c r="N193" i="3"/>
  <c r="M193" i="3"/>
  <c r="L193" i="3"/>
  <c r="L198" i="3" s="1"/>
  <c r="L201" i="3" s="1"/>
  <c r="L204" i="3" s="1"/>
  <c r="K193" i="3"/>
  <c r="K198" i="3" s="1"/>
  <c r="K201" i="3" s="1"/>
  <c r="K204" i="3" s="1"/>
  <c r="J193" i="3"/>
  <c r="J198" i="3" s="1"/>
  <c r="J201" i="3" s="1"/>
  <c r="J204" i="3" s="1"/>
  <c r="I193" i="3"/>
  <c r="I198" i="3" s="1"/>
  <c r="I201" i="3" s="1"/>
  <c r="I204" i="3" s="1"/>
  <c r="H193" i="3"/>
  <c r="H198" i="3" s="1"/>
  <c r="H201" i="3" s="1"/>
  <c r="H204" i="3" s="1"/>
  <c r="G193" i="3"/>
  <c r="G198" i="3" s="1"/>
  <c r="G201" i="3" s="1"/>
  <c r="G204" i="3" s="1"/>
  <c r="F193" i="3"/>
  <c r="E193" i="3"/>
  <c r="E198" i="3" s="1"/>
  <c r="E201" i="3" s="1"/>
  <c r="E204" i="3" s="1"/>
  <c r="D193" i="3"/>
  <c r="D198" i="3" s="1"/>
  <c r="D201" i="3" s="1"/>
  <c r="D204" i="3" s="1"/>
  <c r="C193" i="3"/>
  <c r="C198" i="3" s="1"/>
  <c r="C201" i="3" s="1"/>
  <c r="C204" i="3" s="1"/>
  <c r="P148" i="6" l="1"/>
  <c r="P170" i="6"/>
  <c r="P180" i="6" s="1"/>
  <c r="P331" i="6"/>
  <c r="P58" i="6"/>
  <c r="P80" i="6"/>
  <c r="P90" i="6" s="1"/>
  <c r="P363" i="6"/>
  <c r="P25" i="3"/>
  <c r="P22" i="3"/>
  <c r="P19" i="3"/>
  <c r="P18" i="3"/>
  <c r="P17" i="3"/>
  <c r="P14" i="3"/>
  <c r="P13" i="3"/>
  <c r="P12" i="3"/>
  <c r="P11" i="3"/>
  <c r="P10" i="3"/>
  <c r="P9" i="3"/>
  <c r="P8" i="3"/>
  <c r="P34" i="2"/>
  <c r="P31" i="2"/>
  <c r="P28" i="2"/>
  <c r="P25" i="2"/>
  <c r="P24" i="2"/>
  <c r="P23" i="2"/>
  <c r="P19" i="2"/>
  <c r="P18" i="2"/>
  <c r="P17" i="2"/>
  <c r="P16" i="2"/>
  <c r="P15" i="2"/>
  <c r="P14" i="2"/>
  <c r="P13" i="2"/>
  <c r="P12" i="2"/>
  <c r="P20" i="2" s="1"/>
  <c r="P9" i="2"/>
  <c r="P8" i="2"/>
  <c r="P10" i="2" s="1"/>
  <c r="P21" i="2" s="1"/>
  <c r="P26" i="2" s="1"/>
  <c r="P29" i="2" s="1"/>
  <c r="P32" i="2" s="1"/>
  <c r="P35" i="2" s="1"/>
  <c r="P15" i="3" l="1"/>
  <c r="P20" i="3" s="1"/>
  <c r="P23" i="3" s="1"/>
  <c r="P26" i="3" s="1"/>
  <c r="P87" i="3"/>
  <c r="P77" i="3"/>
  <c r="P68" i="3"/>
  <c r="P78" i="3" s="1"/>
  <c r="P88" i="3" s="1"/>
  <c r="P56" i="3"/>
  <c r="P41" i="3"/>
  <c r="P57" i="3" s="1"/>
  <c r="O27" i="6" l="1"/>
  <c r="O24" i="6"/>
  <c r="O21" i="6"/>
  <c r="O19" i="6"/>
  <c r="O15" i="6"/>
  <c r="O14" i="6"/>
  <c r="O13" i="6"/>
  <c r="O12" i="6"/>
  <c r="O9" i="6"/>
  <c r="O10" i="6" s="1"/>
  <c r="O8" i="6"/>
  <c r="O16" i="6" l="1"/>
  <c r="O17" i="6" s="1"/>
  <c r="O22" i="6" s="1"/>
  <c r="O25" i="6" s="1"/>
  <c r="O28" i="6" s="1"/>
  <c r="N288" i="6" l="1"/>
  <c r="N289" i="6" s="1"/>
  <c r="N294" i="6" s="1"/>
  <c r="N297" i="6" s="1"/>
  <c r="N300" i="6" s="1"/>
  <c r="M288" i="6"/>
  <c r="L288" i="6"/>
  <c r="K288" i="6"/>
  <c r="J288" i="6"/>
  <c r="I288" i="6"/>
  <c r="H288" i="6"/>
  <c r="H289" i="6" s="1"/>
  <c r="H294" i="6" s="1"/>
  <c r="H297" i="6" s="1"/>
  <c r="H300" i="6" s="1"/>
  <c r="G288" i="6"/>
  <c r="F288" i="6"/>
  <c r="F289" i="6" s="1"/>
  <c r="F294" i="6" s="1"/>
  <c r="F297" i="6" s="1"/>
  <c r="F300" i="6" s="1"/>
  <c r="E288" i="6"/>
  <c r="D288" i="6"/>
  <c r="C288" i="6"/>
  <c r="N282" i="6"/>
  <c r="M282" i="6"/>
  <c r="L282" i="6"/>
  <c r="K282" i="6"/>
  <c r="J282" i="6"/>
  <c r="I282" i="6"/>
  <c r="H282" i="6"/>
  <c r="G282" i="6"/>
  <c r="F282" i="6"/>
  <c r="E282" i="6"/>
  <c r="D282" i="6"/>
  <c r="C282" i="6"/>
  <c r="N270" i="6"/>
  <c r="M270" i="6"/>
  <c r="L270" i="6"/>
  <c r="K270" i="6"/>
  <c r="J270" i="6"/>
  <c r="I270" i="6"/>
  <c r="H270" i="6"/>
  <c r="G270" i="6"/>
  <c r="F270" i="6"/>
  <c r="E270" i="6"/>
  <c r="D270" i="6"/>
  <c r="C270" i="6"/>
  <c r="N260" i="6"/>
  <c r="M260" i="6"/>
  <c r="L260" i="6"/>
  <c r="K260" i="6"/>
  <c r="J260" i="6"/>
  <c r="I260" i="6"/>
  <c r="H260" i="6"/>
  <c r="G260" i="6"/>
  <c r="F260" i="6"/>
  <c r="E260" i="6"/>
  <c r="D260" i="6"/>
  <c r="C260" i="6"/>
  <c r="N251" i="6"/>
  <c r="M251" i="6"/>
  <c r="L251" i="6"/>
  <c r="K251" i="6"/>
  <c r="J251" i="6"/>
  <c r="I251" i="6"/>
  <c r="I261" i="6" s="1"/>
  <c r="I271" i="6" s="1"/>
  <c r="H251" i="6"/>
  <c r="G251" i="6"/>
  <c r="F251" i="6"/>
  <c r="E251" i="6"/>
  <c r="D251" i="6"/>
  <c r="C251" i="6"/>
  <c r="N238" i="6"/>
  <c r="N239" i="6" s="1"/>
  <c r="M238" i="6"/>
  <c r="L238" i="6"/>
  <c r="K238" i="6"/>
  <c r="J238" i="6"/>
  <c r="I238" i="6"/>
  <c r="H238" i="6"/>
  <c r="G238" i="6"/>
  <c r="F238" i="6"/>
  <c r="E238" i="6"/>
  <c r="D238" i="6"/>
  <c r="C238" i="6"/>
  <c r="N223" i="6"/>
  <c r="M223" i="6"/>
  <c r="L223" i="6"/>
  <c r="K223" i="6"/>
  <c r="J223" i="6"/>
  <c r="I223" i="6"/>
  <c r="H223" i="6"/>
  <c r="G223" i="6"/>
  <c r="F223" i="6"/>
  <c r="E223" i="6"/>
  <c r="C223" i="6"/>
  <c r="D218" i="6"/>
  <c r="D223" i="6" s="1"/>
  <c r="N179" i="6"/>
  <c r="M179" i="6"/>
  <c r="L179" i="6"/>
  <c r="K179" i="6"/>
  <c r="J179" i="6"/>
  <c r="I179" i="6"/>
  <c r="H179" i="6"/>
  <c r="G179" i="6"/>
  <c r="F179" i="6"/>
  <c r="E179" i="6"/>
  <c r="D179" i="6"/>
  <c r="C179" i="6"/>
  <c r="N169" i="6"/>
  <c r="M169" i="6"/>
  <c r="L169" i="6"/>
  <c r="K169" i="6"/>
  <c r="J169" i="6"/>
  <c r="I169" i="6"/>
  <c r="H169" i="6"/>
  <c r="G169" i="6"/>
  <c r="F169" i="6"/>
  <c r="E169" i="6"/>
  <c r="D169" i="6"/>
  <c r="C169" i="6"/>
  <c r="N160" i="6"/>
  <c r="M160" i="6"/>
  <c r="L160" i="6"/>
  <c r="K160" i="6"/>
  <c r="K170" i="6" s="1"/>
  <c r="K180" i="6" s="1"/>
  <c r="J160" i="6"/>
  <c r="I160" i="6"/>
  <c r="H160" i="6"/>
  <c r="G160" i="6"/>
  <c r="F160" i="6"/>
  <c r="E160" i="6"/>
  <c r="D160" i="6"/>
  <c r="C160" i="6"/>
  <c r="C170" i="6" s="1"/>
  <c r="C180" i="6" s="1"/>
  <c r="N147" i="6"/>
  <c r="M147" i="6"/>
  <c r="L147" i="6"/>
  <c r="K147" i="6"/>
  <c r="J147" i="6"/>
  <c r="I147" i="6"/>
  <c r="H147" i="6"/>
  <c r="G147" i="6"/>
  <c r="F147" i="6"/>
  <c r="E147" i="6"/>
  <c r="D147" i="6"/>
  <c r="C147" i="6"/>
  <c r="N132" i="6"/>
  <c r="M132" i="6"/>
  <c r="L132" i="6"/>
  <c r="K132" i="6"/>
  <c r="K148" i="6" s="1"/>
  <c r="J132" i="6"/>
  <c r="I132" i="6"/>
  <c r="H132" i="6"/>
  <c r="G132" i="6"/>
  <c r="F132" i="6"/>
  <c r="E132" i="6"/>
  <c r="D132" i="6"/>
  <c r="C132" i="6"/>
  <c r="C148" i="6" s="1"/>
  <c r="M109" i="6"/>
  <c r="I109" i="6"/>
  <c r="E109" i="6"/>
  <c r="D109" i="6"/>
  <c r="C109" i="6"/>
  <c r="M106" i="6"/>
  <c r="L106" i="6"/>
  <c r="K106" i="6"/>
  <c r="J106" i="6"/>
  <c r="I106" i="6"/>
  <c r="H106" i="6"/>
  <c r="H107" i="6" s="1"/>
  <c r="G106" i="6"/>
  <c r="F106" i="6"/>
  <c r="E106" i="6"/>
  <c r="D106" i="6"/>
  <c r="C106" i="6"/>
  <c r="M100" i="6"/>
  <c r="M107" i="6" s="1"/>
  <c r="M112" i="6" s="1"/>
  <c r="M115" i="6" s="1"/>
  <c r="M118" i="6" s="1"/>
  <c r="L100" i="6"/>
  <c r="K100" i="6"/>
  <c r="J100" i="6"/>
  <c r="I100" i="6"/>
  <c r="H100" i="6"/>
  <c r="G100" i="6"/>
  <c r="F100" i="6"/>
  <c r="E100" i="6"/>
  <c r="E107" i="6" s="1"/>
  <c r="E112" i="6" s="1"/>
  <c r="E115" i="6" s="1"/>
  <c r="E118" i="6" s="1"/>
  <c r="D100" i="6"/>
  <c r="C100" i="6"/>
  <c r="N89" i="6"/>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J80" i="6" s="1"/>
  <c r="J90" i="6" s="1"/>
  <c r="I70" i="6"/>
  <c r="H70" i="6"/>
  <c r="H80" i="6" s="1"/>
  <c r="H90" i="6" s="1"/>
  <c r="G70" i="6"/>
  <c r="F70" i="6"/>
  <c r="E70" i="6"/>
  <c r="D70" i="6"/>
  <c r="C70" i="6"/>
  <c r="N57" i="6"/>
  <c r="M57" i="6"/>
  <c r="L57" i="6"/>
  <c r="K57" i="6"/>
  <c r="J57" i="6"/>
  <c r="I57" i="6"/>
  <c r="H57" i="6"/>
  <c r="G57" i="6"/>
  <c r="F57" i="6"/>
  <c r="E57" i="6"/>
  <c r="D57" i="6"/>
  <c r="C57" i="6"/>
  <c r="N42" i="6"/>
  <c r="M42" i="6"/>
  <c r="L42" i="6"/>
  <c r="K42" i="6"/>
  <c r="J42" i="6"/>
  <c r="J58" i="6" s="1"/>
  <c r="I42" i="6"/>
  <c r="H42" i="6"/>
  <c r="H58" i="6" s="1"/>
  <c r="G42" i="6"/>
  <c r="F42" i="6"/>
  <c r="E42" i="6"/>
  <c r="D42" i="6"/>
  <c r="C37" i="6"/>
  <c r="C42" i="6" s="1"/>
  <c r="C58" i="6" s="1"/>
  <c r="N85" i="7"/>
  <c r="M85" i="7"/>
  <c r="L85" i="7"/>
  <c r="K85" i="7"/>
  <c r="J85" i="7"/>
  <c r="I85" i="7"/>
  <c r="H85" i="7"/>
  <c r="G85" i="7"/>
  <c r="F85" i="7"/>
  <c r="E85" i="7"/>
  <c r="D85" i="7"/>
  <c r="C85" i="7"/>
  <c r="N75" i="7"/>
  <c r="M75" i="7"/>
  <c r="L75" i="7"/>
  <c r="K75" i="7"/>
  <c r="J75" i="7"/>
  <c r="I75" i="7"/>
  <c r="H75" i="7"/>
  <c r="G75" i="7"/>
  <c r="F75" i="7"/>
  <c r="E75" i="7"/>
  <c r="D75" i="7"/>
  <c r="C75" i="7"/>
  <c r="N66" i="7"/>
  <c r="N76" i="7" s="1"/>
  <c r="N86" i="7" s="1"/>
  <c r="M66" i="7"/>
  <c r="M76" i="7" s="1"/>
  <c r="M86" i="7" s="1"/>
  <c r="L66" i="7"/>
  <c r="L76" i="7" s="1"/>
  <c r="L86" i="7" s="1"/>
  <c r="K66" i="7"/>
  <c r="J66" i="7"/>
  <c r="I66" i="7"/>
  <c r="H66" i="7"/>
  <c r="G66" i="7"/>
  <c r="G76" i="7" s="1"/>
  <c r="G86" i="7" s="1"/>
  <c r="F66" i="7"/>
  <c r="F76" i="7" s="1"/>
  <c r="F86" i="7" s="1"/>
  <c r="E66" i="7"/>
  <c r="E76" i="7" s="1"/>
  <c r="E86" i="7" s="1"/>
  <c r="D66" i="7"/>
  <c r="D76" i="7" s="1"/>
  <c r="D86" i="7" s="1"/>
  <c r="C66" i="7"/>
  <c r="N53" i="7"/>
  <c r="M53" i="7"/>
  <c r="L53" i="7"/>
  <c r="K53" i="7"/>
  <c r="J53" i="7"/>
  <c r="I53" i="7"/>
  <c r="H53" i="7"/>
  <c r="G53" i="7"/>
  <c r="F53" i="7"/>
  <c r="E53" i="7"/>
  <c r="D53" i="7"/>
  <c r="C53" i="7"/>
  <c r="N38" i="7"/>
  <c r="N54" i="7" s="1"/>
  <c r="M38" i="7"/>
  <c r="M54" i="7" s="1"/>
  <c r="L38" i="7"/>
  <c r="L54" i="7" s="1"/>
  <c r="K38" i="7"/>
  <c r="J38" i="7"/>
  <c r="I38" i="7"/>
  <c r="H38" i="7"/>
  <c r="G38" i="7"/>
  <c r="G54" i="7" s="1"/>
  <c r="F38" i="7"/>
  <c r="F54" i="7" s="1"/>
  <c r="E38" i="7"/>
  <c r="E54" i="7" s="1"/>
  <c r="D38" i="7"/>
  <c r="D54" i="7" s="1"/>
  <c r="C38" i="7"/>
  <c r="N270" i="3"/>
  <c r="M270" i="3"/>
  <c r="L270" i="3"/>
  <c r="K270" i="3"/>
  <c r="J270" i="3"/>
  <c r="I270" i="3"/>
  <c r="H270" i="3"/>
  <c r="G270" i="3"/>
  <c r="F270" i="3"/>
  <c r="E270" i="3"/>
  <c r="D270" i="3"/>
  <c r="C270" i="3"/>
  <c r="N267" i="3"/>
  <c r="M267" i="3"/>
  <c r="L267" i="3"/>
  <c r="K267" i="3"/>
  <c r="J267" i="3"/>
  <c r="I267" i="3"/>
  <c r="H267" i="3"/>
  <c r="G267" i="3"/>
  <c r="F267" i="3"/>
  <c r="E267" i="3"/>
  <c r="D267" i="3"/>
  <c r="C267" i="3"/>
  <c r="M257" i="3"/>
  <c r="I257" i="3"/>
  <c r="F257" i="3"/>
  <c r="N256" i="3"/>
  <c r="N257" i="3" s="1"/>
  <c r="E256" i="3"/>
  <c r="E257" i="3" s="1"/>
  <c r="L255" i="3"/>
  <c r="K255" i="3"/>
  <c r="K257" i="3" s="1"/>
  <c r="J255" i="3"/>
  <c r="J257" i="3" s="1"/>
  <c r="G255" i="3"/>
  <c r="G257" i="3" s="1"/>
  <c r="L250" i="3"/>
  <c r="H250" i="3"/>
  <c r="H257" i="3" s="1"/>
  <c r="D250" i="3"/>
  <c r="D257" i="3" s="1"/>
  <c r="C250" i="3"/>
  <c r="C257" i="3" s="1"/>
  <c r="N248" i="3"/>
  <c r="M248" i="3"/>
  <c r="K248" i="3"/>
  <c r="J248" i="3"/>
  <c r="I248" i="3"/>
  <c r="I258" i="3" s="1"/>
  <c r="I268" i="3" s="1"/>
  <c r="G248" i="3"/>
  <c r="F248" i="3"/>
  <c r="F258" i="3" s="1"/>
  <c r="F268" i="3" s="1"/>
  <c r="E248" i="3"/>
  <c r="L240" i="3"/>
  <c r="L248" i="3" s="1"/>
  <c r="H240" i="3"/>
  <c r="H248" i="3" s="1"/>
  <c r="H258" i="3" s="1"/>
  <c r="H268" i="3" s="1"/>
  <c r="D240" i="3"/>
  <c r="D248" i="3" s="1"/>
  <c r="C240" i="3"/>
  <c r="C248" i="3" s="1"/>
  <c r="N235" i="3"/>
  <c r="M235" i="3"/>
  <c r="L235" i="3"/>
  <c r="K235" i="3"/>
  <c r="J235" i="3"/>
  <c r="I235" i="3"/>
  <c r="H235" i="3"/>
  <c r="G235" i="3"/>
  <c r="F235" i="3"/>
  <c r="E235" i="3"/>
  <c r="D235" i="3"/>
  <c r="C235" i="3"/>
  <c r="N219" i="3"/>
  <c r="N236" i="3" s="1"/>
  <c r="M219" i="3"/>
  <c r="M236" i="3" s="1"/>
  <c r="K219" i="3"/>
  <c r="J219" i="3"/>
  <c r="J236" i="3" s="1"/>
  <c r="I219" i="3"/>
  <c r="H219" i="3"/>
  <c r="H236" i="3" s="1"/>
  <c r="G219" i="3"/>
  <c r="G236" i="3" s="1"/>
  <c r="F219" i="3"/>
  <c r="F236" i="3" s="1"/>
  <c r="E219" i="3"/>
  <c r="E236" i="3" s="1"/>
  <c r="D219" i="3"/>
  <c r="C219" i="3"/>
  <c r="L214" i="3"/>
  <c r="L219" i="3" s="1"/>
  <c r="N181" i="3"/>
  <c r="M181" i="3"/>
  <c r="L181" i="3"/>
  <c r="K181" i="3"/>
  <c r="J181" i="3"/>
  <c r="I181" i="3"/>
  <c r="H181" i="3"/>
  <c r="G181" i="3"/>
  <c r="F181" i="3"/>
  <c r="E181" i="3"/>
  <c r="D181" i="3"/>
  <c r="C181" i="3"/>
  <c r="N180" i="3"/>
  <c r="M180" i="3"/>
  <c r="L180" i="3"/>
  <c r="K180" i="3"/>
  <c r="J180" i="3"/>
  <c r="I180" i="3"/>
  <c r="H180" i="3"/>
  <c r="G180" i="3"/>
  <c r="F180" i="3"/>
  <c r="E180" i="3"/>
  <c r="D180" i="3"/>
  <c r="C180" i="3"/>
  <c r="M90" i="3"/>
  <c r="L90" i="3"/>
  <c r="K90" i="3"/>
  <c r="J90" i="3"/>
  <c r="I90" i="3"/>
  <c r="H90" i="3"/>
  <c r="G90" i="3"/>
  <c r="F90" i="3"/>
  <c r="E90" i="3"/>
  <c r="D90" i="3"/>
  <c r="C90" i="3"/>
  <c r="N89" i="3"/>
  <c r="M89" i="3"/>
  <c r="L89" i="3"/>
  <c r="H89" i="3"/>
  <c r="G89" i="3"/>
  <c r="F89" i="3"/>
  <c r="E89" i="3"/>
  <c r="D89" i="3"/>
  <c r="C89" i="3"/>
  <c r="K87" i="3"/>
  <c r="K88" i="3" s="1"/>
  <c r="J87" i="3"/>
  <c r="J88" i="3" s="1"/>
  <c r="I87" i="3"/>
  <c r="I88" i="3" s="1"/>
  <c r="K56" i="3"/>
  <c r="K57" i="3" s="1"/>
  <c r="K89" i="3" s="1"/>
  <c r="J56" i="3"/>
  <c r="J57" i="3" s="1"/>
  <c r="J89" i="3" s="1"/>
  <c r="I56" i="3"/>
  <c r="I57" i="3" s="1"/>
  <c r="I89" i="3" s="1"/>
  <c r="L236" i="3" l="1"/>
  <c r="D258" i="3"/>
  <c r="D236" i="3"/>
  <c r="N258" i="3"/>
  <c r="N268" i="3" s="1"/>
  <c r="D239" i="6"/>
  <c r="K239" i="6"/>
  <c r="J261" i="6"/>
  <c r="J271" i="6" s="1"/>
  <c r="G58" i="6"/>
  <c r="G80" i="6"/>
  <c r="G90" i="6" s="1"/>
  <c r="H148" i="6"/>
  <c r="H170" i="6"/>
  <c r="H180" i="6" s="1"/>
  <c r="C239" i="6"/>
  <c r="L239" i="6"/>
  <c r="C261" i="6"/>
  <c r="C271" i="6" s="1"/>
  <c r="K261" i="6"/>
  <c r="K271" i="6" s="1"/>
  <c r="C289" i="6"/>
  <c r="C294" i="6" s="1"/>
  <c r="C297" i="6" s="1"/>
  <c r="C300" i="6" s="1"/>
  <c r="K289" i="6"/>
  <c r="K294" i="6" s="1"/>
  <c r="K297" i="6" s="1"/>
  <c r="K300" i="6" s="1"/>
  <c r="K181" i="6"/>
  <c r="I148" i="6"/>
  <c r="I170" i="6"/>
  <c r="I180" i="6" s="1"/>
  <c r="I181" i="6" s="1"/>
  <c r="E239" i="6"/>
  <c r="M239" i="6"/>
  <c r="D261" i="6"/>
  <c r="D271" i="6" s="1"/>
  <c r="L261" i="6"/>
  <c r="L271" i="6" s="1"/>
  <c r="D289" i="6"/>
  <c r="D294" i="6" s="1"/>
  <c r="D297" i="6" s="1"/>
  <c r="D300" i="6" s="1"/>
  <c r="L289" i="6"/>
  <c r="L294" i="6" s="1"/>
  <c r="L297" i="6" s="1"/>
  <c r="L300" i="6" s="1"/>
  <c r="I58" i="6"/>
  <c r="I80" i="6"/>
  <c r="I90" i="6" s="1"/>
  <c r="J107" i="6"/>
  <c r="J148" i="6"/>
  <c r="J170" i="6"/>
  <c r="J180" i="6" s="1"/>
  <c r="F239" i="6"/>
  <c r="E289" i="6"/>
  <c r="E294" i="6" s="1"/>
  <c r="E297" i="6" s="1"/>
  <c r="E300" i="6" s="1"/>
  <c r="M289" i="6"/>
  <c r="M294" i="6" s="1"/>
  <c r="M297" i="6" s="1"/>
  <c r="M300" i="6" s="1"/>
  <c r="M258" i="3"/>
  <c r="M268" i="3" s="1"/>
  <c r="H54" i="7"/>
  <c r="H76" i="7"/>
  <c r="H86" i="7" s="1"/>
  <c r="K58" i="6"/>
  <c r="C80" i="6"/>
  <c r="C90" i="6" s="1"/>
  <c r="K80" i="6"/>
  <c r="K90" i="6" s="1"/>
  <c r="G107" i="6"/>
  <c r="D107" i="6"/>
  <c r="D112" i="6" s="1"/>
  <c r="D115" i="6" s="1"/>
  <c r="D118" i="6" s="1"/>
  <c r="L107" i="6"/>
  <c r="D148" i="6"/>
  <c r="D181" i="6" s="1"/>
  <c r="L148" i="6"/>
  <c r="D170" i="6"/>
  <c r="D180" i="6" s="1"/>
  <c r="L170" i="6"/>
  <c r="L180" i="6" s="1"/>
  <c r="G239" i="6"/>
  <c r="E261" i="6"/>
  <c r="E271" i="6" s="1"/>
  <c r="M261" i="6"/>
  <c r="M271" i="6" s="1"/>
  <c r="G289" i="6"/>
  <c r="G294" i="6" s="1"/>
  <c r="G297" i="6" s="1"/>
  <c r="G300" i="6" s="1"/>
  <c r="I54" i="7"/>
  <c r="I76" i="7"/>
  <c r="I86" i="7" s="1"/>
  <c r="D58" i="6"/>
  <c r="L58" i="6"/>
  <c r="D80" i="6"/>
  <c r="D90" i="6" s="1"/>
  <c r="L80" i="6"/>
  <c r="L90" i="6" s="1"/>
  <c r="E148" i="6"/>
  <c r="M148" i="6"/>
  <c r="M181" i="6" s="1"/>
  <c r="E170" i="6"/>
  <c r="E180" i="6" s="1"/>
  <c r="M170" i="6"/>
  <c r="M180" i="6" s="1"/>
  <c r="H239" i="6"/>
  <c r="F261" i="6"/>
  <c r="F271" i="6" s="1"/>
  <c r="N261" i="6"/>
  <c r="N271" i="6" s="1"/>
  <c r="I236" i="3"/>
  <c r="I269" i="3" s="1"/>
  <c r="J54" i="7"/>
  <c r="J76" i="7"/>
  <c r="J86" i="7" s="1"/>
  <c r="E58" i="6"/>
  <c r="M58" i="6"/>
  <c r="E80" i="6"/>
  <c r="E90" i="6" s="1"/>
  <c r="M80" i="6"/>
  <c r="M90" i="6" s="1"/>
  <c r="I107" i="6"/>
  <c r="I112" i="6" s="1"/>
  <c r="I114" i="6" s="1"/>
  <c r="L114" i="6" s="1"/>
  <c r="F107" i="6"/>
  <c r="F148" i="6"/>
  <c r="N148" i="6"/>
  <c r="F170" i="6"/>
  <c r="F180" i="6" s="1"/>
  <c r="F181" i="6" s="1"/>
  <c r="N170" i="6"/>
  <c r="N180" i="6" s="1"/>
  <c r="I239" i="6"/>
  <c r="G261" i="6"/>
  <c r="G271" i="6" s="1"/>
  <c r="I289" i="6"/>
  <c r="I294" i="6" s="1"/>
  <c r="I297" i="6" s="1"/>
  <c r="I300" i="6" s="1"/>
  <c r="L257" i="3"/>
  <c r="L258" i="3" s="1"/>
  <c r="C54" i="7"/>
  <c r="K54" i="7"/>
  <c r="C76" i="7"/>
  <c r="C86" i="7" s="1"/>
  <c r="K76" i="7"/>
  <c r="K86" i="7" s="1"/>
  <c r="F58" i="6"/>
  <c r="N58" i="6"/>
  <c r="F80" i="6"/>
  <c r="F90" i="6" s="1"/>
  <c r="N80" i="6"/>
  <c r="N90" i="6" s="1"/>
  <c r="G148" i="6"/>
  <c r="G170" i="6"/>
  <c r="G180" i="6" s="1"/>
  <c r="G181" i="6" s="1"/>
  <c r="J239" i="6"/>
  <c r="H261" i="6"/>
  <c r="H271" i="6" s="1"/>
  <c r="J289" i="6"/>
  <c r="J294" i="6" s="1"/>
  <c r="J297" i="6" s="1"/>
  <c r="J300" i="6" s="1"/>
  <c r="C236" i="3"/>
  <c r="K236" i="3"/>
  <c r="D268" i="3"/>
  <c r="J258" i="3"/>
  <c r="J268" i="3" s="1"/>
  <c r="C107" i="6"/>
  <c r="C112" i="6" s="1"/>
  <c r="C115" i="6" s="1"/>
  <c r="C118" i="6" s="1"/>
  <c r="K107" i="6"/>
  <c r="K109" i="6" s="1"/>
  <c r="K112" i="6" s="1"/>
  <c r="K115" i="6" s="1"/>
  <c r="K118" i="6" s="1"/>
  <c r="D269" i="3"/>
  <c r="F269" i="3"/>
  <c r="H269" i="3"/>
  <c r="C258" i="3"/>
  <c r="C268" i="3" s="1"/>
  <c r="E258" i="3"/>
  <c r="E268" i="3" s="1"/>
  <c r="G258" i="3"/>
  <c r="G268" i="3" s="1"/>
  <c r="K258" i="3"/>
  <c r="K268" i="3" s="1"/>
  <c r="H181" i="6"/>
  <c r="J181" i="6"/>
  <c r="L181" i="6"/>
  <c r="F112" i="6"/>
  <c r="F115" i="6" s="1"/>
  <c r="F118" i="6" s="1"/>
  <c r="J112" i="6"/>
  <c r="J115" i="6" s="1"/>
  <c r="J118" i="6" s="1"/>
  <c r="H109" i="6"/>
  <c r="H112" i="6" s="1"/>
  <c r="H115" i="6" s="1"/>
  <c r="H118" i="6" s="1"/>
  <c r="J109" i="6"/>
  <c r="F109" i="6"/>
  <c r="C181" i="6"/>
  <c r="N269" i="3" l="1"/>
  <c r="M269" i="3"/>
  <c r="J269" i="3"/>
  <c r="N181" i="6"/>
  <c r="E181" i="6"/>
  <c r="L268" i="3"/>
  <c r="L269" i="3"/>
  <c r="G269" i="3"/>
  <c r="L109" i="6"/>
  <c r="L112" i="6" s="1"/>
  <c r="L115" i="6" s="1"/>
  <c r="L118" i="6" s="1"/>
  <c r="K269" i="3"/>
  <c r="I115" i="6"/>
  <c r="I118" i="6" s="1"/>
  <c r="G109" i="6"/>
  <c r="G112" i="6" s="1"/>
  <c r="G115" i="6" s="1"/>
  <c r="G118" i="6" s="1"/>
  <c r="E269" i="3"/>
  <c r="C269" i="3"/>
</calcChain>
</file>

<file path=xl/sharedStrings.xml><?xml version="1.0" encoding="utf-8"?>
<sst xmlns="http://schemas.openxmlformats.org/spreadsheetml/2006/main" count="4631" uniqueCount="1340">
  <si>
    <r>
      <rPr>
        <b/>
        <sz val="8"/>
        <color rgb="FF000000"/>
        <rFont val="Arial"/>
        <family val="2"/>
      </rPr>
      <t>Quarterly Financial Statements:</t>
    </r>
  </si>
  <si>
    <r>
      <rPr>
        <b/>
        <sz val="12"/>
        <color rgb="FF003087"/>
        <rFont val="Tahoma"/>
        <family val="2"/>
      </rPr>
      <t>CONSOLIDATED INCOME STATEMENT</t>
    </r>
  </si>
  <si>
    <r>
      <rPr>
        <sz val="12"/>
        <color rgb="FF4D4D4D"/>
        <rFont val="Tahoma"/>
        <family val="2"/>
      </rPr>
      <t>Figures in COP millions</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</si>
  <si>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</si>
  <si>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</si>
  <si>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</si>
  <si>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</si>
  <si>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</si>
  <si>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</si>
  <si>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</si>
  <si>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</si>
  <si>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1Q20</t>
    </r>
  </si>
  <si>
    <r>
      <rPr>
        <b/>
        <sz val="11"/>
        <color rgb="FFFFFFFF"/>
        <rFont val="Tahoma"/>
        <family val="2"/>
      </rPr>
      <t>2Q20</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</si>
  <si>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</si>
  <si>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</si>
  <si>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</si>
  <si>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energy transmission services</t>
    </r>
  </si>
  <si>
    <r>
      <rPr>
        <sz val="11"/>
        <color rgb="FF808080"/>
        <rFont val="Tahoma"/>
        <family val="2"/>
      </rPr>
      <t>Revenues from connection charges</t>
    </r>
  </si>
  <si>
    <r>
      <rPr>
        <sz val="11"/>
        <color rgb="FF808080"/>
        <rFont val="Tahoma"/>
        <family val="2"/>
      </rPr>
      <t>Revenues from roads</t>
    </r>
  </si>
  <si>
    <r>
      <rPr>
        <sz val="11"/>
        <color rgb="FF808080"/>
        <rFont val="Tahoma"/>
        <family val="2"/>
      </rPr>
      <t>Revenues from CND-MEM dispatch and coordination</t>
    </r>
  </si>
  <si>
    <r>
      <rPr>
        <sz val="11"/>
        <color rgb="FF808080"/>
        <rFont val="Tahoma"/>
        <family val="2"/>
      </rPr>
      <t>MEM Services (STN, SIC, SDI)</t>
    </r>
  </si>
  <si>
    <r>
      <rPr>
        <sz val="11"/>
        <color rgb="FF808080"/>
        <rFont val="Tahoma"/>
        <family val="2"/>
      </rPr>
      <t>Revenues from telecommunications</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</si>
  <si>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</si>
  <si>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</si>
  <si>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</si>
  <si>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</si>
  <si>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</si>
  <si>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</si>
  <si>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</si>
  <si>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</si>
  <si>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</si>
  <si>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</si>
  <si>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</si>
  <si>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Income before minority interest</t>
    </r>
  </si>
  <si>
    <r>
      <rPr>
        <sz val="11"/>
        <color rgb="FF808080"/>
        <rFont val="Tahoma"/>
        <family val="2"/>
      </rPr>
      <t>Minority interest</t>
    </r>
  </si>
  <si>
    <r>
      <rPr>
        <b/>
        <sz val="11"/>
        <color rgb="FF808080"/>
        <rFont val="Tahoma"/>
        <family val="2"/>
      </rPr>
      <t>Net income</t>
    </r>
  </si>
  <si>
    <r>
      <rPr>
        <b/>
        <sz val="12"/>
        <color rgb="FF003087"/>
        <rFont val="Tahoma"/>
        <family val="2"/>
      </rPr>
      <t>CONSOLIDATED STATEMENT OF FINANCIAL POSITION</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</si>
  <si>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</si>
  <si>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</si>
  <si>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</si>
  <si>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</si>
  <si>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</si>
  <si>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Inventories - net</t>
    </r>
  </si>
  <si>
    <r>
      <rPr>
        <sz val="11"/>
        <color rgb="FF4D4D4D"/>
        <rFont val="Tahoma"/>
        <family val="2"/>
      </rPr>
      <t>Non-financial assets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</si>
  <si>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</si>
  <si>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</si>
  <si>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</si>
  <si>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</si>
  <si>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</si>
  <si>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associates and joint ventures</t>
    </r>
  </si>
  <si>
    <r>
      <rPr>
        <sz val="11"/>
        <color rgb="FF4D4D4D"/>
        <rFont val="Tahoma"/>
        <family val="2"/>
      </rPr>
      <t>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</si>
  <si>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</si>
  <si>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</si>
  <si>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</si>
  <si>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Assets held for sale</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</si>
  <si>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</si>
  <si>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</si>
  <si>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</si>
  <si>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sz val="11"/>
        <color rgb="FF4D4D4D"/>
        <rFont val="Tahoma"/>
        <family val="2"/>
      </rPr>
      <t>Intangible 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</si>
  <si>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</si>
  <si>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</si>
  <si>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</si>
  <si>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</si>
  <si>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</si>
  <si>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</si>
  <si>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Economic related parties</t>
    </r>
  </si>
  <si>
    <r>
      <rPr>
        <sz val="11"/>
        <color rgb="FF4D4D4D"/>
        <rFont val="Tahoma"/>
        <family val="2"/>
      </rPr>
      <t>Employee benefits</t>
    </r>
  </si>
  <si>
    <r>
      <rPr>
        <sz val="11"/>
        <color rgb="FF4D4D4D"/>
        <rFont val="Tahoma"/>
        <family val="2"/>
      </rPr>
      <t>Provisions</t>
    </r>
  </si>
  <si>
    <r>
      <rPr>
        <sz val="11"/>
        <color rgb="FF4D4D4D"/>
        <rFont val="Tahoma"/>
        <family val="2"/>
      </rPr>
      <t>Non-financial liabilities</t>
    </r>
  </si>
  <si>
    <r>
      <rPr>
        <sz val="11"/>
        <color rgb="FF4D4D4D"/>
        <rFont val="Tahoma"/>
        <family val="2"/>
      </rPr>
      <t>Other financial liabilities - Hedges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</si>
  <si>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</si>
  <si>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</si>
  <si>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</si>
  <si>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</si>
  <si>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</si>
  <si>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</si>
  <si>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</si>
  <si>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</si>
  <si>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</si>
  <si>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</si>
  <si>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</si>
  <si>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</si>
  <si>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Equity attributable to controlling interest</t>
    </r>
  </si>
  <si>
    <r>
      <rPr>
        <sz val="11"/>
        <color rgb="FF4D4D4D"/>
        <rFont val="Tahoma"/>
        <family val="2"/>
      </rPr>
      <t>Non-controlling interest</t>
    </r>
  </si>
  <si>
    <r>
      <rPr>
        <b/>
        <sz val="11"/>
        <color rgb="FF4D4D4D"/>
        <rFont val="Tahoma"/>
        <family val="2"/>
      </rPr>
      <t>Total shareholders' equity</t>
    </r>
  </si>
  <si>
    <r>
      <rPr>
        <b/>
        <sz val="11"/>
        <color rgb="FFFFFFFF"/>
        <rFont val="Tahoma"/>
        <family val="2"/>
      </rPr>
      <t>TOTAL SHAREHOLDERS' LIABILITIES AND EQUITY</t>
    </r>
  </si>
  <si>
    <r>
      <rPr>
        <b/>
        <sz val="12"/>
        <color rgb="FF003087"/>
        <rFont val="Tahoma"/>
        <family val="2"/>
      </rPr>
      <t>SEPARATE INCOME STATEMENT - ISA</t>
    </r>
  </si>
  <si>
    <r>
      <rPr>
        <sz val="11"/>
        <color rgb="FF808080"/>
        <rFont val="Tahoma"/>
        <family val="2"/>
      </rPr>
      <t>Income from joint account agreement</t>
    </r>
  </si>
  <si>
    <r>
      <rPr>
        <sz val="11"/>
        <color rgb="FF808080"/>
        <rFont val="Tahoma"/>
        <family val="2"/>
      </rPr>
      <t>Energy transmission services</t>
    </r>
  </si>
  <si>
    <r>
      <rPr>
        <sz val="11"/>
        <color rgb="FF808080"/>
        <rFont val="Tahoma"/>
        <family val="2"/>
      </rPr>
      <t>Connection charges</t>
    </r>
  </si>
  <si>
    <r>
      <rPr>
        <sz val="11"/>
        <color rgb="FF808080"/>
        <rFont val="Tahoma"/>
        <family val="2"/>
      </rPr>
      <t>Infrastructure projects</t>
    </r>
  </si>
  <si>
    <r>
      <rPr>
        <sz val="11"/>
        <color rgb="FF808080"/>
        <rFont val="Tahoma"/>
        <family val="2"/>
      </rPr>
      <t>Telecommunications</t>
    </r>
  </si>
  <si>
    <r>
      <rPr>
        <b/>
        <sz val="11"/>
        <color rgb="FF808080"/>
        <rFont val="Tahoma"/>
        <family val="2"/>
      </rPr>
      <t xml:space="preserve">EBITDA </t>
    </r>
  </si>
  <si>
    <r>
      <rPr>
        <b/>
        <sz val="12"/>
        <color rgb="FF003087"/>
        <rFont val="Tahoma"/>
        <family val="2"/>
      </rPr>
      <t>SEPARATE STATEMENT OF FINANCIAL POSITION - ISA</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</si>
  <si>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</si>
  <si>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</si>
  <si>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Other finanacial liabilities</t>
    </r>
  </si>
  <si>
    <r>
      <rPr>
        <sz val="11"/>
        <color rgb="FF4D4D4D"/>
        <rFont val="Tahoma"/>
        <family val="2"/>
      </rPr>
      <t>Deferred tax liability</t>
    </r>
  </si>
  <si>
    <r>
      <rPr>
        <b/>
        <sz val="12"/>
        <color rgb="FF003087"/>
        <rFont val="Tahoma"/>
        <family val="2"/>
      </rPr>
      <t>SEPARATE INCOME STATEMENT - ISA INTERCOLOMBIA</t>
    </r>
  </si>
  <si>
    <r>
      <rPr>
        <sz val="11"/>
        <color rgb="FF808080"/>
        <rFont val="Tahoma"/>
        <family val="2"/>
      </rPr>
      <t>Project management</t>
    </r>
  </si>
  <si>
    <r>
      <rPr>
        <sz val="11"/>
        <color rgb="FF808080"/>
        <rFont val="Tahoma"/>
        <family val="2"/>
      </rPr>
      <t>Electric infrastructure leases</t>
    </r>
  </si>
  <si>
    <r>
      <rPr>
        <sz val="11"/>
        <color rgb="FF808080"/>
        <rFont val="Tahoma"/>
        <family val="2"/>
      </rPr>
      <t>Other financial assets</t>
    </r>
  </si>
  <si>
    <r>
      <rPr>
        <sz val="11"/>
        <color rgb="FF4D4D4D"/>
        <rFont val="Tahoma"/>
        <family val="2"/>
      </rPr>
      <t>Joint Accounts Contract</t>
    </r>
  </si>
  <si>
    <r>
      <rPr>
        <b/>
        <sz val="12"/>
        <color rgb="FF003087"/>
        <rFont val="Tahoma"/>
        <family val="2"/>
      </rPr>
      <t>SEPARATE INCOME STATEMENT - ISA TRANSELCA</t>
    </r>
  </si>
  <si>
    <r>
      <rPr>
        <sz val="11"/>
        <color rgb="FF808080"/>
        <rFont val="Tahoma"/>
        <family val="2"/>
      </rPr>
      <t>CND-MEM Dispatch and coordination</t>
    </r>
  </si>
  <si>
    <r>
      <rPr>
        <b/>
        <sz val="12"/>
        <color rgb="FF003087"/>
        <rFont val="Tahoma"/>
        <family val="2"/>
      </rPr>
      <t>SEPARATE STATEMENT OF FINANCIAL POSITION - ISA TRANSELCA</t>
    </r>
  </si>
  <si>
    <r>
      <rPr>
        <sz val="11"/>
        <color rgb="FF4D4D4D"/>
        <rFont val="Tahoma"/>
        <family val="2"/>
      </rPr>
      <t>Investments in joint venture</t>
    </r>
  </si>
  <si>
    <r>
      <rPr>
        <sz val="11"/>
        <color rgb="FF4D4D4D"/>
        <rFont val="Tahoma"/>
        <family val="2"/>
      </rPr>
      <t>Intangible finance lease assets</t>
    </r>
  </si>
  <si>
    <r>
      <rPr>
        <sz val="11"/>
        <color rgb="FF4D4D4D"/>
        <rFont val="Tahoma"/>
        <family val="2"/>
      </rPr>
      <t>Accounts payable to economic related parties</t>
    </r>
  </si>
  <si>
    <r>
      <rPr>
        <sz val="12"/>
        <color rgb="FF4D4D4D"/>
        <rFont val="Tahoma"/>
        <family val="2"/>
      </rPr>
      <t>In USD thousands</t>
    </r>
  </si>
  <si>
    <r>
      <rPr>
        <sz val="11"/>
        <color rgb="FF808080"/>
        <rFont val="Tahoma"/>
        <family val="2"/>
      </rPr>
      <t>Supplementary revenues</t>
    </r>
  </si>
  <si>
    <r>
      <rPr>
        <sz val="11"/>
        <color rgb="FF808080"/>
        <rFont val="Tahoma"/>
        <family val="2"/>
      </rPr>
      <t>Trade accounts receivable</t>
    </r>
  </si>
  <si>
    <r>
      <rPr>
        <sz val="11"/>
        <color rgb="FF808080"/>
        <rFont val="Tahoma"/>
        <family val="2"/>
      </rPr>
      <t>Other accounts receivable</t>
    </r>
  </si>
  <si>
    <r>
      <rPr>
        <sz val="11"/>
        <color rgb="FF4D4D4D"/>
        <rFont val="Tahoma"/>
        <family val="2"/>
      </rPr>
      <t>Inventories</t>
    </r>
  </si>
  <si>
    <r>
      <rPr>
        <sz val="11"/>
        <color rgb="FF808080"/>
        <rFont val="Tahoma"/>
        <family val="2"/>
      </rPr>
      <t>Other non-financial assets</t>
    </r>
  </si>
  <si>
    <r>
      <rPr>
        <sz val="11"/>
        <color rgb="FF808080"/>
        <rFont val="Tahoma"/>
        <family val="2"/>
      </rPr>
      <t>Accounts receivable from related parties</t>
    </r>
  </si>
  <si>
    <r>
      <rPr>
        <sz val="11"/>
        <color rgb="FF808080"/>
        <rFont val="Tahoma"/>
        <family val="2"/>
      </rPr>
      <t>Tax Credit</t>
    </r>
  </si>
  <si>
    <r>
      <rPr>
        <sz val="11"/>
        <color rgb="FF808080"/>
        <rFont val="Tahoma"/>
        <family val="2"/>
      </rPr>
      <t>Trade accounts payable</t>
    </r>
  </si>
  <si>
    <r>
      <rPr>
        <sz val="11"/>
        <color rgb="FF808080"/>
        <rFont val="Tahoma"/>
        <family val="2"/>
      </rPr>
      <t>Other accounts payable</t>
    </r>
  </si>
  <si>
    <r>
      <rPr>
        <sz val="11"/>
        <color rgb="FF808080"/>
        <rFont val="Tahoma"/>
        <family val="2"/>
      </rPr>
      <t>Financial liabilities - Short Term</t>
    </r>
  </si>
  <si>
    <r>
      <rPr>
        <sz val="11"/>
        <color rgb="FF808080"/>
        <rFont val="Tahoma"/>
        <family val="2"/>
      </rPr>
      <t>Accounts payable to related parties</t>
    </r>
  </si>
  <si>
    <r>
      <rPr>
        <sz val="11"/>
        <color rgb="FF808080"/>
        <rFont val="Tahoma"/>
        <family val="2"/>
      </rPr>
      <t>Other provisions</t>
    </r>
  </si>
  <si>
    <r>
      <rPr>
        <sz val="11"/>
        <color rgb="FF808080"/>
        <rFont val="Tahoma"/>
        <family val="2"/>
      </rPr>
      <t>Accounts payable to related parties - Long Term</t>
    </r>
  </si>
  <si>
    <r>
      <rPr>
        <sz val="11"/>
        <color rgb="FF808080"/>
        <rFont val="Tahoma"/>
        <family val="2"/>
      </rPr>
      <t>Financial liabilities - Long Term</t>
    </r>
  </si>
  <si>
    <r>
      <rPr>
        <sz val="11"/>
        <color rgb="FF808080"/>
        <rFont val="Tahoma"/>
        <family val="2"/>
      </rPr>
      <t>Income tax and deferred stake</t>
    </r>
  </si>
  <si>
    <r>
      <rPr>
        <sz val="11"/>
        <color rgb="FF808080"/>
        <rFont val="Tahoma"/>
        <family val="2"/>
      </rPr>
      <t>Other capital reserves</t>
    </r>
  </si>
  <si>
    <r>
      <rPr>
        <sz val="11"/>
        <color rgb="FF808080"/>
        <rFont val="Tahoma"/>
        <family val="2"/>
      </rPr>
      <t>Accumulated income</t>
    </r>
  </si>
  <si>
    <r>
      <rPr>
        <sz val="11"/>
        <color rgb="FF808080"/>
        <rFont val="Tahoma"/>
        <family val="2"/>
      </rPr>
      <t>Supplementary revenues</t>
    </r>
    <r>
      <rPr>
        <sz val="11"/>
        <color rgb="FF808080"/>
        <rFont val="Tahoma"/>
        <family val="2"/>
      </rPr>
      <t xml:space="preserve"> </t>
    </r>
  </si>
  <si>
    <r>
      <rPr>
        <sz val="11"/>
        <color rgb="FF808080"/>
        <rFont val="Tahoma"/>
        <family val="2"/>
      </rPr>
      <t>Supplies and spare parts, net</t>
    </r>
  </si>
  <si>
    <r>
      <rPr>
        <sz val="11"/>
        <color rgb="FF808080"/>
        <rFont val="Tahoma"/>
        <family val="2"/>
      </rPr>
      <t>Pre-contracted expenses</t>
    </r>
  </si>
  <si>
    <r>
      <rPr>
        <sz val="11"/>
        <color rgb="FF808080"/>
        <rFont val="Tahoma"/>
        <family val="2"/>
      </rPr>
      <t>Trade accounts receivable, net</t>
    </r>
  </si>
  <si>
    <r>
      <rPr>
        <sz val="11"/>
        <color rgb="FF808080"/>
        <rFont val="Tahoma"/>
        <family val="2"/>
      </rPr>
      <t>Long-term accounts receivable from related parties</t>
    </r>
  </si>
  <si>
    <r>
      <rPr>
        <sz val="11"/>
        <color rgb="FF808080"/>
        <rFont val="Tahoma"/>
        <family val="2"/>
      </rPr>
      <t>Other long-term accounts receivable</t>
    </r>
  </si>
  <si>
    <r>
      <rPr>
        <sz val="11"/>
        <color rgb="FF808080"/>
        <rFont val="Tahoma"/>
        <family val="2"/>
      </rPr>
      <t>Facilities, furniture and equipment, net</t>
    </r>
  </si>
  <si>
    <r>
      <rPr>
        <sz val="11"/>
        <color rgb="FF808080"/>
        <rFont val="Tahoma"/>
        <family val="2"/>
      </rPr>
      <t>Leases</t>
    </r>
  </si>
  <si>
    <r>
      <rPr>
        <sz val="11"/>
        <color rgb="FF808080"/>
        <rFont val="Tahoma"/>
        <family val="2"/>
      </rPr>
      <t>Intangible assets, net</t>
    </r>
  </si>
  <si>
    <r>
      <rPr>
        <sz val="11"/>
        <color rgb="FF808080"/>
        <rFont val="Tahoma"/>
        <family val="2"/>
      </rPr>
      <t>Taxes and contributions payable</t>
    </r>
  </si>
  <si>
    <r>
      <rPr>
        <sz val="11"/>
        <color rgb="FF808080"/>
        <rFont val="Tahoma"/>
        <family val="2"/>
      </rPr>
      <t>Financial liabilities</t>
    </r>
  </si>
  <si>
    <r>
      <rPr>
        <sz val="11"/>
        <color rgb="FF808080"/>
        <rFont val="Tahoma"/>
        <family val="2"/>
      </rPr>
      <t>Other long-term accounts payable</t>
    </r>
  </si>
  <si>
    <r>
      <rPr>
        <sz val="11"/>
        <color rgb="FF808080"/>
        <rFont val="Tahoma"/>
        <family val="2"/>
      </rPr>
      <t>Long-term provisions</t>
    </r>
  </si>
  <si>
    <r>
      <rPr>
        <sz val="11"/>
        <color rgb="FF808080"/>
        <rFont val="Tahoma"/>
        <family val="2"/>
      </rPr>
      <t>Long-term financial liabilities</t>
    </r>
  </si>
  <si>
    <r>
      <rPr>
        <sz val="11"/>
        <color rgb="FF808080"/>
        <rFont val="Tahoma"/>
        <family val="2"/>
      </rPr>
      <t>Hedge Derivative Instruments</t>
    </r>
  </si>
  <si>
    <r>
      <rPr>
        <sz val="11"/>
        <color rgb="FF808080"/>
        <rFont val="Tahoma"/>
        <family val="2"/>
      </rPr>
      <t>Deferred income tax liability, net</t>
    </r>
  </si>
  <si>
    <r>
      <rPr>
        <sz val="11"/>
        <color rgb="FF808080"/>
        <rFont val="Tahoma"/>
        <family val="2"/>
      </rPr>
      <t>Issued capital</t>
    </r>
  </si>
  <si>
    <r>
      <rPr>
        <sz val="11"/>
        <color rgb="FF808080"/>
        <rFont val="Tahoma"/>
        <family val="2"/>
      </rPr>
      <t>Issuance premium</t>
    </r>
  </si>
  <si>
    <r>
      <rPr>
        <sz val="11"/>
        <color rgb="FF808080"/>
        <rFont val="Tahoma"/>
        <family val="2"/>
      </rPr>
      <t>Other equity reserves</t>
    </r>
  </si>
  <si>
    <r>
      <rPr>
        <b/>
        <sz val="10"/>
        <color rgb="FFFFFFFF"/>
        <rFont val="Tahoma"/>
        <family val="2"/>
      </rPr>
      <t>Affiliate</t>
    </r>
  </si>
  <si>
    <r>
      <rPr>
        <b/>
        <sz val="10"/>
        <color rgb="FFFFFFFF"/>
        <rFont val="Tahoma"/>
        <family val="2"/>
      </rPr>
      <t>Financing source</t>
    </r>
  </si>
  <si>
    <r>
      <rPr>
        <b/>
        <sz val="10"/>
        <color rgb="FFFFFFFF"/>
        <rFont val="Tahoma"/>
        <family val="2"/>
      </rPr>
      <t>Loan Currency</t>
    </r>
  </si>
  <si>
    <r>
      <rPr>
        <b/>
        <sz val="10"/>
        <color rgb="FFFFFFFF"/>
        <rFont val="Tahoma"/>
        <family val="2"/>
      </rPr>
      <t>Starting date</t>
    </r>
  </si>
  <si>
    <r>
      <rPr>
        <b/>
        <sz val="10"/>
        <color rgb="FFFFFFFF"/>
        <rFont val="Tahoma"/>
        <family val="2"/>
      </rPr>
      <t>Maturity date</t>
    </r>
  </si>
  <si>
    <r>
      <rPr>
        <b/>
        <sz val="10"/>
        <color rgb="FFFFFFFF"/>
        <rFont val="Tahoma"/>
        <family val="2"/>
      </rPr>
      <t>Term years</t>
    </r>
  </si>
  <si>
    <r>
      <rPr>
        <b/>
        <sz val="10"/>
        <color rgb="FFFFFFFF"/>
        <rFont val="Tahoma"/>
        <family val="2"/>
      </rPr>
      <t>Interest rate</t>
    </r>
  </si>
  <si>
    <r>
      <rPr>
        <sz val="11"/>
        <color rgb="FF000000"/>
        <rFont val="Calibri"/>
        <family val="2"/>
      </rPr>
      <t>ISA</t>
    </r>
  </si>
  <si>
    <t>⁺</t>
  </si>
  <si>
    <r>
      <rPr>
        <sz val="11"/>
        <color rgb="FF808080"/>
        <rFont val="Tahoma"/>
        <family val="2"/>
      </rPr>
      <t>Transelca</t>
    </r>
  </si>
  <si>
    <t>INTERCHILE</t>
  </si>
  <si>
    <r>
      <rPr>
        <b/>
        <sz val="10"/>
        <color rgb="FFFFFFFF"/>
        <rFont val="Tahoma"/>
        <family val="2"/>
      </rPr>
      <t>Issue date</t>
    </r>
  </si>
  <si>
    <r>
      <rPr>
        <sz val="11"/>
        <color rgb="FF000000"/>
        <rFont val="Calibri"/>
        <family val="2"/>
      </rPr>
      <t>Colombia</t>
    </r>
  </si>
  <si>
    <r>
      <rPr>
        <sz val="11"/>
        <color rgb="FF000000"/>
        <rFont val="Calibri"/>
        <family val="2"/>
      </rPr>
      <t>Chile</t>
    </r>
  </si>
  <si>
    <r>
      <rPr>
        <sz val="11"/>
        <color rgb="FF000000"/>
        <rFont val="Calibri"/>
        <family val="2"/>
      </rPr>
      <t>Peru</t>
    </r>
  </si>
  <si>
    <r>
      <rPr>
        <b/>
        <sz val="12"/>
        <color rgb="FF003087"/>
        <rFont val="Tahoma"/>
        <family val="2"/>
      </rPr>
      <t>Dividends received by the Parent Company</t>
    </r>
  </si>
  <si>
    <r>
      <rPr>
        <b/>
        <sz val="11"/>
        <color rgb="FFFFFFFF"/>
        <rFont val="Tahoma"/>
        <family val="2"/>
      </rPr>
      <t>Company</t>
    </r>
  </si>
  <si>
    <r>
      <rPr>
        <sz val="11"/>
        <color rgb="FF808080"/>
        <rFont val="Tahoma"/>
        <family val="2"/>
      </rPr>
      <t>XM</t>
    </r>
  </si>
  <si>
    <r>
      <rPr>
        <sz val="11"/>
        <color rgb="FF808080"/>
        <rFont val="Tahoma"/>
        <family val="2"/>
      </rPr>
      <t>Intercolombia</t>
    </r>
  </si>
  <si>
    <r>
      <rPr>
        <sz val="11"/>
        <color rgb="FF808080"/>
        <rFont val="Tahoma"/>
        <family val="2"/>
      </rPr>
      <t>SIR</t>
    </r>
  </si>
  <si>
    <r>
      <rPr>
        <b/>
        <sz val="11"/>
        <color rgb="FF808080"/>
        <rFont val="Tahoma"/>
        <family val="2"/>
      </rPr>
      <t>Total Colombia</t>
    </r>
  </si>
  <si>
    <r>
      <rPr>
        <sz val="11"/>
        <color rgb="FF808080"/>
        <rFont val="Tahoma"/>
        <family val="2"/>
      </rPr>
      <t>ISA Bolivia</t>
    </r>
  </si>
  <si>
    <r>
      <rPr>
        <sz val="11"/>
        <color rgb="FF808080"/>
        <rFont val="Tahoma"/>
        <family val="2"/>
      </rPr>
      <t>ISA Perú</t>
    </r>
  </si>
  <si>
    <r>
      <rPr>
        <sz val="11"/>
        <color rgb="FF808080"/>
        <rFont val="Tahoma"/>
        <family val="2"/>
      </rPr>
      <t>PDI</t>
    </r>
  </si>
  <si>
    <r>
      <rPr>
        <sz val="11"/>
        <color rgb="FF808080"/>
        <rFont val="Tahoma"/>
        <family val="2"/>
      </rPr>
      <t>EPR</t>
    </r>
  </si>
  <si>
    <r>
      <rPr>
        <sz val="11"/>
        <color rgb="FF808080"/>
        <rFont val="Tahoma"/>
        <family val="2"/>
      </rPr>
      <t>ISA Inversiones Chile</t>
    </r>
  </si>
  <si>
    <r>
      <rPr>
        <sz val="11"/>
        <color rgb="FF808080"/>
        <rFont val="Tahoma"/>
        <family val="2"/>
      </rPr>
      <t>ISA Capital do Brasil</t>
    </r>
  </si>
  <si>
    <r>
      <rPr>
        <sz val="11"/>
        <color rgb="FF808080"/>
        <rFont val="Tahoma"/>
        <family val="2"/>
      </rPr>
      <t>ISA Investimentos</t>
    </r>
  </si>
  <si>
    <r>
      <rPr>
        <b/>
        <sz val="11"/>
        <color rgb="FF808080"/>
        <rFont val="Tahoma"/>
        <family val="2"/>
      </rPr>
      <t>Total abroad</t>
    </r>
  </si>
  <si>
    <r>
      <rPr>
        <b/>
        <sz val="11"/>
        <color rgb="FF808080"/>
        <rFont val="Tahoma"/>
        <family val="2"/>
      </rPr>
      <t>Total dividends received</t>
    </r>
  </si>
  <si>
    <r>
      <rPr>
        <b/>
        <sz val="12"/>
        <color rgb="FF003087"/>
        <rFont val="Tahoma"/>
        <family val="2"/>
      </rPr>
      <t>Dividends provided by the Parent Company</t>
    </r>
  </si>
  <si>
    <r>
      <rPr>
        <sz val="11"/>
        <color rgb="FF808080"/>
        <rFont val="Tahoma"/>
        <family val="2"/>
      </rPr>
      <t>Total dividend</t>
    </r>
  </si>
  <si>
    <r>
      <rPr>
        <sz val="11"/>
        <color rgb="FF808080"/>
        <rFont val="Tahoma"/>
        <family val="2"/>
      </rPr>
      <t>Dividend per share</t>
    </r>
  </si>
  <si>
    <r>
      <rPr>
        <b/>
        <sz val="12"/>
        <color rgb="FF003087"/>
        <rFont val="Tahoma"/>
        <family val="2"/>
      </rPr>
      <t>SEPARATE INCOME STATEMENT - ISA PERÚ</t>
    </r>
  </si>
  <si>
    <r>
      <rPr>
        <sz val="11"/>
        <color rgb="FF4D4D4D"/>
        <rFont val="Tahoma"/>
        <family val="2"/>
      </rPr>
      <t>Trade accounts receivable, net</t>
    </r>
  </si>
  <si>
    <r>
      <rPr>
        <sz val="11"/>
        <color rgb="FF4D4D4D"/>
        <rFont val="Tahoma"/>
        <family val="2"/>
      </rPr>
      <t>Other accounts receivable, net</t>
    </r>
  </si>
  <si>
    <r>
      <rPr>
        <sz val="11"/>
        <color rgb="FF4D4D4D"/>
        <rFont val="Tahoma"/>
        <family val="2"/>
      </rPr>
      <t>Accounts receivable from related parties</t>
    </r>
  </si>
  <si>
    <r>
      <rPr>
        <sz val="11"/>
        <color rgb="FF4D4D4D"/>
        <rFont val="Tahoma"/>
        <family val="2"/>
      </rPr>
      <t>Income tax assets</t>
    </r>
    <r>
      <rPr>
        <sz val="11"/>
        <color rgb="FF4D4D4D"/>
        <rFont val="Tahoma"/>
        <family val="2"/>
      </rPr>
      <t xml:space="preserve"> </t>
    </r>
  </si>
  <si>
    <r>
      <rPr>
        <sz val="11"/>
        <color rgb="FF4D4D4D"/>
        <rFont val="Tahoma"/>
        <family val="2"/>
      </rPr>
      <t>Other non-financial assets</t>
    </r>
  </si>
  <si>
    <r>
      <rPr>
        <sz val="11"/>
        <color rgb="FF4D4D4D"/>
        <rFont val="Tahoma"/>
        <family val="2"/>
      </rPr>
      <t>Trade accounts receivable</t>
    </r>
  </si>
  <si>
    <r>
      <rPr>
        <sz val="11"/>
        <color rgb="FF4D4D4D"/>
        <rFont val="Tahoma"/>
        <family val="2"/>
      </rPr>
      <t>Financial investments</t>
    </r>
  </si>
  <si>
    <r>
      <rPr>
        <sz val="11"/>
        <color rgb="FF4D4D4D"/>
        <rFont val="Tahoma"/>
        <family val="2"/>
      </rPr>
      <t>Property, plant, and equipment, net</t>
    </r>
  </si>
  <si>
    <r>
      <rPr>
        <sz val="11"/>
        <color rgb="FF4D4D4D"/>
        <rFont val="Tahoma"/>
        <family val="2"/>
      </rPr>
      <t>Intangible assets</t>
    </r>
  </si>
  <si>
    <r>
      <rPr>
        <sz val="11"/>
        <color rgb="FF4D4D4D"/>
        <rFont val="Tahoma"/>
        <family val="2"/>
      </rPr>
      <t>Deferred income tax assets</t>
    </r>
  </si>
  <si>
    <r>
      <rPr>
        <sz val="11"/>
        <color rgb="FF4D4D4D"/>
        <rFont val="Tahoma"/>
        <family val="2"/>
      </rPr>
      <t>Bank overdrafts</t>
    </r>
  </si>
  <si>
    <r>
      <rPr>
        <sz val="11"/>
        <color rgb="FF4D4D4D"/>
        <rFont val="Tahoma"/>
        <family val="2"/>
      </rPr>
      <t>Trade accounts payable</t>
    </r>
    <r>
      <rPr>
        <sz val="11"/>
        <color rgb="FF4D4D4D"/>
        <rFont val="Tahoma"/>
        <family val="2"/>
      </rPr>
      <t xml:space="preserve"> </t>
    </r>
  </si>
  <si>
    <r>
      <rPr>
        <sz val="11"/>
        <color rgb="FF4D4D4D"/>
        <rFont val="Tahoma"/>
        <family val="2"/>
      </rPr>
      <t xml:space="preserve">       </t>
    </r>
    <r>
      <rPr>
        <sz val="11"/>
        <color rgb="FF4D4D4D"/>
        <rFont val="Tahoma"/>
        <family val="2"/>
      </rPr>
      <t>Taxes payable</t>
    </r>
  </si>
  <si>
    <r>
      <rPr>
        <sz val="11"/>
        <color rgb="FF4D4D4D"/>
        <rFont val="Tahoma"/>
        <family val="2"/>
      </rPr>
      <t xml:space="preserve">       </t>
    </r>
    <r>
      <rPr>
        <sz val="11"/>
        <color rgb="FF4D4D4D"/>
        <rFont val="Tahoma"/>
        <family val="2"/>
      </rPr>
      <t>Compensations payable</t>
    </r>
  </si>
  <si>
    <r>
      <rPr>
        <sz val="11"/>
        <color rgb="FF4D4D4D"/>
        <rFont val="Tahoma"/>
        <family val="2"/>
      </rPr>
      <t xml:space="preserve">       </t>
    </r>
    <r>
      <rPr>
        <sz val="11"/>
        <color rgb="FF4D4D4D"/>
        <rFont val="Tahoma"/>
        <family val="2"/>
      </rPr>
      <t>Other accounts payable</t>
    </r>
  </si>
  <si>
    <r>
      <rPr>
        <sz val="11"/>
        <color rgb="FF4D4D4D"/>
        <rFont val="Tahoma"/>
        <family val="2"/>
      </rPr>
      <t>Other accounts payable</t>
    </r>
  </si>
  <si>
    <r>
      <rPr>
        <sz val="11"/>
        <color rgb="FF4D4D4D"/>
        <rFont val="Tahoma"/>
        <family val="2"/>
      </rPr>
      <t>Accounts payable to related parties</t>
    </r>
  </si>
  <si>
    <r>
      <rPr>
        <sz val="11"/>
        <color rgb="FF4D4D4D"/>
        <rFont val="Tahoma"/>
        <family val="2"/>
      </rPr>
      <t>Income tax liabilities</t>
    </r>
    <r>
      <rPr>
        <sz val="11"/>
        <color rgb="FF4D4D4D"/>
        <rFont val="Tahoma"/>
        <family val="2"/>
      </rPr>
      <t xml:space="preserve"> </t>
    </r>
  </si>
  <si>
    <r>
      <rPr>
        <sz val="11"/>
        <color rgb="FF4D4D4D"/>
        <rFont val="Tahoma"/>
        <family val="2"/>
      </rPr>
      <t>Other provisions</t>
    </r>
    <r>
      <rPr>
        <sz val="11"/>
        <color rgb="FF4D4D4D"/>
        <rFont val="Tahoma"/>
        <family val="2"/>
      </rPr>
      <t xml:space="preserve"> </t>
    </r>
  </si>
  <si>
    <r>
      <rPr>
        <sz val="11"/>
        <color rgb="FF4D4D4D"/>
        <rFont val="Tahoma"/>
        <family val="2"/>
      </rPr>
      <t>Short-term financial liabilities</t>
    </r>
  </si>
  <si>
    <r>
      <rPr>
        <sz val="11"/>
        <color rgb="FF4D4D4D"/>
        <rFont val="Tahoma"/>
        <family val="2"/>
      </rPr>
      <t>Long-term financial liabilities</t>
    </r>
  </si>
  <si>
    <r>
      <rPr>
        <sz val="11"/>
        <color rgb="FF4D4D4D"/>
        <rFont val="Tahoma"/>
        <family val="2"/>
      </rPr>
      <t>Hedge Derivative financial instruments</t>
    </r>
  </si>
  <si>
    <r>
      <rPr>
        <sz val="11"/>
        <color rgb="FF4D4D4D"/>
        <rFont val="Tahoma"/>
        <family val="2"/>
      </rPr>
      <t>Deferred tax liabilities</t>
    </r>
  </si>
  <si>
    <r>
      <rPr>
        <sz val="11"/>
        <color rgb="FF4D4D4D"/>
        <rFont val="Tahoma"/>
        <family val="2"/>
      </rPr>
      <t>Issued capital</t>
    </r>
  </si>
  <si>
    <r>
      <rPr>
        <sz val="11"/>
        <color rgb="FF4D4D4D"/>
        <rFont val="Tahoma"/>
        <family val="2"/>
      </rPr>
      <t>Issuance premium</t>
    </r>
  </si>
  <si>
    <r>
      <rPr>
        <sz val="11"/>
        <color rgb="FF4D4D4D"/>
        <rFont val="Tahoma"/>
        <family val="2"/>
      </rPr>
      <t>Other capital reserves</t>
    </r>
  </si>
  <si>
    <r>
      <rPr>
        <sz val="11"/>
        <color rgb="FF4D4D4D"/>
        <rFont val="Tahoma"/>
        <family val="2"/>
      </rPr>
      <t>Accumulated income</t>
    </r>
  </si>
  <si>
    <r>
      <rPr>
        <sz val="11"/>
        <color rgb="FF4D4D4D"/>
        <rFont val="Tahoma"/>
        <family val="2"/>
      </rPr>
      <t>Other equity reserves</t>
    </r>
  </si>
  <si>
    <r>
      <rPr>
        <b/>
        <sz val="11"/>
        <color rgb="FF000000"/>
        <rFont val="Calibri"/>
        <family val="2"/>
      </rPr>
      <t>Country</t>
    </r>
  </si>
  <si>
    <r>
      <rPr>
        <b/>
        <sz val="11"/>
        <color rgb="FF000000"/>
        <rFont val="Calibri"/>
        <family val="2"/>
      </rPr>
      <t>Regulations</t>
    </r>
  </si>
  <si>
    <r>
      <rPr>
        <b/>
        <sz val="11"/>
        <color rgb="FF000000"/>
        <rFont val="Calibri"/>
        <family val="2"/>
      </rPr>
      <t>Entity</t>
    </r>
  </si>
  <si>
    <r>
      <rPr>
        <b/>
        <sz val="11"/>
        <color rgb="FF000000"/>
        <rFont val="Calibri"/>
        <family val="2"/>
      </rPr>
      <t>Link (public information)</t>
    </r>
  </si>
  <si>
    <r>
      <rPr>
        <b/>
        <sz val="11"/>
        <color rgb="FF000000"/>
        <rFont val="Calibri"/>
        <family val="2"/>
      </rPr>
      <t>Note</t>
    </r>
  </si>
  <si>
    <r>
      <rPr>
        <sz val="11"/>
        <color rgb="FF000000"/>
        <rFont val="Calibri"/>
        <family val="2"/>
      </rPr>
      <t>All transmission companies</t>
    </r>
  </si>
  <si>
    <r>
      <rPr>
        <sz val="11"/>
        <color rgb="FF000000"/>
        <rFont val="Calibri"/>
        <family val="2"/>
      </rPr>
      <t>Resolution 022 of 2001</t>
    </r>
  </si>
  <si>
    <r>
      <rPr>
        <sz val="11"/>
        <color rgb="FF000000"/>
        <rFont val="Calibri"/>
        <family val="2"/>
      </rPr>
      <t>CREG</t>
    </r>
  </si>
  <si>
    <r>
      <rPr>
        <u/>
        <sz val="11"/>
        <color rgb="FF0563C1"/>
        <rFont val="Calibri"/>
        <family val="2"/>
      </rPr>
      <t>http://apolo.creg.gov.co/Publicac.nsf/Documentos-Resoluciones?openview=</t>
    </r>
  </si>
  <si>
    <r>
      <rPr>
        <sz val="11"/>
        <color rgb="FF000000"/>
        <rFont val="Calibri"/>
        <family val="2"/>
      </rPr>
      <t>General - Remuneration scheme for transmission projects executed through the call mechanism</t>
    </r>
  </si>
  <si>
    <r>
      <rPr>
        <sz val="11"/>
        <color rgb="FF000000"/>
        <rFont val="Calibri"/>
        <family val="2"/>
      </rPr>
      <t>Resolution 085 of 2002</t>
    </r>
  </si>
  <si>
    <r>
      <rPr>
        <sz val="11"/>
        <color rgb="FF000000"/>
        <rFont val="Calibri"/>
        <family val="2"/>
      </rPr>
      <t>General - Modifies the remuneration scheme of the call projects</t>
    </r>
  </si>
  <si>
    <r>
      <rPr>
        <sz val="11"/>
        <color rgb="FF000000"/>
        <rFont val="Calibri"/>
        <family val="2"/>
      </rPr>
      <t>Resolution 093 of 2007</t>
    </r>
  </si>
  <si>
    <r>
      <rPr>
        <sz val="11"/>
        <color rgb="FF000000"/>
        <rFont val="Calibri"/>
        <family val="2"/>
      </rPr>
      <t>General - Modifies the remuneration scheme of the call projects, especially guarantees and date of entry into operation</t>
    </r>
  </si>
  <si>
    <r>
      <rPr>
        <sz val="11"/>
        <color rgb="FF000000"/>
        <rFont val="Calibri"/>
        <family val="2"/>
      </rPr>
      <t>Resolution 083 of 2008</t>
    </r>
  </si>
  <si>
    <r>
      <rPr>
        <sz val="11"/>
        <color rgb="FF000000"/>
        <rFont val="Calibri"/>
        <family val="2"/>
      </rPr>
      <t>General - Methodology to calculate the rate of return applicable to the remuneration of energy transmission. This rate is fixed.</t>
    </r>
  </si>
  <si>
    <r>
      <rPr>
        <sz val="11"/>
        <color rgb="FF000000"/>
        <rFont val="Calibri"/>
        <family val="2"/>
      </rPr>
      <t>Resolution 011 of 2009</t>
    </r>
  </si>
  <si>
    <r>
      <rPr>
        <sz val="11"/>
        <color rgb="FF000000"/>
        <rFont val="Calibri"/>
        <family val="2"/>
      </rPr>
      <t>General - Transmission Remuneration Methodology</t>
    </r>
  </si>
  <si>
    <r>
      <rPr>
        <sz val="11"/>
        <color rgb="FF000000"/>
        <rFont val="Calibri"/>
        <family val="2"/>
      </rPr>
      <t>Resolution 035 of 2010</t>
    </r>
  </si>
  <si>
    <r>
      <rPr>
        <sz val="11"/>
        <color rgb="FF000000"/>
        <rFont val="Calibri"/>
        <family val="2"/>
      </rPr>
      <t>General - Approves the discount rate and payment profile to evaluate the proposals submitted in the calls to execute expansion projects</t>
    </r>
  </si>
  <si>
    <r>
      <rPr>
        <sz val="11"/>
        <color rgb="FF000000"/>
        <rFont val="Calibri"/>
        <family val="2"/>
      </rPr>
      <t>Resolution 050 of 2010</t>
    </r>
  </si>
  <si>
    <r>
      <rPr>
        <sz val="11"/>
        <color rgb="FF000000"/>
        <rFont val="Calibri"/>
        <family val="2"/>
      </rPr>
      <t>General - Specifies the verification mechanisms of the AOM information delivered by the National Transmission Companies for the annual adjustment of the %AOM to be recognized</t>
    </r>
  </si>
  <si>
    <r>
      <rPr>
        <sz val="11"/>
        <color rgb="FF000000"/>
        <rFont val="Calibri"/>
        <family val="2"/>
      </rPr>
      <t>Resolution 147 of 2011</t>
    </r>
  </si>
  <si>
    <r>
      <rPr>
        <sz val="11"/>
        <color rgb="FF000000"/>
        <rFont val="Calibri"/>
        <family val="2"/>
      </rPr>
      <t>General - Expansion Development and Remuneration Scheme</t>
    </r>
  </si>
  <si>
    <r>
      <rPr>
        <sz val="11"/>
        <color rgb="FF000000"/>
        <rFont val="Calibri"/>
        <family val="2"/>
      </rPr>
      <t>Resolution 024 of 2012</t>
    </r>
  </si>
  <si>
    <r>
      <rPr>
        <sz val="11"/>
        <color rgb="FF000000"/>
        <rFont val="Calibri"/>
        <family val="2"/>
      </rPr>
      <t>General - Adjusts aspects related to the remuneration of AOM</t>
    </r>
  </si>
  <si>
    <r>
      <rPr>
        <sz val="11"/>
        <color rgb="FF000000"/>
        <rFont val="Calibri"/>
        <family val="2"/>
      </rPr>
      <t>Resolution 064 of 2013</t>
    </r>
  </si>
  <si>
    <r>
      <rPr>
        <sz val="11"/>
        <color rgb="FF000000"/>
        <rFont val="Calibri"/>
        <family val="2"/>
      </rPr>
      <t>General - Complements the Expansion development and remuneration scheme</t>
    </r>
  </si>
  <si>
    <r>
      <rPr>
        <sz val="11"/>
        <color rgb="FF000000"/>
        <rFont val="Calibri"/>
        <family val="2"/>
      </rPr>
      <t>Resolution 095 of 2015</t>
    </r>
  </si>
  <si>
    <r>
      <rPr>
        <sz val="11"/>
        <color rgb="FF000000"/>
        <rFont val="Calibri"/>
        <family val="2"/>
      </rPr>
      <t>General - Methodology to calculate the discount rate to be applied to regulated activities, including domestic transmission</t>
    </r>
  </si>
  <si>
    <r>
      <rPr>
        <sz val="11"/>
        <color rgb="FF000000"/>
        <rFont val="Calibri"/>
        <family val="2"/>
      </rPr>
      <t>Resolution 067 of 1999</t>
    </r>
  </si>
  <si>
    <r>
      <rPr>
        <sz val="11"/>
        <color rgb="FF000000"/>
        <rFont val="Calibri"/>
        <family val="2"/>
      </rPr>
      <t>Specific - UPME 01-1999 project entry</t>
    </r>
  </si>
  <si>
    <r>
      <rPr>
        <sz val="11"/>
        <color rgb="FF000000"/>
        <rFont val="Calibri"/>
        <family val="2"/>
      </rPr>
      <t>Resolution 078 of 1999</t>
    </r>
  </si>
  <si>
    <r>
      <rPr>
        <sz val="11"/>
        <color rgb="FF000000"/>
        <rFont val="Calibri"/>
        <family val="2"/>
      </rPr>
      <t>Specific - UPME 02-1999 project entry</t>
    </r>
  </si>
  <si>
    <r>
      <rPr>
        <sz val="11"/>
        <color rgb="FF000000"/>
        <rFont val="Calibri"/>
        <family val="2"/>
      </rPr>
      <t>Resolution 004 of 2007</t>
    </r>
  </si>
  <si>
    <r>
      <rPr>
        <sz val="11"/>
        <color rgb="FF000000"/>
        <rFont val="Calibri"/>
        <family val="2"/>
      </rPr>
      <t>Specific - UPME 01-2003 project entry</t>
    </r>
  </si>
  <si>
    <r>
      <rPr>
        <sz val="11"/>
        <color rgb="FF000000"/>
        <rFont val="Calibri"/>
        <family val="2"/>
      </rPr>
      <t>Resolution 058 of 2007</t>
    </r>
  </si>
  <si>
    <r>
      <rPr>
        <sz val="11"/>
        <color rgb="FF000000"/>
        <rFont val="Calibri"/>
        <family val="2"/>
      </rPr>
      <t>Specific - UPME 02-2003 project entry</t>
    </r>
  </si>
  <si>
    <r>
      <rPr>
        <sz val="11"/>
        <color rgb="FF000000"/>
        <rFont val="Calibri"/>
        <family val="2"/>
      </rPr>
      <t>Resolution 089 of 2008</t>
    </r>
  </si>
  <si>
    <r>
      <rPr>
        <sz val="11"/>
        <color rgb="FF000000"/>
        <rFont val="Calibri"/>
        <family val="2"/>
      </rPr>
      <t>Specific - UPME 01-2007 project entry</t>
    </r>
  </si>
  <si>
    <r>
      <rPr>
        <sz val="11"/>
        <color rgb="FF000000"/>
        <rFont val="Calibri"/>
        <family val="2"/>
      </rPr>
      <t>Resolution 185 of 2009</t>
    </r>
  </si>
  <si>
    <r>
      <rPr>
        <sz val="11"/>
        <color rgb="FF000000"/>
        <rFont val="Calibri"/>
        <family val="2"/>
      </rPr>
      <t>Specific - UPME 02-2008 project entry</t>
    </r>
  </si>
  <si>
    <r>
      <rPr>
        <sz val="11"/>
        <color rgb="FF000000"/>
        <rFont val="Calibri"/>
        <family val="2"/>
      </rPr>
      <t>Resolution 063 of 2011</t>
    </r>
  </si>
  <si>
    <r>
      <rPr>
        <sz val="11"/>
        <color rgb="FF000000"/>
        <rFont val="Calibri"/>
        <family val="2"/>
      </rPr>
      <t>Specific - UPME 04-2009 project entry</t>
    </r>
  </si>
  <si>
    <r>
      <rPr>
        <sz val="11"/>
        <color rgb="FF000000"/>
        <rFont val="Calibri"/>
        <family val="2"/>
      </rPr>
      <t>Resolution 080 of 2012</t>
    </r>
  </si>
  <si>
    <r>
      <rPr>
        <sz val="11"/>
        <color rgb="FF000000"/>
        <rFont val="Calibri"/>
        <family val="2"/>
      </rPr>
      <t>Specific - UPME 02-2010 project entry</t>
    </r>
  </si>
  <si>
    <r>
      <rPr>
        <sz val="11"/>
        <color rgb="FF000000"/>
        <rFont val="Calibri"/>
        <family val="2"/>
      </rPr>
      <t>Resolution 005 of 2014</t>
    </r>
  </si>
  <si>
    <r>
      <rPr>
        <sz val="11"/>
        <color rgb="FF000000"/>
        <rFont val="Calibri"/>
        <family val="2"/>
      </rPr>
      <t>Specific - UPME 02-2013 project entry</t>
    </r>
  </si>
  <si>
    <r>
      <rPr>
        <sz val="11"/>
        <color rgb="FF000000"/>
        <rFont val="Calibri"/>
        <family val="2"/>
      </rPr>
      <t>Resolution 116 of 2014</t>
    </r>
  </si>
  <si>
    <r>
      <rPr>
        <sz val="11"/>
        <color rgb="FF000000"/>
        <rFont val="Calibri"/>
        <family val="2"/>
      </rPr>
      <t>Specific - UPME 02-2014 project entry</t>
    </r>
  </si>
  <si>
    <r>
      <rPr>
        <sz val="11"/>
        <color rgb="FF000000"/>
        <rFont val="Calibri"/>
        <family val="2"/>
      </rPr>
      <t>Resolution 137 of 2014</t>
    </r>
  </si>
  <si>
    <r>
      <rPr>
        <sz val="11"/>
        <color rgb="FF000000"/>
        <rFont val="Calibri"/>
        <family val="2"/>
      </rPr>
      <t>Specific - UPME 07-2013 project entry</t>
    </r>
  </si>
  <si>
    <r>
      <rPr>
        <sz val="11"/>
        <color rgb="FF000000"/>
        <rFont val="Calibri"/>
        <family val="2"/>
      </rPr>
      <t>Resolution 146 of 2014</t>
    </r>
  </si>
  <si>
    <r>
      <rPr>
        <sz val="11"/>
        <color rgb="FF000000"/>
        <rFont val="Calibri"/>
        <family val="2"/>
      </rPr>
      <t>Specific - UPME 06-2013 project entry</t>
    </r>
  </si>
  <si>
    <r>
      <rPr>
        <sz val="11"/>
        <color rgb="FF000000"/>
        <rFont val="Calibri"/>
        <family val="2"/>
      </rPr>
      <t>Resolution 046 of 2015</t>
    </r>
  </si>
  <si>
    <r>
      <rPr>
        <sz val="11"/>
        <color rgb="FF000000"/>
        <rFont val="Calibri"/>
        <family val="2"/>
      </rPr>
      <t>Specific - UPME 03-2014 project entry</t>
    </r>
  </si>
  <si>
    <r>
      <rPr>
        <sz val="11"/>
        <color rgb="FF000000"/>
        <rFont val="Calibri"/>
        <family val="2"/>
      </rPr>
      <t>Resolution 048 of 2015</t>
    </r>
  </si>
  <si>
    <r>
      <rPr>
        <sz val="11"/>
        <color rgb="FF000000"/>
        <rFont val="Calibri"/>
        <family val="2"/>
      </rPr>
      <t>Specific - UPME 05-2014 project entry</t>
    </r>
  </si>
  <si>
    <r>
      <rPr>
        <sz val="11"/>
        <color rgb="FF000000"/>
        <rFont val="Calibri"/>
        <family val="2"/>
      </rPr>
      <t>Resolution 063 of 2015</t>
    </r>
  </si>
  <si>
    <r>
      <rPr>
        <sz val="11"/>
        <color rgb="FF000000"/>
        <rFont val="Calibri"/>
        <family val="2"/>
      </rPr>
      <t>Specific - UPME 08-2014 project entry</t>
    </r>
  </si>
  <si>
    <r>
      <rPr>
        <sz val="11"/>
        <color rgb="FF000000"/>
        <rFont val="Calibri"/>
        <family val="2"/>
      </rPr>
      <t>Resolution 235 of 2015</t>
    </r>
  </si>
  <si>
    <r>
      <rPr>
        <sz val="11"/>
        <color rgb="FF000000"/>
        <rFont val="Calibri"/>
        <family val="2"/>
      </rPr>
      <t>Specific - UPME 09-2015 project entry</t>
    </r>
  </si>
  <si>
    <r>
      <rPr>
        <sz val="11"/>
        <color rgb="FF000000"/>
        <rFont val="Calibri"/>
        <family val="2"/>
      </rPr>
      <t>Resolution 092 of 2016</t>
    </r>
  </si>
  <si>
    <r>
      <rPr>
        <sz val="11"/>
        <color rgb="FF000000"/>
        <rFont val="Calibri"/>
        <family val="2"/>
      </rPr>
      <t>Specific - UPME 03-2016 project entry</t>
    </r>
  </si>
  <si>
    <r>
      <rPr>
        <sz val="11"/>
        <color rgb="FF000000"/>
        <rFont val="Calibri"/>
        <family val="2"/>
      </rPr>
      <t>Resolution 138 of 2017</t>
    </r>
  </si>
  <si>
    <r>
      <rPr>
        <sz val="11"/>
        <color rgb="FF000000"/>
        <rFont val="Calibri"/>
        <family val="2"/>
      </rPr>
      <t>Specific - UPME 09-2016 project entry</t>
    </r>
  </si>
  <si>
    <r>
      <rPr>
        <sz val="11"/>
        <color rgb="FF000000"/>
        <rFont val="Calibri"/>
        <family val="2"/>
      </rPr>
      <t>Resolution 116 of 2017</t>
    </r>
  </si>
  <si>
    <r>
      <rPr>
        <sz val="11"/>
        <color rgb="FF000000"/>
        <rFont val="Calibri"/>
        <family val="2"/>
      </rPr>
      <t>Specific - UPME 01-2017 project entry</t>
    </r>
  </si>
  <si>
    <r>
      <rPr>
        <sz val="11"/>
        <color rgb="FF000000"/>
        <rFont val="Calibri"/>
        <family val="2"/>
      </rPr>
      <t>Resolution 099 of 2018</t>
    </r>
  </si>
  <si>
    <r>
      <rPr>
        <sz val="11"/>
        <color rgb="FF000000"/>
        <rFont val="Calibri"/>
        <family val="2"/>
      </rPr>
      <t>Specific - UPME 01-2018 project entry</t>
    </r>
  </si>
  <si>
    <r>
      <rPr>
        <sz val="11"/>
        <color rgb="FF000000"/>
        <rFont val="Calibri"/>
        <family val="2"/>
      </rPr>
      <t>Resolution 012 of 2019</t>
    </r>
  </si>
  <si>
    <r>
      <rPr>
        <sz val="11"/>
        <color rgb="FF000000"/>
        <rFont val="Calibri"/>
        <family val="2"/>
      </rPr>
      <t>Specific - UPME 07-2017 project entry</t>
    </r>
  </si>
  <si>
    <r>
      <rPr>
        <sz val="11"/>
        <color rgb="FF000000"/>
        <rFont val="Calibri"/>
        <family val="2"/>
      </rPr>
      <t>ISA and INTERCOLOMBIA</t>
    </r>
  </si>
  <si>
    <r>
      <rPr>
        <sz val="11"/>
        <color rgb="FF000000"/>
        <rFont val="Calibri"/>
        <family val="2"/>
      </rPr>
      <t>Resolution 160 of 2019</t>
    </r>
  </si>
  <si>
    <r>
      <rPr>
        <sz val="11"/>
        <color rgb="FF000000"/>
        <rFont val="Calibri"/>
        <family val="2"/>
      </rPr>
      <t>Specific - UPME 08-2017 project entry and approval of INTERCOLOMBIA's representation</t>
    </r>
  </si>
  <si>
    <r>
      <rPr>
        <sz val="11"/>
        <color rgb="FF000000"/>
        <rFont val="Calibri"/>
        <family val="2"/>
      </rPr>
      <t>Resolution 177 of 2013</t>
    </r>
  </si>
  <si>
    <r>
      <rPr>
        <sz val="11"/>
        <color rgb="FF000000"/>
        <rFont val="Calibri"/>
        <family val="2"/>
      </rPr>
      <t>Resolution 144 of 2014</t>
    </r>
  </si>
  <si>
    <r>
      <rPr>
        <sz val="11"/>
        <color rgb="FF000000"/>
        <rFont val="Calibri"/>
        <family val="2"/>
      </rPr>
      <t>Specific - Approves INTERCOLOMBIA to represent UPME-04-2009 Project</t>
    </r>
  </si>
  <si>
    <r>
      <rPr>
        <sz val="11"/>
        <color rgb="FF000000"/>
        <rFont val="Calibri"/>
        <family val="2"/>
      </rPr>
      <t>Resolution 167 of 2014</t>
    </r>
  </si>
  <si>
    <r>
      <rPr>
        <sz val="11"/>
        <color rgb="FF000000"/>
        <rFont val="Calibri"/>
        <family val="2"/>
      </rPr>
      <t>Specific - Updates the asset base for Intercolombia S.A. E.S.P. Cerromatoso Substation</t>
    </r>
  </si>
  <si>
    <r>
      <rPr>
        <sz val="11"/>
        <color rgb="FF000000"/>
        <rFont val="Calibri"/>
        <family val="2"/>
      </rPr>
      <t>Resolution 169 of 2015</t>
    </r>
  </si>
  <si>
    <r>
      <rPr>
        <sz val="11"/>
        <color rgb="FF000000"/>
        <rFont val="Calibri"/>
        <family val="2"/>
      </rPr>
      <t xml:space="preserve">Specific - Updates the asset base for Intercolombia S.A. E.S.P. Bacatá 500 kV Substation </t>
    </r>
  </si>
  <si>
    <r>
      <rPr>
        <sz val="11"/>
        <color rgb="FF000000"/>
        <rFont val="Calibri"/>
        <family val="2"/>
      </rPr>
      <t>Resolution 233 of 2015</t>
    </r>
  </si>
  <si>
    <r>
      <rPr>
        <sz val="11"/>
        <color rgb="FF000000"/>
        <rFont val="Calibri"/>
        <family val="2"/>
      </rPr>
      <t>Specific - Updates the asset base for Intercolombia S.A. E.S.P. El Bosque 220 kV Substation and Termocol 220 kV Substation</t>
    </r>
  </si>
  <si>
    <r>
      <rPr>
        <sz val="11"/>
        <color rgb="FF000000"/>
        <rFont val="Calibri"/>
        <family val="2"/>
      </rPr>
      <t>Resolution 006 of 2016</t>
    </r>
  </si>
  <si>
    <r>
      <rPr>
        <sz val="11"/>
        <color rgb="FF000000"/>
        <rFont val="Calibri"/>
        <family val="2"/>
      </rPr>
      <t>Specific - Approves INTERCOLOMBIA to represent UPME-02-2013 and UPME-02-2014 Projects</t>
    </r>
  </si>
  <si>
    <r>
      <rPr>
        <sz val="11"/>
        <color rgb="FF000000"/>
        <rFont val="Calibri"/>
        <family val="2"/>
      </rPr>
      <t>Resolution 251 of 2016</t>
    </r>
  </si>
  <si>
    <r>
      <rPr>
        <sz val="11"/>
        <color rgb="FF000000"/>
        <rFont val="Calibri"/>
        <family val="2"/>
      </rPr>
      <t>Specific - Approves INTERCOLOMBIA to represent UPME-08-2014 and UPME-09-2015 Projects</t>
    </r>
  </si>
  <si>
    <r>
      <rPr>
        <sz val="11"/>
        <color rgb="FF000000"/>
        <rFont val="Calibri"/>
        <family val="2"/>
      </rPr>
      <t>Resolution 059 of 2017</t>
    </r>
  </si>
  <si>
    <r>
      <rPr>
        <sz val="11"/>
        <color rgb="FF000000"/>
        <rFont val="Calibri"/>
        <family val="2"/>
      </rPr>
      <t>Specific - Updates the asset base for Intercolombia S.A. E.S.P. Betania - Ibague 230 kV</t>
    </r>
  </si>
  <si>
    <r>
      <rPr>
        <sz val="11"/>
        <color rgb="FF000000"/>
        <rFont val="Calibri"/>
        <family val="2"/>
      </rPr>
      <t>Resolution 032 of 2018</t>
    </r>
  </si>
  <si>
    <r>
      <rPr>
        <sz val="11"/>
        <color rgb="FF000000"/>
        <rFont val="Calibri"/>
        <family val="2"/>
      </rPr>
      <t>Specific - Updates the asset base for Intercolombia S.A. E.S.P. Urabá 220 kV and Cuestecitas 220 kV Substations</t>
    </r>
  </si>
  <si>
    <r>
      <rPr>
        <sz val="11"/>
        <color rgb="FF000000"/>
        <rFont val="Calibri"/>
        <family val="2"/>
      </rPr>
      <t>Resolution 047 of 2018</t>
    </r>
  </si>
  <si>
    <r>
      <rPr>
        <sz val="11"/>
        <color rgb="FF000000"/>
        <rFont val="Calibri"/>
        <family val="2"/>
      </rPr>
      <t>Specific - Approves INTERCOLOMBIA to represent UPME-06-2013 Project</t>
    </r>
  </si>
  <si>
    <r>
      <rPr>
        <sz val="11"/>
        <color rgb="FF000000"/>
        <rFont val="Calibri"/>
        <family val="2"/>
      </rPr>
      <t>Resolution 023 of 2019</t>
    </r>
  </si>
  <si>
    <r>
      <rPr>
        <sz val="11"/>
        <color rgb="FF000000"/>
        <rFont val="Calibri"/>
        <family val="2"/>
      </rPr>
      <t>Specific - Updates the asset base for Intercolombia S.A. E.S.P. Esmeralda - La Hermosa 230 kV</t>
    </r>
  </si>
  <si>
    <r>
      <rPr>
        <sz val="11"/>
        <color rgb="FF000000"/>
        <rFont val="Calibri"/>
        <family val="2"/>
      </rPr>
      <t>Resolution 032 of 2019</t>
    </r>
  </si>
  <si>
    <r>
      <rPr>
        <sz val="11"/>
        <color rgb="FF000000"/>
        <rFont val="Calibri"/>
        <family val="2"/>
      </rPr>
      <t>Specific - Approves INTERCOLOMBIA to represent UPME-01-2017 Project</t>
    </r>
  </si>
  <si>
    <r>
      <rPr>
        <sz val="11"/>
        <color rgb="FF000000"/>
        <rFont val="Calibri"/>
        <family val="2"/>
      </rPr>
      <t>Resolution 047 of 2019</t>
    </r>
  </si>
  <si>
    <r>
      <rPr>
        <sz val="11"/>
        <color rgb="FF000000"/>
        <rFont val="Calibri"/>
        <family val="2"/>
      </rPr>
      <t>Specific - Approves INTERCOLOMBIA to represent UPME-07-2013 Project</t>
    </r>
  </si>
  <si>
    <r>
      <rPr>
        <sz val="11"/>
        <color rgb="FF000000"/>
        <rFont val="Calibri"/>
        <family val="2"/>
      </rPr>
      <t>Resolution 131 of 2019</t>
    </r>
  </si>
  <si>
    <r>
      <rPr>
        <sz val="11"/>
        <color rgb="FF000000"/>
        <rFont val="Calibri"/>
        <family val="2"/>
      </rPr>
      <t>Specific - Updates INTERCOLOMBIA's AOM, excluding AOM corresponding to STN assets of the Betania 230 kV Substation</t>
    </r>
  </si>
  <si>
    <r>
      <rPr>
        <sz val="11"/>
        <color rgb="FF000000"/>
        <rFont val="Calibri"/>
        <family val="2"/>
      </rPr>
      <t>Resolution 061 of 2011</t>
    </r>
  </si>
  <si>
    <r>
      <rPr>
        <sz val="11"/>
        <color rgb="FF000000"/>
        <rFont val="Calibri"/>
        <family val="2"/>
      </rPr>
      <t>Specific - Approves the asset base and parameters necessary to determine the remuneration to TRANSELCA in the National Transmission System</t>
    </r>
    <r>
      <rPr>
        <sz val="11"/>
        <color rgb="FF000000"/>
        <rFont val="Calibri"/>
        <family val="2"/>
      </rPr>
      <t xml:space="preserve"> </t>
    </r>
  </si>
  <si>
    <r>
      <rPr>
        <sz val="11"/>
        <color rgb="FF000000"/>
        <rFont val="Calibri"/>
        <family val="2"/>
      </rPr>
      <t>Resolution 105 of 2011</t>
    </r>
  </si>
  <si>
    <r>
      <rPr>
        <sz val="11"/>
        <color rgb="FF000000"/>
        <rFont val="Calibri"/>
        <family val="2"/>
      </rPr>
      <t>Specific - Updates the asset base for Intercolombia S.A. E.S.P. Santa Marta 220 kV Substation</t>
    </r>
  </si>
  <si>
    <r>
      <rPr>
        <sz val="11"/>
        <color rgb="FF000000"/>
        <rFont val="Calibri"/>
        <family val="2"/>
      </rPr>
      <t>Resolution 107 of 2012</t>
    </r>
  </si>
  <si>
    <r>
      <rPr>
        <sz val="11"/>
        <color rgb="FF000000"/>
        <rFont val="Calibri"/>
        <family val="2"/>
      </rPr>
      <t>Specific - Updates the asset base for Intercolombia S.A. E.S.P. Fundación 220 kV Substation</t>
    </r>
  </si>
  <si>
    <r>
      <rPr>
        <sz val="11"/>
        <color rgb="FF000000"/>
        <rFont val="Calibri"/>
        <family val="2"/>
      </rPr>
      <t>Resolution 009 of 2013</t>
    </r>
  </si>
  <si>
    <r>
      <rPr>
        <sz val="11"/>
        <color rgb="FF000000"/>
        <rFont val="Calibri"/>
        <family val="2"/>
      </rPr>
      <t>Resolution 072 of 2015</t>
    </r>
  </si>
  <si>
    <r>
      <rPr>
        <sz val="11"/>
        <color rgb="FF000000"/>
        <rFont val="Calibri"/>
        <family val="2"/>
      </rPr>
      <t>Specific - Updates the asset base for Intercolombia S.A. E.S.P. Sabanalarga 220 kV Substation</t>
    </r>
  </si>
  <si>
    <r>
      <rPr>
        <sz val="11"/>
        <color rgb="FF000000"/>
        <rFont val="Calibri"/>
        <family val="2"/>
      </rPr>
      <t>Resolution 173 of 2016</t>
    </r>
  </si>
  <si>
    <r>
      <rPr>
        <sz val="11"/>
        <color rgb="FF000000"/>
        <rFont val="Calibri"/>
        <family val="2"/>
      </rPr>
      <t>Specific - Updates the asset base for Intercolombia S.A. E.S.P. Tebsa 220 kV Substation</t>
    </r>
  </si>
  <si>
    <r>
      <rPr>
        <sz val="11"/>
        <color rgb="FF000000"/>
        <rFont val="Calibri"/>
        <family val="2"/>
      </rPr>
      <t>Resolution 136A of 2018</t>
    </r>
  </si>
  <si>
    <r>
      <rPr>
        <sz val="11"/>
        <color rgb="FF000000"/>
        <rFont val="Calibri"/>
        <family val="2"/>
      </rPr>
      <t>Specific - Updates the asset base for Intercolombia S.A. E.S.P. Nueva Barranquilla 220 kV Substation</t>
    </r>
  </si>
  <si>
    <r>
      <rPr>
        <sz val="11"/>
        <color rgb="FF000000"/>
        <rFont val="Calibri"/>
        <family val="2"/>
      </rPr>
      <t>Energy Concessions Law</t>
    </r>
  </si>
  <si>
    <r>
      <rPr>
        <sz val="11"/>
        <color rgb="FF000000"/>
        <rFont val="Calibri"/>
        <family val="2"/>
      </rPr>
      <t>OSINERGMIN</t>
    </r>
  </si>
  <si>
    <r>
      <rPr>
        <u/>
        <sz val="11"/>
        <color rgb="FF0563C1"/>
        <rFont val="Calibri"/>
        <family val="2"/>
      </rPr>
      <t>https://www.osinergmin.gob.pe/cartas/documentos/electricidad/normativa/LEY_CONCESIONES_ELECTRICAS.pdf</t>
    </r>
  </si>
  <si>
    <r>
      <rPr>
        <sz val="11"/>
        <color rgb="FF000000"/>
        <rFont val="Calibri"/>
        <family val="2"/>
      </rPr>
      <t>General - Energy Regulatory Framework</t>
    </r>
  </si>
  <si>
    <r>
      <rPr>
        <sz val="11"/>
        <color rgb="FF000000"/>
        <rFont val="Calibri"/>
        <family val="2"/>
      </rPr>
      <t>Rules of Procedure of the Energy Concessions Law</t>
    </r>
  </si>
  <si>
    <r>
      <rPr>
        <u/>
        <sz val="11"/>
        <color rgb="FF0563C1"/>
        <rFont val="Calibri"/>
        <family val="2"/>
      </rPr>
      <t>https://www.osinergmin.gob.pe/cartas/documentos/electricidad/normativa/DS-009-93-EM-REGLAMENTO-LCE.pdf</t>
    </r>
  </si>
  <si>
    <r>
      <rPr>
        <sz val="11"/>
        <color rgb="FF000000"/>
        <rFont val="Calibri"/>
        <family val="2"/>
      </rPr>
      <t>Law 28832</t>
    </r>
  </si>
  <si>
    <r>
      <rPr>
        <u/>
        <sz val="11"/>
        <color rgb="FF0563C1"/>
        <rFont val="Calibri"/>
        <family val="2"/>
      </rPr>
      <t>http://www2.osinerg.gob.pe/MarcoLegal/pdf/LEY%2028832.pdf</t>
    </r>
  </si>
  <si>
    <r>
      <rPr>
        <sz val="11"/>
        <color rgb="FF000000"/>
        <rFont val="Calibri"/>
        <family val="2"/>
      </rPr>
      <t>Transmission Rules of Procedure</t>
    </r>
  </si>
  <si>
    <r>
      <rPr>
        <u/>
        <sz val="11"/>
        <color rgb="FF0563C1"/>
        <rFont val="Calibri"/>
        <family val="2"/>
      </rPr>
      <t>https://www.osinergmin.gob.pe/seccion/centro_documental/PlantillaMarcoLegalBusqueda/Decreto%20Supremo%20N%C2%B0%20027-2007-EM%20-%20Reglamento%20de%20Transmisi%C3%B3n.pdf</t>
    </r>
  </si>
  <si>
    <r>
      <rPr>
        <sz val="11"/>
        <color rgb="FF000000"/>
        <rFont val="Calibri"/>
        <family val="2"/>
      </rPr>
      <t>General - Transmission Regulatory Framework</t>
    </r>
  </si>
  <si>
    <r>
      <rPr>
        <sz val="11"/>
        <color rgb="FF000000"/>
        <rFont val="Calibri"/>
        <family val="2"/>
      </rPr>
      <t>Transmission Rules of Procedure (Updated)</t>
    </r>
  </si>
  <si>
    <r>
      <rPr>
        <u/>
        <sz val="11"/>
        <color rgb="FF0563C1"/>
        <rFont val="Calibri"/>
        <family val="2"/>
      </rPr>
      <t>http://www2.congreso.gob.pe/sicr/cendocbib/con5_uibd.nsf/1B334AA6E22479B2052582430057C4C3/$FILE/027-2007-EM.pdf</t>
    </r>
  </si>
  <si>
    <r>
      <rPr>
        <sz val="11"/>
        <color rgb="FF000000"/>
        <rFont val="Calibri"/>
        <family val="2"/>
      </rPr>
      <t>General - Transmission Regulatory Framework (updated version)</t>
    </r>
  </si>
  <si>
    <r>
      <rPr>
        <sz val="11"/>
        <color rgb="FF000000"/>
        <rFont val="Calibri"/>
        <family val="2"/>
      </rPr>
      <t>Resolution No. 068-2020</t>
    </r>
  </si>
  <si>
    <r>
      <rPr>
        <u/>
        <sz val="11"/>
        <color rgb="FF0563C1"/>
        <rFont val="Calibri"/>
        <family val="2"/>
      </rPr>
      <t>https://www.osinergmin.gob.pe/Resoluciones/pdf/2020/Osinergmin-068-2020-OS-CD.pdf</t>
    </r>
  </si>
  <si>
    <r>
      <rPr>
        <sz val="11"/>
        <color rgb="FF000000"/>
        <rFont val="Calibri"/>
        <family val="2"/>
      </rPr>
      <t>General - Tariff Regulation (SPT and SGT) 2020-2021</t>
    </r>
  </si>
  <si>
    <r>
      <rPr>
        <sz val="11"/>
        <color rgb="FF000000"/>
        <rFont val="Calibri"/>
        <family val="2"/>
      </rPr>
      <t>Resolution No. 0124-2020</t>
    </r>
  </si>
  <si>
    <r>
      <rPr>
        <u/>
        <sz val="11"/>
        <color rgb="FF0563C1"/>
        <rFont val="Calibri"/>
        <family val="2"/>
      </rPr>
      <t>https://www.osinergmin.gob.pe/Resoluciones/pdf/2020/Osinergmin-124-2020-OS-CD.pdf</t>
    </r>
  </si>
  <si>
    <r>
      <rPr>
        <sz val="11"/>
        <color rgb="FF000000"/>
        <rFont val="Calibri"/>
        <family val="2"/>
      </rPr>
      <t>General - Tariff Regulation (SPT and SGT) 2020-2021, Complementary Resolution</t>
    </r>
  </si>
  <si>
    <r>
      <rPr>
        <sz val="11"/>
        <color rgb="FF000000"/>
        <rFont val="Calibri"/>
        <family val="2"/>
      </rPr>
      <t>Resolution No. 078-2020</t>
    </r>
  </si>
  <si>
    <r>
      <rPr>
        <u/>
        <sz val="11"/>
        <color rgb="FF0563C1"/>
        <rFont val="Calibri"/>
        <family val="2"/>
      </rPr>
      <t>https://www.osinergmin.gob.pe/Resoluciones/pdf/2020/Osinergmin-078-2020-OS-CD.pdf</t>
    </r>
  </si>
  <si>
    <r>
      <rPr>
        <sz val="11"/>
        <color rgb="FF000000"/>
        <rFont val="Calibri"/>
        <family val="2"/>
      </rPr>
      <t>General - SST and SCT 2020 revenue settlement</t>
    </r>
  </si>
  <si>
    <r>
      <rPr>
        <sz val="11"/>
        <color rgb="FF000000"/>
        <rFont val="Calibri"/>
        <family val="2"/>
      </rPr>
      <t>Resolution No. 0140-2020</t>
    </r>
  </si>
  <si>
    <r>
      <rPr>
        <u/>
        <sz val="11"/>
        <color rgb="FF0563C1"/>
        <rFont val="Calibri"/>
        <family val="2"/>
      </rPr>
      <t>https://www.osinergmin.gob.pe/Resoluciones/pdf/2020/Osinergmin-140-2020-OS-CD.pdf</t>
    </r>
  </si>
  <si>
    <r>
      <rPr>
        <sz val="11"/>
        <color rgb="FF000000"/>
        <rFont val="Calibri"/>
        <family val="2"/>
      </rPr>
      <t>General - SST and SCT 2020 revenue settlement, Complementary Resolution</t>
    </r>
  </si>
  <si>
    <r>
      <rPr>
        <sz val="11"/>
        <color rgb="FF000000"/>
        <rFont val="Calibri"/>
        <family val="2"/>
      </rPr>
      <t>Resolution No. 061-2017</t>
    </r>
  </si>
  <si>
    <r>
      <rPr>
        <u/>
        <sz val="11"/>
        <color rgb="FF0563C1"/>
        <rFont val="Calibri"/>
        <family val="2"/>
      </rPr>
      <t>http://www2.osinerg.gob.pe/Resoluciones/pdf/2017/OSINERGMIN%20No.061-2017-OS-CD.pdf</t>
    </r>
  </si>
  <si>
    <r>
      <rPr>
        <sz val="11"/>
        <color rgb="FF000000"/>
        <rFont val="Calibri"/>
        <family val="2"/>
      </rPr>
      <t>General - Tariff Regulation (SST and SCT) 2017-2021</t>
    </r>
  </si>
  <si>
    <r>
      <rPr>
        <sz val="11"/>
        <color rgb="FF000000"/>
        <rFont val="Calibri"/>
        <family val="2"/>
      </rPr>
      <t>Resolution No. 129-2017</t>
    </r>
  </si>
  <si>
    <r>
      <rPr>
        <u/>
        <sz val="11"/>
        <color rgb="FF0563C1"/>
        <rFont val="Calibri"/>
        <family val="2"/>
      </rPr>
      <t>http://www2.osinerg.gob.pe/Resoluciones/pdf/2017/OSINERGMIN%20No.129-2017-OS-CD.pdf</t>
    </r>
  </si>
  <si>
    <r>
      <rPr>
        <sz val="11"/>
        <color rgb="FF000000"/>
        <rFont val="Calibri"/>
        <family val="2"/>
      </rPr>
      <t>General - Tariff Regulation (SST and SCT) 2017-2021, Complementary Resolution</t>
    </r>
  </si>
  <si>
    <r>
      <rPr>
        <sz val="11"/>
        <color rgb="FF000000"/>
        <rFont val="Calibri"/>
        <family val="2"/>
      </rPr>
      <t>Resolution No. 055-2020</t>
    </r>
  </si>
  <si>
    <r>
      <rPr>
        <u/>
        <sz val="11"/>
        <color rgb="FF0563C1"/>
        <rFont val="Calibri"/>
        <family val="2"/>
      </rPr>
      <t>https://www.osinergmin.gob.pe/Resoluciones/pdf/2020/Osinergmin-055-2020-OS-CD.pdf</t>
    </r>
  </si>
  <si>
    <r>
      <rPr>
        <sz val="11"/>
        <color rgb="FF000000"/>
        <rFont val="Calibri"/>
        <family val="2"/>
      </rPr>
      <t>General - Revenue Settlement Procedure for REP, SPT, and SGT</t>
    </r>
  </si>
  <si>
    <r>
      <rPr>
        <sz val="11"/>
        <color rgb="FF000000"/>
        <rFont val="Calibri"/>
        <family val="2"/>
      </rPr>
      <t>Resolution No. 056-2020</t>
    </r>
  </si>
  <si>
    <r>
      <rPr>
        <u/>
        <sz val="11"/>
        <color rgb="FF0563C1"/>
        <rFont val="Calibri"/>
        <family val="2"/>
      </rPr>
      <t>https://www.osinergmin.gob.pe/Resoluciones/pdf/2020/Osinergmin-056-2020-OS-CD.pdf</t>
    </r>
  </si>
  <si>
    <r>
      <rPr>
        <sz val="11"/>
        <color rgb="FF000000"/>
        <rFont val="Calibri"/>
        <family val="2"/>
      </rPr>
      <t>General - Revenue Settlement Procedure for SST and SCT</t>
    </r>
  </si>
  <si>
    <r>
      <rPr>
        <sz val="11"/>
        <color rgb="FF000000"/>
        <rFont val="Calibri"/>
        <family val="2"/>
      </rPr>
      <t>Resolution No. 042-2020</t>
    </r>
  </si>
  <si>
    <r>
      <rPr>
        <u/>
        <sz val="11"/>
        <color rgb="FF0563C1"/>
        <rFont val="Calibri"/>
        <family val="2"/>
      </rPr>
      <t>https://www.osinergmin.gob.pe/Resoluciones/pdf/2020/Osinergmin-042-2020-OS-CD.pdf</t>
    </r>
  </si>
  <si>
    <r>
      <rPr>
        <sz val="11"/>
        <color rgb="FF000000"/>
        <rFont val="Calibri"/>
        <family val="2"/>
      </rPr>
      <t>General - Investment module valuation update (applicable to transmission without contracts)</t>
    </r>
  </si>
  <si>
    <r>
      <rPr>
        <sz val="11"/>
        <color rgb="FF000000"/>
        <rFont val="Calibri"/>
        <family val="2"/>
      </rPr>
      <t>Resolution No. 147-2015</t>
    </r>
  </si>
  <si>
    <r>
      <rPr>
        <u/>
        <sz val="11"/>
        <color rgb="FF0563C1"/>
        <rFont val="Calibri"/>
        <family val="2"/>
      </rPr>
      <t>https://www.osinergmin.gob.pe/Resoluciones/pdf/2015/OSINERGMIN%20No.147-2015-OS-CD.pdf</t>
    </r>
  </si>
  <si>
    <r>
      <rPr>
        <sz val="11"/>
        <color rgb="FF000000"/>
        <rFont val="Calibri"/>
        <family val="2"/>
      </rPr>
      <t>General - Update of the valuation of the operation and maintenance costs percentage (applicable to transmission without contracts)</t>
    </r>
  </si>
  <si>
    <r>
      <rPr>
        <sz val="11"/>
        <color rgb="FF000000"/>
        <rFont val="Calibri"/>
        <family val="2"/>
      </rPr>
      <t>Concession Contract</t>
    </r>
  </si>
  <si>
    <r>
      <rPr>
        <sz val="11"/>
        <color rgb="FF000000"/>
        <rFont val="Calibri"/>
        <family val="2"/>
      </rPr>
      <t>PROINVERSIÓN</t>
    </r>
  </si>
  <si>
    <r>
      <rPr>
        <u/>
        <sz val="11"/>
        <color rgb="FF0563C1"/>
        <rFont val="Calibri"/>
        <family val="2"/>
      </rPr>
      <t>https://www.proyectosapp.pe/RepositorioAPS/0/0/JER/PAETECENETESUR/Contrato%20Etecen%20-%20Etesur/Contrato_EtecenEtesur.pdf</t>
    </r>
  </si>
  <si>
    <r>
      <rPr>
        <sz val="11"/>
        <color rgb="FF000000"/>
        <rFont val="Calibri"/>
        <family val="2"/>
      </rPr>
      <t>Specific - Concession Contract.</t>
    </r>
    <r>
      <rPr>
        <sz val="11"/>
        <color rgb="FF000000"/>
        <rFont val="Calibri"/>
        <family val="2"/>
      </rPr>
      <t xml:space="preserve"> </t>
    </r>
    <r>
      <rPr>
        <sz val="11"/>
        <color rgb="FF000000"/>
        <rFont val="Calibri"/>
        <family val="2"/>
      </rPr>
      <t>Does not include addenda.</t>
    </r>
  </si>
  <si>
    <r>
      <rPr>
        <sz val="11"/>
        <color rgb="FF000000"/>
        <rFont val="Calibri"/>
        <family val="2"/>
      </rPr>
      <t>Concession Contracts</t>
    </r>
  </si>
  <si>
    <r>
      <rPr>
        <u/>
        <sz val="11"/>
        <color rgb="FF0563C1"/>
        <rFont val="Calibri"/>
        <family val="2"/>
      </rPr>
      <t>https://www.proyectosapp.pe/RepositorioAPS/0/0/JER/PATRANSMISIONMS/Contrato.pdf</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</si>
  <si>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</si>
  <si>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u/>
        <sz val="11"/>
        <color rgb="FF0563C1"/>
        <rFont val="Calibri"/>
        <family val="2"/>
      </rPr>
      <t>https://www.proyectosapp.pe/RepositorioAPS/0/0/JER/PALINEAOROYACARHUAMAYO/Contrato.pdf</t>
    </r>
  </si>
  <si>
    <r>
      <rPr>
        <u/>
        <sz val="11"/>
        <color rgb="FF0563C1"/>
        <rFont val="Calibri"/>
        <family val="2"/>
      </rPr>
      <t>https://www.proyectosapp.pe/modulos/JER/PlantillaStandard.aspx?are=0&amp;prf=2&amp;jer=7649&amp;sec=22</t>
    </r>
  </si>
  <si>
    <r>
      <rPr>
        <sz val="11"/>
        <color rgb="FF000000"/>
        <rFont val="Calibri"/>
        <family val="2"/>
      </rPr>
      <t>General - Repository of all contracts subscribed with the Government, including SGT and SCT contracts tendered by PROINVERSION</t>
    </r>
  </si>
  <si>
    <r>
      <rPr>
        <sz val="11"/>
        <color rgb="FF000000"/>
        <rFont val="Calibri"/>
        <family val="2"/>
      </rPr>
      <t>Bolivia</t>
    </r>
  </si>
  <si>
    <r>
      <rPr>
        <sz val="11"/>
        <color rgb="FF000000"/>
        <rFont val="Calibri"/>
        <family val="2"/>
      </rPr>
      <t>ENERGY LAW 1604 OF DECEMBER 21, 1994</t>
    </r>
  </si>
  <si>
    <r>
      <rPr>
        <sz val="11"/>
        <color rgb="FF000000"/>
        <rFont val="Calibri"/>
        <family val="2"/>
      </rPr>
      <t>AETN</t>
    </r>
  </si>
  <si>
    <r>
      <rPr>
        <u/>
        <sz val="11"/>
        <color rgb="FF0563C1"/>
        <rFont val="Calibri"/>
        <family val="2"/>
      </rPr>
      <t>https://sawi.aetn.gob.bo/docfly/app/webroot/uploads/IMG-ML_LA-admin-2010-09-23-1604.pdf</t>
    </r>
  </si>
  <si>
    <r>
      <rPr>
        <sz val="11"/>
        <color rgb="FF000000"/>
        <rFont val="Calibri"/>
        <family val="2"/>
      </rPr>
      <t>General - Bolivian Energy Regulatory Framework</t>
    </r>
  </si>
  <si>
    <r>
      <rPr>
        <sz val="11"/>
        <color rgb="FF000000"/>
        <rFont val="Calibri"/>
        <family val="2"/>
      </rPr>
      <t>Regulation of prices and tariffs - Supreme Decree No. 26094 of March 2, 2001</t>
    </r>
  </si>
  <si>
    <r>
      <rPr>
        <u/>
        <sz val="11"/>
        <color rgb="FF0563C1"/>
        <rFont val="Calibri"/>
        <family val="2"/>
      </rPr>
      <t>https://sawi.aetn.gob.bo/docfly/app/webroot/uploads/IMG-ML_RLE-admin-2010-09-23-26094.pdf</t>
    </r>
  </si>
  <si>
    <r>
      <rPr>
        <sz val="11"/>
        <color rgb="FF000000"/>
        <rFont val="Calibri"/>
        <family val="2"/>
      </rPr>
      <t>General - Sector Revenue Regulation</t>
    </r>
  </si>
  <si>
    <r>
      <rPr>
        <sz val="11"/>
        <color rgb="FF000000"/>
        <rFont val="Calibri"/>
        <family val="2"/>
      </rPr>
      <t>Regulation on Concessions, Licenses, and Provisional Licenses (RCLLP) - Supreme Decree No. 24043 of June 28, 1995</t>
    </r>
  </si>
  <si>
    <r>
      <rPr>
        <u/>
        <sz val="11"/>
        <color rgb="FF0563C1"/>
        <rFont val="Calibri"/>
        <family val="2"/>
      </rPr>
      <t>https://sawi.aetn.gob.bo/docfly/app/webroot/uploads/IMG---2010-09-29-24043.pdf</t>
    </r>
  </si>
  <si>
    <r>
      <rPr>
        <sz val="11"/>
        <color rgb="FF000000"/>
        <rFont val="Calibri"/>
        <family val="2"/>
      </rPr>
      <t>General - Regulations for creation of concessions and licenses</t>
    </r>
  </si>
  <si>
    <r>
      <rPr>
        <sz val="11"/>
        <color rgb="FF000000"/>
        <rFont val="Calibri"/>
        <family val="2"/>
      </rPr>
      <t>Resolution AE_R_178_2017</t>
    </r>
  </si>
  <si>
    <r>
      <rPr>
        <u/>
        <sz val="11"/>
        <color rgb="FF0563C1"/>
        <rFont val="Calibri"/>
        <family val="2"/>
      </rPr>
      <t>https://srvdocs.aetn.gob.bo/ae/resolucion/2017/AE_R_178_17.pdf</t>
    </r>
    <r>
      <rPr>
        <u/>
        <sz val="11"/>
        <color rgb="FF0563C1"/>
        <rFont val="Calibri"/>
        <family val="2"/>
      </rPr>
      <t xml:space="preserve"> </t>
    </r>
  </si>
  <si>
    <r>
      <rPr>
        <sz val="11"/>
        <color rgb="FF000000"/>
        <rFont val="Calibri"/>
        <family val="2"/>
      </rPr>
      <t>Specific - Approval of Transmission Costs - 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</si>
  <si>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</si>
  <si>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Resolution AE_R_307_17</t>
    </r>
  </si>
  <si>
    <r>
      <rPr>
        <u/>
        <sz val="11"/>
        <color rgb="FF0563C1"/>
        <rFont val="Calibri"/>
        <family val="2"/>
      </rPr>
      <t>https://srvdocs.aetn.gob.bo/ae/resolucion/2017/AE_R_307_17.pdf</t>
    </r>
  </si>
  <si>
    <r>
      <rPr>
        <sz val="11"/>
        <color rgb="FF000000"/>
        <rFont val="Calibri"/>
        <family val="2"/>
      </rPr>
      <t>Resolution AE_R_606_2016</t>
    </r>
  </si>
  <si>
    <r>
      <rPr>
        <u/>
        <sz val="11"/>
        <color rgb="FF0563C1"/>
        <rFont val="Calibri"/>
        <family val="2"/>
      </rPr>
      <t>https://srvdocs.aetn.gob.bo/ae/resolucion/2016/AE_R_DLG_606_A_16.pdf</t>
    </r>
  </si>
  <si>
    <r>
      <rPr>
        <sz val="11"/>
        <color rgb="FF000000"/>
        <rFont val="Calibri"/>
        <family val="2"/>
      </rPr>
      <t xml:space="preserve">Specific - Expansion of facilities - 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 </t>
    </r>
  </si>
  <si>
    <r>
      <rPr>
        <sz val="11"/>
        <color rgb="FF000000"/>
        <rFont val="Calibri"/>
        <family val="2"/>
      </rPr>
      <t>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t>
    </r>
  </si>
  <si>
    <r>
      <rPr>
        <sz val="11"/>
        <color rgb="FF000000"/>
        <rFont val="Calibri"/>
        <family val="2"/>
      </rPr>
      <t>Resolution AE_568-2018</t>
    </r>
  </si>
  <si>
    <r>
      <rPr>
        <u/>
        <sz val="11"/>
        <color rgb="FF0563C1"/>
        <rFont val="Calibri"/>
        <family val="2"/>
      </rPr>
      <t>https://srvdocs.aetn.gob.bo/ae/resolucion/2018/AE_R_568_18.pdf</t>
    </r>
  </si>
  <si>
    <r>
      <rPr>
        <sz val="11"/>
        <color rgb="FF000000"/>
        <rFont val="Calibri"/>
        <family val="2"/>
      </rPr>
      <t>Specific - Expansion of facilities - 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</si>
  <si>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</si>
  <si>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Resolution AE_R_DLG_611_13</t>
    </r>
  </si>
  <si>
    <r>
      <rPr>
        <u/>
        <sz val="11"/>
        <color rgb="FF0563C1"/>
        <rFont val="Calibri"/>
        <family val="2"/>
      </rPr>
      <t>https://srvdocs.aetn.gob.bo/ae/resolucion/2013/AE_R_DLG_611_13.pdf</t>
    </r>
  </si>
  <si>
    <r>
      <rPr>
        <sz val="11"/>
        <color rgb="FF000000"/>
        <rFont val="Calibri"/>
        <family val="2"/>
      </rPr>
      <t>Specific - Expansion of facilities - 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</si>
  <si>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</si>
  <si>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Resolution SSDE_326-06</t>
    </r>
  </si>
  <si>
    <r>
      <rPr>
        <u/>
        <sz val="11"/>
        <color rgb="FF0563C1"/>
        <rFont val="Calibri"/>
        <family val="2"/>
      </rPr>
      <t>https://srvdocs.aetn.gob.bo/sde/resolucion_sde//SSDE_326-06.pdf</t>
    </r>
  </si>
  <si>
    <r>
      <rPr>
        <sz val="11"/>
        <color rgb="FF000000"/>
        <rFont val="Calibri"/>
        <family val="2"/>
      </rPr>
      <t xml:space="preserve">Specific - Expansion of facilities - Extends the transmission license granted to Interconexión electrica ISA Bolivia S.A. by Resolution 114/2003 of July 31, 2003 and amended by Resolutions SSDE 191/2004 and SSDE 320/2006 through the incorporation of a transmission component at the Urubó 230 kV Substation reactor. </t>
    </r>
  </si>
  <si>
    <r>
      <rPr>
        <sz val="11"/>
        <color rgb="FF000000"/>
        <rFont val="Calibri"/>
        <family val="2"/>
      </rPr>
      <t>Extends the transmission license granted to Interconexión electrica ISA Bolivia S.A. by Resolution 114/2003 of July 31, 2003 and amended by Resolutions SSDE 191/2004 and SSDE 320/2006 through the incorporation of a transmission component at the Urubó 230 kV Substation reactor.</t>
    </r>
  </si>
  <si>
    <r>
      <rPr>
        <sz val="11"/>
        <color rgb="FF000000"/>
        <rFont val="Calibri"/>
        <family val="2"/>
      </rPr>
      <t>Resolution SSDE_172-06</t>
    </r>
  </si>
  <si>
    <r>
      <rPr>
        <u/>
        <sz val="11"/>
        <color rgb="FF0563C1"/>
        <rFont val="Calibri"/>
        <family val="2"/>
      </rPr>
      <t>https://srvdocs.aetn.gob.bo/sde/resolucion_sde//SSDE_172-06.pdf</t>
    </r>
  </si>
  <si>
    <r>
      <rPr>
        <sz val="11"/>
        <color rgb="FF000000"/>
        <rFont val="Calibri"/>
        <family val="2"/>
      </rPr>
      <t>Specific - Expansion of facilities - 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</si>
  <si>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</si>
  <si>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Resolution SSDE_333-07</t>
    </r>
  </si>
  <si>
    <r>
      <rPr>
        <u/>
        <sz val="11"/>
        <color rgb="FF0563C1"/>
        <rFont val="Calibri"/>
        <family val="2"/>
      </rPr>
      <t>https://srvdocs.aetn.gob.bo/sde/resolucion_sde//SSDE_333-07.pdf</t>
    </r>
  </si>
  <si>
    <r>
      <rPr>
        <sz val="11"/>
        <color rgb="FF000000"/>
        <rFont val="Calibri"/>
        <family val="2"/>
      </rPr>
      <t>Resolution SSDE 114-03</t>
    </r>
  </si>
  <si>
    <r>
      <rPr>
        <u/>
        <sz val="11"/>
        <color rgb="FF0563C1"/>
        <rFont val="Calibri"/>
        <family val="2"/>
      </rPr>
      <t>https://srvdocs.aetn.gob.bo/sde/resolucion_sde//SSDE_114-03.pdf</t>
    </r>
  </si>
  <si>
    <r>
      <rPr>
        <sz val="11"/>
        <color rgb="FF000000"/>
        <rFont val="Calibri"/>
        <family val="2"/>
      </rPr>
      <t>All controlled companies (market companies)</t>
    </r>
  </si>
  <si>
    <r>
      <rPr>
        <sz val="11"/>
        <color rgb="FF000000"/>
        <rFont val="Calibri"/>
        <family val="2"/>
      </rPr>
      <t>General Law of Energy Services</t>
    </r>
  </si>
  <si>
    <r>
      <rPr>
        <sz val="11"/>
        <color rgb="FF000000"/>
        <rFont val="Calibri"/>
        <family val="2"/>
      </rPr>
      <t>Ministry of Energy</t>
    </r>
  </si>
  <si>
    <r>
      <rPr>
        <u/>
        <sz val="11"/>
        <color rgb="FF0563C1"/>
        <rFont val="Calibri"/>
        <family val="2"/>
      </rPr>
      <t>https://www.bcn.cl/leychile/navegar?idNorma=258171</t>
    </r>
  </si>
  <si>
    <r>
      <rPr>
        <sz val="11"/>
        <color rgb="FF000000"/>
        <rFont val="Calibri"/>
        <family val="2"/>
      </rPr>
      <t>General - General law applied to the energy market in Chile</t>
    </r>
  </si>
  <si>
    <r>
      <rPr>
        <sz val="11"/>
        <color rgb="FF000000"/>
        <rFont val="Calibri"/>
        <family val="2"/>
      </rPr>
      <t>Law 21.249</t>
    </r>
  </si>
  <si>
    <r>
      <rPr>
        <u/>
        <sz val="11"/>
        <color rgb="FF0563C1"/>
        <rFont val="Calibri"/>
        <family val="2"/>
      </rPr>
      <t>https://www.bcn.cl/leychile/navegar?idNorma=1148163</t>
    </r>
  </si>
  <si>
    <r>
      <rPr>
        <sz val="11"/>
        <color rgb="FF000000"/>
        <rFont val="Calibri"/>
        <family val="2"/>
      </rPr>
      <t>General - Exceptional measures in favor of end users of health, energy and network gas services</t>
    </r>
  </si>
  <si>
    <r>
      <rPr>
        <sz val="11"/>
        <color rgb="FF000000"/>
        <rFont val="Calibri"/>
        <family val="2"/>
      </rPr>
      <t>Interchile</t>
    </r>
  </si>
  <si>
    <r>
      <rPr>
        <sz val="11"/>
        <color rgb="FF000000"/>
        <rFont val="Calibri"/>
        <family val="2"/>
      </rPr>
      <t>Decree 109</t>
    </r>
  </si>
  <si>
    <r>
      <rPr>
        <u/>
        <sz val="11"/>
        <color rgb="FF0563C1"/>
        <rFont val="Calibri"/>
        <family val="2"/>
      </rPr>
      <t>https://www.bcn.cl/leychile/navegar?idNorma=1048159</t>
    </r>
  </si>
  <si>
    <r>
      <rPr>
        <sz val="11"/>
        <color rgb="FF000000"/>
        <rFont val="Calibri"/>
        <family val="2"/>
      </rPr>
      <t>Specific - Determines the company awarded the rights to develop and execute the new works called "Cardones - Maitencillo 2 x 500 kV New Line," "Maitencillo - Pan de azúcar 2 x 500 kV New Line," and "Pan de azúcar - Polpaico 2 x 500 kV New Line" in the trunk transmission system of the Central interconnected system-P1</t>
    </r>
  </si>
  <si>
    <r>
      <rPr>
        <sz val="11"/>
        <color rgb="FF000000"/>
        <rFont val="Calibri"/>
        <family val="2"/>
      </rPr>
      <t>Decree 13T</t>
    </r>
  </si>
  <si>
    <r>
      <rPr>
        <u/>
        <sz val="11"/>
        <color rgb="FF0563C1"/>
        <rFont val="Calibri"/>
        <family val="2"/>
      </rPr>
      <t>https://www.bcn.cl/leychile/navegar?idNorma=1074375</t>
    </r>
  </si>
  <si>
    <r>
      <rPr>
        <sz val="11"/>
        <color rgb="FF000000"/>
        <rFont val="Calibri"/>
        <family val="2"/>
      </rPr>
      <t>Specific - Determines the company awarded the rights to develop and execute the new works called "Nueva Cardones 500/220 kV 750 MVA Substation autotransformer bank," "Nueva Maitencillo 500/220 kV 750 MVA Substation autotransformer bank," and "Nueva Pan de azúcar 500/220 kV 750 MVA Substation autotransformer bank" in the trunk transmission system of the Central interconnected system to the awarded company indicated in P4</t>
    </r>
  </si>
  <si>
    <r>
      <rPr>
        <sz val="11"/>
        <color rgb="FF000000"/>
        <rFont val="Calibri"/>
        <family val="2"/>
      </rPr>
      <t>Decree 5T</t>
    </r>
  </si>
  <si>
    <r>
      <rPr>
        <u/>
        <sz val="11"/>
        <color rgb="FF0563C1"/>
        <rFont val="Calibri"/>
        <family val="2"/>
      </rPr>
      <t>https://www.bcn.cl/leychile/navegar?idNorma=1055239</t>
    </r>
  </si>
  <si>
    <r>
      <rPr>
        <sz val="11"/>
        <color rgb="FF000000"/>
        <rFont val="Calibri"/>
        <family val="2"/>
      </rPr>
      <t>Specific - Determines the company awarded the rights to develop and execute the new works called "Encuentro 2x220 kV - Lagunas first circuit" in the trunk transmission system of Norte Grande-P2</t>
    </r>
  </si>
  <si>
    <r>
      <rPr>
        <sz val="11"/>
        <color rgb="FF000000"/>
        <rFont val="Calibri"/>
        <family val="2"/>
      </rPr>
      <t>Decree 9T</t>
    </r>
  </si>
  <si>
    <r>
      <rPr>
        <u/>
        <sz val="11"/>
        <color rgb="FF0563C1"/>
        <rFont val="Calibri"/>
        <family val="2"/>
      </rPr>
      <t>https://www.bcn.cl/leychile/navegar?idNorma=1114702</t>
    </r>
  </si>
  <si>
    <r>
      <rPr>
        <sz val="11"/>
        <color rgb="FF000000"/>
        <rFont val="Calibri"/>
        <family val="2"/>
      </rPr>
      <t>Specific - Sets rights and conditions of execution and development of the new works called "New 1x750 MVA 500/220 kV autotransformer bank in Nueva Cardones, Nueva Maitencillo, and Nueva Pan de azúcar Substations" belonging to the national transmission system to the awarded company indicated in P7</t>
    </r>
  </si>
  <si>
    <r>
      <rPr>
        <sz val="11"/>
        <color rgb="FF000000"/>
        <rFont val="Calibri"/>
        <family val="2"/>
      </rPr>
      <t>Decree 201</t>
    </r>
  </si>
  <si>
    <r>
      <rPr>
        <u/>
        <sz val="11"/>
        <color rgb="FF0563C1"/>
        <rFont val="Calibri"/>
        <family val="2"/>
      </rPr>
      <t>https://www.bcn.cl/leychile/navegar?idNorma=1063209</t>
    </r>
  </si>
  <si>
    <r>
      <rPr>
        <sz val="11"/>
        <color rgb="FF000000"/>
        <rFont val="Calibri"/>
        <family val="2"/>
      </rPr>
      <t>General - Sets the trunk transmission system expansion plan for the next twelve months and sets benchmark investment value for new bidding process related to the works indicated in P3</t>
    </r>
  </si>
  <si>
    <r>
      <rPr>
        <sz val="11"/>
        <color rgb="FF000000"/>
        <rFont val="Calibri"/>
        <family val="2"/>
      </rPr>
      <t>Decree 373</t>
    </r>
  </si>
  <si>
    <r>
      <rPr>
        <u/>
        <sz val="11"/>
        <color rgb="FF0563C1"/>
        <rFont val="Calibri"/>
        <family val="2"/>
      </rPr>
      <t>https://www.bcn.cl/leychile/navegar?idNorma=1090691</t>
    </r>
  </si>
  <si>
    <r>
      <rPr>
        <sz val="11"/>
        <color rgb="FF000000"/>
        <rFont val="Calibri"/>
        <family val="2"/>
      </rPr>
      <t>General - Sets the trunk transmission system expansion plan for the next twelve months-P6</t>
    </r>
  </si>
  <si>
    <r>
      <rPr>
        <sz val="11"/>
        <color rgb="FF000000"/>
        <rFont val="Calibri"/>
        <family val="2"/>
      </rPr>
      <t>Decree 422</t>
    </r>
  </si>
  <si>
    <r>
      <rPr>
        <u/>
        <sz val="11"/>
        <color rgb="FF0563C1"/>
        <rFont val="Calibri"/>
        <family val="2"/>
      </rPr>
      <t>https://www.bcn.cl/leychile/navegar?idNorma=1106728</t>
    </r>
  </si>
  <si>
    <r>
      <rPr>
        <sz val="11"/>
        <color rgb="FF000000"/>
        <rFont val="Calibri"/>
        <family val="2"/>
      </rPr>
      <t>General - Sets the trunk transmission system expansion plan for the next twelve months-P8</t>
    </r>
  </si>
  <si>
    <r>
      <rPr>
        <sz val="11"/>
        <color rgb="FF000000"/>
        <rFont val="Calibri"/>
        <family val="2"/>
      </rPr>
      <t>Decree 198</t>
    </r>
  </si>
  <si>
    <r>
      <rPr>
        <u/>
        <sz val="11"/>
        <color rgb="FF0563C1"/>
        <rFont val="Calibri"/>
        <family val="2"/>
      </rPr>
      <t>https://www.bcn.cl/leychile/navegar?idNorma=1134824</t>
    </r>
  </si>
  <si>
    <r>
      <rPr>
        <sz val="11"/>
        <color rgb="FF000000"/>
        <rFont val="Calibri"/>
        <family val="2"/>
      </rPr>
      <t>General - Sets expansion works for the national and regional transmission systems, which must begin their bidding process in the following twelve months, corresponding to the 2018 expansion plan</t>
    </r>
  </si>
  <si>
    <r>
      <rPr>
        <sz val="11"/>
        <color rgb="FF000000"/>
        <rFont val="Calibri"/>
        <family val="2"/>
      </rPr>
      <t>Resolution 272</t>
    </r>
  </si>
  <si>
    <r>
      <rPr>
        <sz val="11"/>
        <color rgb="FF000000"/>
        <rFont val="Calibri"/>
        <family val="2"/>
      </rPr>
      <t>National Energy Commission</t>
    </r>
  </si>
  <si>
    <r>
      <rPr>
        <u/>
        <sz val="11"/>
        <color rgb="FF0563C1"/>
        <rFont val="Calibri"/>
        <family val="2"/>
      </rPr>
      <t>https://www.cne.cl/wp-content/uploads/2019/04/RE-CNE-N%C2%B0272-26.04.2019-Bases-Definitivas-Valorizacio%CC%81n-2020-2023.pdf</t>
    </r>
  </si>
  <si>
    <r>
      <rPr>
        <sz val="11"/>
        <color rgb="FF000000"/>
        <rFont val="Calibri"/>
        <family val="2"/>
      </rPr>
      <t xml:space="preserve">General - Rate applied in the 2020-2023 valuation process </t>
    </r>
  </si>
  <si>
    <r>
      <rPr>
        <sz val="11"/>
        <color rgb="FF000000"/>
        <rFont val="Calibri"/>
        <family val="2"/>
      </rPr>
      <t>Energy transmission companies</t>
    </r>
  </si>
  <si>
    <r>
      <rPr>
        <sz val="11"/>
        <color rgb="FF000000"/>
        <rFont val="Calibri"/>
        <family val="2"/>
      </rPr>
      <t>Ordinary Document No. 71</t>
    </r>
  </si>
  <si>
    <r>
      <rPr>
        <u/>
        <sz val="11"/>
        <color rgb="FF0563C1"/>
        <rFont val="Calibri"/>
        <family val="2"/>
      </rPr>
      <t>https://www.cne.cl/wp-content/uploads/2019/05/2018-02-02-CNE-OF-ORD-N71.pdf</t>
    </r>
  </si>
  <si>
    <r>
      <rPr>
        <sz val="11"/>
        <color rgb="FF000000"/>
        <rFont val="Calibri"/>
        <family val="2"/>
      </rPr>
      <t>General - Transmission database for pricing</t>
    </r>
  </si>
  <si>
    <r>
      <rPr>
        <sz val="11"/>
        <color rgb="FF000000"/>
        <rFont val="Calibri"/>
        <family val="2"/>
      </rPr>
      <t>Supreme Decree 10</t>
    </r>
  </si>
  <si>
    <r>
      <rPr>
        <u/>
        <sz val="11"/>
        <color rgb="FF0563C1"/>
        <rFont val="Calibri"/>
        <family val="2"/>
      </rPr>
      <t>https://www.cne.cl/wp-content/uploads/2020/06/Reglamento-Calificacion-instalaciones-Transmision-13062020.pdf</t>
    </r>
  </si>
  <si>
    <r>
      <rPr>
        <sz val="11"/>
        <color rgb="FF000000"/>
        <rFont val="Calibri"/>
        <family val="2"/>
      </rPr>
      <t>General - Approves regulations for the qualification, valuation, pricing, and remuneration of transmission facilities</t>
    </r>
  </si>
  <si>
    <r>
      <rPr>
        <b/>
        <sz val="20"/>
        <color rgb="FF000000"/>
        <rFont val="Calibri"/>
        <family val="2"/>
      </rPr>
      <t>Main regulations and contracts associated with Energy Transport REMUNERATION</t>
    </r>
  </si>
  <si>
    <r>
      <rPr>
        <b/>
        <sz val="12"/>
        <color rgb="FF003087"/>
        <rFont val="Tahoma"/>
        <family val="2"/>
      </rPr>
      <t>SEPARATE INCOME STATEMENT - CONSORCIO TRANSMANTARO</t>
    </r>
  </si>
  <si>
    <r>
      <rPr>
        <b/>
        <sz val="12"/>
        <color rgb="FF003087"/>
        <rFont val="Tahoma"/>
        <family val="2"/>
      </rPr>
      <t>SEPARATE STATEMENT OF FINANCIAL POSITION - CONSORCIO TRANSMANTARO</t>
    </r>
  </si>
  <si>
    <r>
      <rPr>
        <b/>
        <sz val="12"/>
        <color rgb="FF003087"/>
        <rFont val="Tahoma"/>
        <family val="2"/>
      </rPr>
      <t>SEPARATE INCOME STATEMENT - ISA REP</t>
    </r>
  </si>
  <si>
    <r>
      <rPr>
        <b/>
        <sz val="12"/>
        <color rgb="FF003087"/>
        <rFont val="Tahoma"/>
        <family val="2"/>
      </rPr>
      <t>SEPARATE STATEMENT OF FINANCIAL POSITION - ISA INTERCOLOMBIA</t>
    </r>
  </si>
  <si>
    <r>
      <rPr>
        <b/>
        <sz val="12"/>
        <color rgb="FF003087"/>
        <rFont val="Tahoma"/>
        <family val="2"/>
      </rPr>
      <t>SEPARATE STATEMENT OF FINANCIAL POSITION - ISA REP</t>
    </r>
  </si>
  <si>
    <r>
      <rPr>
        <b/>
        <sz val="12"/>
        <color rgb="FF003087"/>
        <rFont val="Tahoma"/>
        <family val="2"/>
      </rPr>
      <t>SEPARATE STATEMENT OF FINANCIAL POSITION - ISA PERÚ</t>
    </r>
  </si>
  <si>
    <t>□</t>
  </si>
  <si>
    <t>-</t>
  </si>
  <si>
    <r>
      <rPr>
        <b/>
        <sz val="12"/>
        <color rgb="FF000000"/>
        <rFont val="Tahoma"/>
        <family val="2"/>
      </rPr>
      <t>SEPARATE INCOME STATEMENT - ISA INTERCHILE</t>
    </r>
  </si>
  <si>
    <r>
      <rPr>
        <i/>
        <sz val="10"/>
        <color rgb="FF808080"/>
        <rFont val="Tahoma"/>
        <family val="2"/>
      </rPr>
      <t>Figures in USD millions</t>
    </r>
  </si>
  <si>
    <r>
      <rPr>
        <b/>
        <sz val="12"/>
        <color rgb="FF003087"/>
        <rFont val="Tahoma"/>
        <family val="2"/>
      </rPr>
      <t>SEPARATE STATEMENT OF FINANCIAL POSITION - ISA INTERCHILE</t>
    </r>
  </si>
  <si>
    <r>
      <rPr>
        <i/>
        <sz val="10"/>
        <color rgb="FF808080"/>
        <rFont val="Tahoma"/>
        <family val="2"/>
      </rPr>
      <t>Figures in CLP millions</t>
    </r>
  </si>
  <si>
    <r>
      <rPr>
        <sz val="11"/>
        <color rgb="FF808080"/>
        <rFont val="Tahoma"/>
        <family val="2"/>
      </rPr>
      <t>Revenues from road operation services</t>
    </r>
  </si>
  <si>
    <r>
      <rPr>
        <sz val="11"/>
        <color rgb="FF808080"/>
        <rFont val="Tahoma"/>
        <family val="2"/>
      </rPr>
      <t>Financial returns from concession asset</t>
    </r>
  </si>
  <si>
    <r>
      <rPr>
        <b/>
        <sz val="12"/>
        <color rgb="FF000000"/>
        <rFont val="Tahoma"/>
        <family val="2"/>
      </rPr>
      <t>INCOME STATEMENT  - RUTA DE LA ARAUCANÍA</t>
    </r>
  </si>
  <si>
    <r>
      <rPr>
        <b/>
        <sz val="12"/>
        <color rgb="FF000000"/>
        <rFont val="Tahoma"/>
        <family val="2"/>
      </rPr>
      <t>SEPARATE STATEMENT OF FINANCIAL POSITION-RUTA DE LA ARAUCANÍA</t>
    </r>
  </si>
  <si>
    <r>
      <rPr>
        <b/>
        <sz val="12"/>
        <color rgb="FF000000"/>
        <rFont val="Tahoma"/>
        <family val="2"/>
      </rPr>
      <t>INCOME STATEMENT  - RUTA DEL BOSQUE</t>
    </r>
  </si>
  <si>
    <r>
      <rPr>
        <b/>
        <sz val="12"/>
        <color rgb="FF000000"/>
        <rFont val="Tahoma"/>
        <family val="2"/>
      </rPr>
      <t>SEPARATE STATEMENT OF FINANCIAL POSITION-RUTA DEL BOSQUE</t>
    </r>
  </si>
  <si>
    <r>
      <rPr>
        <b/>
        <sz val="12"/>
        <color rgb="FF000000"/>
        <rFont val="Tahoma"/>
        <family val="2"/>
      </rPr>
      <t>INCOME STATEMENT  - RUTA DE LOS RÍOS</t>
    </r>
  </si>
  <si>
    <r>
      <rPr>
        <b/>
        <sz val="12"/>
        <color rgb="FF000000"/>
        <rFont val="Tahoma"/>
        <family val="2"/>
      </rPr>
      <t>SEPARATE STATEMENT OF FINANCIAL POSITION-RUTA DE LOS RÍOS</t>
    </r>
  </si>
  <si>
    <r>
      <rPr>
        <u/>
        <sz val="11"/>
        <color rgb="FF0563C1"/>
        <rFont val="Calibri"/>
        <family val="2"/>
      </rPr>
      <t>RBSE</t>
    </r>
  </si>
  <si>
    <r>
      <rPr>
        <sz val="11"/>
        <color rgb="FF808080"/>
        <rFont val="Tahoma"/>
        <family val="2"/>
      </rPr>
      <t>Connection charges</t>
    </r>
  </si>
  <si>
    <r>
      <rPr>
        <sz val="11"/>
        <color rgb="FF4D4D4D"/>
        <rFont val="Tahoma"/>
        <family val="2"/>
      </rPr>
      <t>Other financial assets</t>
    </r>
  </si>
  <si>
    <r>
      <rPr>
        <sz val="11"/>
        <color rgb="FF4D4D4D"/>
        <rFont val="Tahoma"/>
        <family val="2"/>
      </rPr>
      <t>Joint Accounts Contract</t>
    </r>
  </si>
  <si>
    <r>
      <rPr>
        <sz val="12"/>
        <color rgb="FF4D4D4D"/>
        <rFont val="Tahoma"/>
        <family val="2"/>
      </rPr>
      <t>In BRL thousands</t>
    </r>
  </si>
  <si>
    <r>
      <rPr>
        <sz val="12"/>
        <color rgb="FF4D4D4D"/>
        <rFont val="Tahoma"/>
        <family val="2"/>
      </rPr>
      <t>In USD thousands</t>
    </r>
  </si>
  <si>
    <r>
      <rPr>
        <sz val="11"/>
        <color rgb="FF808080"/>
        <rFont val="Tahoma"/>
        <family val="2"/>
      </rPr>
      <t>Cash and cash equivalents</t>
    </r>
  </si>
  <si>
    <r>
      <rPr>
        <sz val="11"/>
        <color rgb="FF808080"/>
        <rFont val="Tahoma"/>
        <family val="2"/>
      </rPr>
      <t>Trade accounts receivable</t>
    </r>
  </si>
  <si>
    <r>
      <rPr>
        <sz val="11"/>
        <color rgb="FF808080"/>
        <rFont val="Tahoma"/>
        <family val="2"/>
      </rPr>
      <t>Other accounts receivable</t>
    </r>
  </si>
  <si>
    <r>
      <rPr>
        <sz val="11"/>
        <color rgb="FF808080"/>
        <rFont val="Tahoma"/>
        <family val="2"/>
      </rPr>
      <t>Inventories</t>
    </r>
  </si>
  <si>
    <r>
      <rPr>
        <sz val="11"/>
        <color rgb="FF808080"/>
        <rFont val="Tahoma"/>
        <family val="2"/>
      </rPr>
      <t>Other financial assets</t>
    </r>
  </si>
  <si>
    <r>
      <rPr>
        <sz val="11"/>
        <color rgb="FF808080"/>
        <rFont val="Tahoma"/>
        <family val="2"/>
      </rPr>
      <t>Property, plant, and equipment - net</t>
    </r>
  </si>
  <si>
    <r>
      <rPr>
        <sz val="11"/>
        <color rgb="FF808080"/>
        <rFont val="Tahoma"/>
        <family val="2"/>
      </rPr>
      <t>Intangible assets - net</t>
    </r>
  </si>
  <si>
    <r>
      <rPr>
        <sz val="11"/>
        <color rgb="FF808080"/>
        <rFont val="Tahoma"/>
        <family val="2"/>
      </rPr>
      <t>Non-financial assets</t>
    </r>
  </si>
  <si>
    <r>
      <rPr>
        <sz val="11"/>
        <color rgb="FF808080"/>
        <rFont val="Tahoma"/>
        <family val="2"/>
      </rPr>
      <t>Deferred tax</t>
    </r>
  </si>
  <si>
    <r>
      <rPr>
        <sz val="11"/>
        <color rgb="FF808080"/>
        <rFont val="Tahoma"/>
        <family val="2"/>
      </rPr>
      <t>Finance lease assets - net</t>
    </r>
  </si>
  <si>
    <r>
      <rPr>
        <sz val="11"/>
        <color rgb="FF808080"/>
        <rFont val="Tahoma"/>
        <family val="2"/>
      </rPr>
      <t>Loans receivable from related parties</t>
    </r>
  </si>
  <si>
    <r>
      <rPr>
        <sz val="11"/>
        <color rgb="FF808080"/>
        <rFont val="Tahoma"/>
        <family val="2"/>
      </rPr>
      <t>Trade accounts payable</t>
    </r>
  </si>
  <si>
    <r>
      <rPr>
        <sz val="11"/>
        <color rgb="FF808080"/>
        <rFont val="Tahoma"/>
        <family val="2"/>
      </rPr>
      <t>Other accounts payable</t>
    </r>
  </si>
  <si>
    <r>
      <rPr>
        <sz val="11"/>
        <color rgb="FF808080"/>
        <rFont val="Tahoma"/>
        <family val="2"/>
      </rPr>
      <t>Provisions</t>
    </r>
  </si>
  <si>
    <r>
      <rPr>
        <sz val="11"/>
        <color rgb="FF808080"/>
        <rFont val="Tahoma"/>
        <family val="2"/>
      </rPr>
      <t>Deferred tax liability</t>
    </r>
  </si>
  <si>
    <r>
      <rPr>
        <sz val="11"/>
        <color rgb="FF808080"/>
        <rFont val="Tahoma"/>
        <family val="2"/>
      </rPr>
      <t>Subscribed and paid-in capital</t>
    </r>
  </si>
  <si>
    <r>
      <rPr>
        <sz val="11"/>
        <color rgb="FF808080"/>
        <rFont val="Tahoma"/>
        <family val="2"/>
      </rPr>
      <t>Premium for placement of shares</t>
    </r>
  </si>
  <si>
    <r>
      <rPr>
        <sz val="11"/>
        <color rgb="FF808080"/>
        <rFont val="Tahoma"/>
        <family val="2"/>
      </rPr>
      <t>Other capital reserves</t>
    </r>
  </si>
  <si>
    <r>
      <rPr>
        <sz val="11"/>
        <color rgb="FF808080"/>
        <rFont val="Tahoma"/>
        <family val="2"/>
      </rPr>
      <t>Accumulated income</t>
    </r>
  </si>
  <si>
    <r>
      <rPr>
        <sz val="11"/>
        <color rgb="FF808080"/>
        <rFont val="Tahoma"/>
        <family val="2"/>
      </rPr>
      <t>Income for the year</t>
    </r>
  </si>
  <si>
    <r>
      <rPr>
        <sz val="11"/>
        <color rgb="FF808080"/>
        <rFont val="Tahoma"/>
        <family val="2"/>
      </rPr>
      <t>Other comprehensive income</t>
    </r>
  </si>
  <si>
    <r>
      <rPr>
        <sz val="11"/>
        <color rgb="FF808080"/>
        <rFont val="Tahoma"/>
        <family val="2"/>
      </rPr>
      <t>Supplementary revenues</t>
    </r>
    <r>
      <rPr>
        <sz val="11"/>
        <color rgb="FF808080"/>
        <rFont val="Tahoma"/>
        <family val="2"/>
      </rPr>
      <t xml:space="preserve"> </t>
    </r>
  </si>
  <si>
    <r>
      <rPr>
        <i/>
        <sz val="10"/>
        <color rgb="FF808080"/>
        <rFont val="Tahoma"/>
        <family val="2"/>
      </rPr>
      <t>Figures in COP millions</t>
    </r>
  </si>
  <si>
    <r>
      <rPr>
        <sz val="11"/>
        <color rgb="FF4D4D4D"/>
        <rFont val="Tahoma"/>
        <family val="2"/>
      </rPr>
      <t>Other provisions</t>
    </r>
    <r>
      <rPr>
        <sz val="11"/>
        <color rgb="FF4D4D4D"/>
        <rFont val="Tahoma"/>
        <family val="2"/>
      </rPr>
      <t xml:space="preserve"> </t>
    </r>
  </si>
  <si>
    <r>
      <rPr>
        <b/>
        <sz val="11"/>
        <color rgb="FFFFFFFF"/>
        <rFont val="Tahoma"/>
        <family val="2"/>
      </rPr>
      <t>3Q20</t>
    </r>
  </si>
  <si>
    <r>
      <rPr>
        <i/>
        <sz val="10"/>
        <color rgb="FF808080"/>
        <rFont val="Tahoma"/>
        <family val="2"/>
      </rPr>
      <t>Figures in USD millions</t>
    </r>
  </si>
  <si>
    <r>
      <rPr>
        <i/>
        <sz val="10"/>
        <color rgb="FF808080"/>
        <rFont val="Tahoma"/>
        <family val="2"/>
      </rPr>
      <t>Figures in CLP millions</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</si>
  <si>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</si>
  <si>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</si>
  <si>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</si>
  <si>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road operation services</t>
    </r>
  </si>
  <si>
    <r>
      <rPr>
        <sz val="11"/>
        <color rgb="FF808080"/>
        <rFont val="Tahoma"/>
        <family val="2"/>
      </rPr>
      <t>Financial returns from concession asset</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</si>
  <si>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</si>
  <si>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</si>
  <si>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</si>
  <si>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</si>
  <si>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</si>
  <si>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</si>
  <si>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</si>
  <si>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</si>
  <si>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</si>
  <si>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</si>
  <si>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</si>
  <si>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Net income</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</si>
  <si>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</si>
  <si>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</si>
  <si>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</si>
  <si>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</si>
  <si>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</si>
  <si>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Non-financial assets</t>
    </r>
  </si>
  <si>
    <r>
      <rPr>
        <sz val="11"/>
        <color rgb="FF4D4D4D"/>
        <rFont val="Tahoma"/>
        <family val="2"/>
      </rPr>
      <t>Inventories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</si>
  <si>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</si>
  <si>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</si>
  <si>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</si>
  <si>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</si>
  <si>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</si>
  <si>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</si>
  <si>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</si>
  <si>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</si>
  <si>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</si>
  <si>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</si>
  <si>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</si>
  <si>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</si>
  <si>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</si>
  <si>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</si>
  <si>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</si>
  <si>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</si>
  <si>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</si>
  <si>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</si>
  <si>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</si>
  <si>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Employee benefits</t>
    </r>
  </si>
  <si>
    <r>
      <rPr>
        <sz val="11"/>
        <color rgb="FF4D4D4D"/>
        <rFont val="Tahoma"/>
        <family val="2"/>
      </rPr>
      <t>Provisions</t>
    </r>
  </si>
  <si>
    <r>
      <rPr>
        <sz val="11"/>
        <color rgb="FF4D4D4D"/>
        <rFont val="Tahoma"/>
        <family val="2"/>
      </rPr>
      <t>Economic related parties</t>
    </r>
  </si>
  <si>
    <r>
      <rPr>
        <sz val="11"/>
        <color rgb="FF4D4D4D"/>
        <rFont val="Tahoma"/>
        <family val="2"/>
      </rPr>
      <t>Non-financial liabilities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</si>
  <si>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</si>
  <si>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</si>
  <si>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</si>
  <si>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sz val="11"/>
        <color rgb="FF4D4D4D"/>
        <rFont val="Tahoma"/>
        <family val="2"/>
      </rPr>
      <t>Deferred tax liability</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</si>
  <si>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</si>
  <si>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</si>
  <si>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</si>
  <si>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</si>
  <si>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</si>
  <si>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</si>
  <si>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</si>
  <si>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</si>
  <si>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</si>
  <si>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Total shareholders' equity</t>
    </r>
  </si>
  <si>
    <r>
      <rPr>
        <b/>
        <sz val="11"/>
        <color rgb="FFFFFFFF"/>
        <rFont val="Tahoma"/>
        <family val="2"/>
      </rPr>
      <t>TOTAL SHAREHOLDERS' LIABILITIES AND EQUITY</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</si>
  <si>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</si>
  <si>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</si>
  <si>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</si>
  <si>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</si>
  <si>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</si>
  <si>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</si>
  <si>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</si>
  <si>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</si>
  <si>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sz val="11"/>
        <color rgb="FF000000"/>
        <rFont val="Calibri"/>
        <family val="2"/>
      </rPr>
      <t>Colombia</t>
    </r>
  </si>
  <si>
    <r>
      <rPr>
        <sz val="11"/>
        <color rgb="FF000000"/>
        <rFont val="Calibri"/>
        <family val="2"/>
      </rPr>
      <t>Peru</t>
    </r>
  </si>
  <si>
    <r>
      <rPr>
        <sz val="11"/>
        <color rgb="FF000000"/>
        <rFont val="Calibri"/>
        <family val="2"/>
      </rPr>
      <t>Bolivia</t>
    </r>
  </si>
  <si>
    <r>
      <rPr>
        <sz val="11"/>
        <color rgb="FF000000"/>
        <rFont val="Calibri"/>
        <family val="2"/>
      </rPr>
      <t>Chile</t>
    </r>
  </si>
  <si>
    <r>
      <rPr>
        <b/>
        <sz val="11"/>
        <color rgb="FF000000"/>
        <rFont val="Calibri"/>
        <family val="2"/>
      </rPr>
      <t>Company</t>
    </r>
  </si>
  <si>
    <r>
      <rPr>
        <sz val="11"/>
        <color rgb="FF000000"/>
        <rFont val="Calibri"/>
        <family val="2"/>
      </rPr>
      <t>All transmission companies</t>
    </r>
  </si>
  <si>
    <r>
      <rPr>
        <sz val="11"/>
        <color rgb="FF000000"/>
        <rFont val="Calibri"/>
        <family val="2"/>
      </rPr>
      <t>ISA</t>
    </r>
  </si>
  <si>
    <r>
      <rPr>
        <sz val="11"/>
        <color rgb="FF000000"/>
        <rFont val="Calibri"/>
        <family val="2"/>
      </rPr>
      <t>INTERCOLOMBIA</t>
    </r>
  </si>
  <si>
    <r>
      <rPr>
        <sz val="11"/>
        <color rgb="FF000000"/>
        <rFont val="Calibri"/>
        <family val="2"/>
      </rPr>
      <t>TRANSELCA</t>
    </r>
  </si>
  <si>
    <r>
      <rPr>
        <sz val="11"/>
        <color rgb="FF000000"/>
        <rFont val="Calibri"/>
        <family val="2"/>
      </rPr>
      <t>REP</t>
    </r>
  </si>
  <si>
    <r>
      <rPr>
        <sz val="11"/>
        <color rgb="FF000000"/>
        <rFont val="Calibri"/>
        <family val="2"/>
      </rPr>
      <t>CTM</t>
    </r>
  </si>
  <si>
    <r>
      <rPr>
        <sz val="11"/>
        <color rgb="FF000000"/>
        <rFont val="Calibri"/>
        <family val="2"/>
      </rPr>
      <t>ISA Perú</t>
    </r>
  </si>
  <si>
    <r>
      <rPr>
        <sz val="11"/>
        <color rgb="FF000000"/>
        <rFont val="Calibri"/>
        <family val="2"/>
      </rPr>
      <t>ISA Bolivia</t>
    </r>
  </si>
  <si>
    <r>
      <rPr>
        <sz val="11"/>
        <color rgb="FF000000"/>
        <rFont val="Calibri"/>
        <family val="2"/>
      </rPr>
      <t>All controlled companies (market companies)</t>
    </r>
  </si>
  <si>
    <r>
      <rPr>
        <sz val="11"/>
        <color rgb="FF000000"/>
        <rFont val="Calibri"/>
        <family val="2"/>
      </rPr>
      <t>Interchile</t>
    </r>
  </si>
  <si>
    <r>
      <rPr>
        <sz val="11"/>
        <color rgb="FF000000"/>
        <rFont val="Calibri"/>
        <family val="2"/>
      </rPr>
      <t>Energy transmission companies</t>
    </r>
  </si>
  <si>
    <r>
      <rPr>
        <sz val="11"/>
        <color rgb="FF000000"/>
        <rFont val="Calibri"/>
        <family val="2"/>
      </rPr>
      <t>Concession Contract</t>
    </r>
  </si>
  <si>
    <r>
      <rPr>
        <sz val="11"/>
        <color rgb="FF000000"/>
        <rFont val="Calibri"/>
        <family val="2"/>
      </rPr>
      <t>CREG</t>
    </r>
  </si>
  <si>
    <r>
      <rPr>
        <sz val="11"/>
        <color rgb="FF000000"/>
        <rFont val="Calibri"/>
        <family val="2"/>
      </rPr>
      <t>OSINERGMIN</t>
    </r>
  </si>
  <si>
    <r>
      <rPr>
        <sz val="11"/>
        <color rgb="FF000000"/>
        <rFont val="Calibri"/>
        <family val="2"/>
      </rPr>
      <t>PROINVERSIÓN</t>
    </r>
  </si>
  <si>
    <r>
      <rPr>
        <sz val="11"/>
        <color rgb="FF000000"/>
        <rFont val="Calibri"/>
        <family val="2"/>
      </rPr>
      <t>AETN</t>
    </r>
  </si>
  <si>
    <r>
      <rPr>
        <sz val="11"/>
        <color rgb="FF000000"/>
        <rFont val="Calibri"/>
        <family val="2"/>
      </rPr>
      <t>Ministry of Energy</t>
    </r>
  </si>
  <si>
    <r>
      <rPr>
        <sz val="11"/>
        <color rgb="FF000000"/>
        <rFont val="Calibri"/>
        <family val="2"/>
      </rPr>
      <t>National Energy Commission</t>
    </r>
  </si>
  <si>
    <r>
      <rPr>
        <u/>
        <sz val="11"/>
        <color rgb="FF0563C1"/>
        <rFont val="Calibri"/>
        <family val="2"/>
      </rPr>
      <t>http://apolo.creg.gov.co/Publicac.nsf/Documentos-Resoluciones?openview=</t>
    </r>
  </si>
  <si>
    <r>
      <rPr>
        <sz val="11"/>
        <color rgb="FF000000"/>
        <rFont val="Calibri"/>
        <family val="2"/>
      </rPr>
      <t>Specific - Updates the asset base for Intercolombia S.A. E.S.P. Santa Marta 220 kV Substation</t>
    </r>
  </si>
  <si>
    <r>
      <rPr>
        <sz val="11"/>
        <color rgb="FF000000"/>
        <rFont val="Calibri"/>
        <family val="2"/>
      </rPr>
      <t>General - Energy Regulatory Framework</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</si>
  <si>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</si>
  <si>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sz val="12"/>
        <color rgb="FF4D4D4D"/>
        <rFont val="Tahoma"/>
        <family val="2"/>
      </rPr>
      <t>Figures in COP millions</t>
    </r>
  </si>
  <si>
    <r>
      <rPr>
        <b/>
        <sz val="11"/>
        <color rgb="FFFFFFFF"/>
        <rFont val="Tahoma"/>
        <family val="2"/>
      </rPr>
      <t>Company</t>
    </r>
  </si>
  <si>
    <r>
      <rPr>
        <sz val="11"/>
        <color rgb="FF808080"/>
        <rFont val="Tahoma"/>
        <family val="2"/>
      </rPr>
      <t>REP</t>
    </r>
  </si>
  <si>
    <r>
      <rPr>
        <sz val="11"/>
        <color rgb="FF808080"/>
        <rFont val="Tahoma"/>
        <family val="2"/>
      </rPr>
      <t>CTM</t>
    </r>
  </si>
  <si>
    <t xml:space="preserve">Specific - Approves the asset base and parameters necessary to determine the remuneration to INTERCOLOMBIA in the National Transmission System. </t>
  </si>
  <si>
    <t>SGT (Guaranteed Transmission System) and SCT (Secondary Transmission System) Contracts</t>
  </si>
  <si>
    <t xml:space="preserve">Specific - Expansion of facilities - Defines the amount recognized and executed by the AE for the "Implementation of four neutral reactors" project developed by ISA Bolivia, reaching an amount of USD 455.617,14 </t>
  </si>
  <si>
    <t>Defines the amount recognized and executed by the AE for the "Implementation of four neutral reactors" project developed by ISA Bolivia, reaching an amount of USD 455.617,14</t>
  </si>
  <si>
    <t xml:space="preserve">Specific - Transmission license - Grants to Interconexión Eléctrica Isa Bolivia S.A. (ISA Bolivia), legally represented by Fernando Almario Argüello, an energy transmission activity license for the "Arboleda 230/115 kv Substation" project. </t>
  </si>
  <si>
    <t>Grants to Interconexión Eléctrica Isa Bolivia S.A. (ISA Bolivia), legally represented by Fernando Almario Argüello, an energy transmission activity license for the "Arboleda 230/115 kv Substation" project.</t>
  </si>
  <si>
    <t xml:space="preserve">Specific - Transmission license - Grants to Interconexión Eléctrica Isa Bolivia S.A. (ISA Bolivia), legally represented by Enrique Barrios Ponce de León and Guillermo Marquez Moreno, an energy transmission activity license for the Santiváñez-Sucre, Sucre-Punutuma, and Carrasco-Urubó Lines. </t>
  </si>
  <si>
    <t>Grants to Interconexión Eléctrica Isa Bolivia S.A. (ISA Bolivia), legally represented by Enrique Barrios Ponce de León and Guillermo Marquez Moreno, an energy transmission activity license for the Santiváñez-Sucre, Sucre-Punutuma, and Carrasco-Urubó Lines.</t>
  </si>
  <si>
    <t>Other financial liabilities</t>
  </si>
  <si>
    <t>3Q20</t>
  </si>
  <si>
    <t>Return to Table of Contents</t>
  </si>
  <si>
    <t>__________________________________________________________________________________________________________________________________________________________</t>
  </si>
  <si>
    <t>Valuation Kit</t>
  </si>
  <si>
    <t>Table of contents</t>
  </si>
  <si>
    <t>Quarterly consolidated financial statements</t>
  </si>
  <si>
    <t>Energy Regulation</t>
  </si>
  <si>
    <t>Quarterly financial statements ET Colombia</t>
  </si>
  <si>
    <t>ISA</t>
  </si>
  <si>
    <t>Intercolombia</t>
  </si>
  <si>
    <t>Transelca</t>
  </si>
  <si>
    <t>Quarterly financial statements ET Brazil</t>
  </si>
  <si>
    <t>Quarterly financial statements ET Peru</t>
  </si>
  <si>
    <t>Transmantaro</t>
  </si>
  <si>
    <t>REP</t>
  </si>
  <si>
    <t>ISA Perú</t>
  </si>
  <si>
    <t>Quarterly financial statements ET Chile</t>
  </si>
  <si>
    <t>Quarterly financial statements Roads Chile</t>
  </si>
  <si>
    <t>Consolidated Debt Credits</t>
  </si>
  <si>
    <t>Consolidated Debt Bonds</t>
  </si>
  <si>
    <t>CAPEX</t>
  </si>
  <si>
    <t>Dividends</t>
  </si>
  <si>
    <t>Payout ratio CTEEP: 75% regulatory net income</t>
  </si>
  <si>
    <t>Consolidated</t>
  </si>
  <si>
    <t>1Q18</t>
  </si>
  <si>
    <t>2Q18</t>
  </si>
  <si>
    <t>3Q18</t>
  </si>
  <si>
    <t>4Q18</t>
  </si>
  <si>
    <t>1Q19</t>
  </si>
  <si>
    <t>2Q19</t>
  </si>
  <si>
    <t>3Q19</t>
  </si>
  <si>
    <t>4Q19</t>
  </si>
  <si>
    <t>1Q20</t>
  </si>
  <si>
    <t>2Q20</t>
  </si>
  <si>
    <t>Gross Operating Revenue</t>
  </si>
  <si>
    <t>Infrastructure</t>
  </si>
  <si>
    <t>O&amp;M</t>
  </si>
  <si>
    <t>Other</t>
  </si>
  <si>
    <t>Deductions from Operating Revenue</t>
  </si>
  <si>
    <t>Net Operating Revenue</t>
  </si>
  <si>
    <t xml:space="preserve">Cost and Expenses  </t>
  </si>
  <si>
    <t>Personnel</t>
  </si>
  <si>
    <t>Materials</t>
  </si>
  <si>
    <t>Services</t>
  </si>
  <si>
    <t>Depreciation</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</si>
  <si>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</si>
  <si>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</si>
  <si>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</si>
  <si>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</si>
  <si>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</si>
  <si>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</si>
  <si>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</si>
  <si>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</si>
  <si>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</si>
  <si>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</si>
  <si>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</si>
  <si>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</si>
  <si>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</si>
  <si>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</si>
  <si>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</si>
  <si>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</si>
  <si>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</si>
  <si>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</si>
  <si>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</si>
  <si>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</si>
  <si>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</si>
  <si>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</si>
  <si>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</si>
  <si>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</si>
  <si>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</si>
  <si>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</si>
  <si>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</si>
  <si>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</si>
  <si>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</si>
  <si>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</si>
  <si>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</si>
  <si>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</si>
  <si>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</si>
  <si>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</si>
  <si>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</si>
  <si>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</si>
  <si>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</si>
  <si>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</si>
  <si>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</si>
  <si>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</si>
  <si>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</si>
  <si>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</si>
  <si>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</si>
  <si>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</si>
  <si>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</si>
  <si>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</si>
  <si>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</si>
  <si>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</si>
  <si>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</si>
  <si>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</si>
  <si>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</si>
  <si>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</si>
  <si>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</si>
  <si>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</si>
  <si>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</si>
  <si>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</si>
  <si>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</si>
  <si>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</si>
  <si>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</si>
  <si>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</si>
  <si>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</si>
  <si>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</si>
  <si>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</si>
  <si>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</si>
  <si>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</si>
  <si>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</si>
  <si>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</si>
  <si>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</si>
  <si>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</si>
  <si>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</si>
  <si>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</si>
  <si>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</si>
  <si>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</si>
  <si>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</si>
  <si>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</si>
  <si>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</si>
  <si>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</si>
  <si>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</si>
  <si>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</si>
  <si>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</si>
  <si>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</si>
  <si>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</si>
  <si>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</si>
  <si>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</si>
  <si>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</si>
  <si>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</si>
  <si>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</si>
  <si>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</si>
  <si>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</si>
  <si>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</si>
  <si>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</si>
  <si>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</si>
  <si>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</si>
  <si>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</si>
  <si>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</si>
  <si>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Income taxes and social contribution</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</si>
  <si>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</si>
  <si>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</si>
  <si>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</si>
  <si>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</si>
  <si>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</si>
  <si>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</si>
  <si>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</si>
  <si>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</si>
  <si>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</si>
  <si>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</si>
  <si>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</si>
  <si>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</si>
  <si>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</si>
  <si>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</si>
  <si>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</si>
  <si>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</si>
  <si>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</si>
  <si>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</si>
  <si>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</si>
  <si>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</si>
  <si>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</si>
  <si>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</si>
  <si>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</si>
  <si>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</si>
  <si>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</si>
  <si>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</si>
  <si>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</si>
  <si>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</si>
  <si>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</si>
  <si>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</si>
  <si>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</si>
  <si>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</si>
  <si>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</si>
  <si>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</si>
  <si>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</si>
  <si>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 xml:space="preserve">Banco de Bogota </t>
  </si>
  <si>
    <t>COP</t>
  </si>
  <si>
    <t>IPC</t>
  </si>
  <si>
    <t>BBVA</t>
  </si>
  <si>
    <t>Banco Davivienda</t>
  </si>
  <si>
    <t>Scotiabank</t>
  </si>
  <si>
    <t>USD</t>
  </si>
  <si>
    <t xml:space="preserve">Libor(6M) </t>
  </si>
  <si>
    <t>Bancolombia</t>
  </si>
  <si>
    <t>IBR (6M)</t>
  </si>
  <si>
    <t>IBR (3M)</t>
  </si>
  <si>
    <t>Banco de Occidente</t>
  </si>
  <si>
    <t>Banco Popular</t>
  </si>
  <si>
    <t>Davivienda</t>
  </si>
  <si>
    <t xml:space="preserve">Tasa Fija </t>
  </si>
  <si>
    <t>Interbank</t>
  </si>
  <si>
    <t>Libor(3M)</t>
  </si>
  <si>
    <t>PEN</t>
  </si>
  <si>
    <t>BRL</t>
  </si>
  <si>
    <t>BNDES III (FINEM)</t>
  </si>
  <si>
    <t xml:space="preserve">TJLP </t>
  </si>
  <si>
    <t>BNDES III (PSI)</t>
  </si>
  <si>
    <t>BNDES III (Social)</t>
  </si>
  <si>
    <t>BTMU</t>
  </si>
  <si>
    <t>Fair Value Swap</t>
  </si>
  <si>
    <t>BNDES IV</t>
  </si>
  <si>
    <t>BNDES IV (Social)</t>
  </si>
  <si>
    <t>CCB (Bradesco)</t>
  </si>
  <si>
    <t xml:space="preserve">CDI </t>
  </si>
  <si>
    <t>BNDES (FINEM)</t>
  </si>
  <si>
    <t>BNDES (PSI)</t>
  </si>
  <si>
    <t>Banco do Nordeste</t>
  </si>
  <si>
    <t>BNDES</t>
  </si>
  <si>
    <t>ITAU</t>
  </si>
  <si>
    <t>Banco Safra</t>
  </si>
  <si>
    <t>Banco ABC</t>
  </si>
  <si>
    <t>China Construction Bank</t>
  </si>
  <si>
    <t>CLP</t>
  </si>
  <si>
    <t>TAB (180)</t>
  </si>
  <si>
    <t>BCI</t>
  </si>
  <si>
    <t>UF</t>
  </si>
  <si>
    <t>Banco de Chile Tramo B1</t>
  </si>
  <si>
    <t>TAB (360)</t>
  </si>
  <si>
    <t>Banco de Chile Tramo B2</t>
  </si>
  <si>
    <t>Banco de Chile Tramo F1</t>
  </si>
  <si>
    <t>TAB (30)</t>
  </si>
  <si>
    <t>Banco Corpbanca B1</t>
  </si>
  <si>
    <t>Banco Corpbanca B2</t>
  </si>
  <si>
    <t>Banco Corpbanca F1</t>
  </si>
  <si>
    <t>Banco del Estado B1</t>
  </si>
  <si>
    <t>Banco del Estado B2</t>
  </si>
  <si>
    <t>Banco del Estado F1</t>
  </si>
  <si>
    <t>Banco BICE</t>
  </si>
  <si>
    <t>Banco Security</t>
  </si>
  <si>
    <t>Banco BCI</t>
  </si>
  <si>
    <t>Banco Santander Chile</t>
  </si>
  <si>
    <t>Compañía de Seguros Euroamérica</t>
  </si>
  <si>
    <t>Compañía de Seguros Confuturo</t>
  </si>
  <si>
    <t>Banco Estado</t>
  </si>
  <si>
    <t>Scotiabank Chile</t>
  </si>
  <si>
    <t>CA-CIB</t>
  </si>
  <si>
    <t>NATIXIS</t>
  </si>
  <si>
    <t>SMBC</t>
  </si>
  <si>
    <t>KFW</t>
  </si>
  <si>
    <t>LA CAIXA</t>
  </si>
  <si>
    <t>SIEMENS</t>
  </si>
  <si>
    <t>SABADELL</t>
  </si>
  <si>
    <t>SUMITRUST</t>
  </si>
  <si>
    <t>COLOMBIA</t>
  </si>
  <si>
    <t>Costera</t>
  </si>
  <si>
    <t>Ashmore-CAF</t>
  </si>
  <si>
    <t>UVR</t>
  </si>
  <si>
    <t>FDN</t>
  </si>
  <si>
    <t>Internexa</t>
  </si>
  <si>
    <t>PERU</t>
  </si>
  <si>
    <t>CTM</t>
  </si>
  <si>
    <t>ISA PERU</t>
  </si>
  <si>
    <t>ITX PERU</t>
  </si>
  <si>
    <t>BRASIL</t>
  </si>
  <si>
    <t>CTEEP</t>
  </si>
  <si>
    <t>IEMG</t>
  </si>
  <si>
    <t>Serra Do Japi</t>
  </si>
  <si>
    <t>IENNE</t>
  </si>
  <si>
    <t>IESUL</t>
  </si>
  <si>
    <t>CHILE</t>
  </si>
  <si>
    <t>ITX CHILE</t>
  </si>
  <si>
    <t>RUTA 
DE LOS RIOS</t>
  </si>
  <si>
    <t>RUTA DEL LOA</t>
  </si>
  <si>
    <t>INTERVIAL</t>
  </si>
  <si>
    <t>TOTAL DEBT CREDITS</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</si>
  <si>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</si>
  <si>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</si>
  <si>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</si>
  <si>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</si>
  <si>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</si>
  <si>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</si>
  <si>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</si>
  <si>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</si>
  <si>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</si>
  <si>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</si>
  <si>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</si>
  <si>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</si>
  <si>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</si>
  <si>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</si>
  <si>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</si>
  <si>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</si>
  <si>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</si>
  <si>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</si>
  <si>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</si>
  <si>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</si>
  <si>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</si>
  <si>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COSTERA</t>
  </si>
  <si>
    <t xml:space="preserve">Bonos Serie A </t>
  </si>
  <si>
    <t>Bonos Serie B</t>
  </si>
  <si>
    <t>TRANSELCA</t>
  </si>
  <si>
    <t>Tercera Emisión - Tramo II</t>
  </si>
  <si>
    <t>2P 20va Emision (Serie A)</t>
  </si>
  <si>
    <t>3P 4ta Emision (Serie A)</t>
  </si>
  <si>
    <t>3P 1era Emision (Serie A)(1)(3)</t>
  </si>
  <si>
    <t>3P 1ra Emision (Serie B) (1)(3)</t>
  </si>
  <si>
    <t>CTM Bonos Internacionales</t>
  </si>
  <si>
    <t>IPCA</t>
  </si>
  <si>
    <t>Debentures 5ª Emissão</t>
  </si>
  <si>
    <t>Debentures 7ª Emissão</t>
  </si>
  <si>
    <t>Debentures 8ª Emissão</t>
  </si>
  <si>
    <t>Debentures 9ª Emissão (Serie1)</t>
  </si>
  <si>
    <t>Debentures 9ª Emissão (Serie2)</t>
  </si>
  <si>
    <t>ISA IP</t>
  </si>
  <si>
    <t>RUTA DEL 
MAIPO</t>
  </si>
  <si>
    <t>Bono 144A (2)</t>
  </si>
  <si>
    <t>Bono Serie C</t>
  </si>
  <si>
    <t>Bono Serie D</t>
  </si>
  <si>
    <t>Bono Serie E</t>
  </si>
  <si>
    <t>Bono Serie F</t>
  </si>
  <si>
    <t>RUTA DEL
 BOSQUE</t>
  </si>
  <si>
    <t>Bono Serie A</t>
  </si>
  <si>
    <t>Bono Serie B</t>
  </si>
  <si>
    <t>TOTAL BONDS</t>
  </si>
  <si>
    <t xml:space="preserve">(1) Bonds issued in PEN and a SWAP to USD was made with Banco BBVA. </t>
  </si>
  <si>
    <t>(2) Bonds issued in USD and a SWAP was made to UF.</t>
  </si>
  <si>
    <t xml:space="preserve">(3) Call option </t>
  </si>
  <si>
    <t>INTERCOLOMBIA</t>
  </si>
  <si>
    <t>UPME 05-2014 Cerromatoso-Chinú-Copey</t>
  </si>
  <si>
    <t>UPME 07-2017 Sabanalarga - Bolívar 500 kV</t>
  </si>
  <si>
    <t>UPME 06-2018 Subestación el Río 220 kV y LT asociadas</t>
  </si>
  <si>
    <t>UPME 09-2016 Línea de Transmisión  Copey - Cuestecitas - Fundación</t>
  </si>
  <si>
    <t>UPME 04-2019 Línea de transmisión La Loma - Sogamoso 500 kV</t>
  </si>
  <si>
    <t>IEAIMORÉS(L3)</t>
  </si>
  <si>
    <t>IEPARAGUAÇU (L4)</t>
  </si>
  <si>
    <t>IEITAÚNAS (L21)</t>
  </si>
  <si>
    <t>IVAÍ(L1)</t>
  </si>
  <si>
    <t>IE BIGUAÇU</t>
  </si>
  <si>
    <t>TRES LAGOAS (L6)</t>
  </si>
  <si>
    <t>MINUANO (L1)</t>
  </si>
  <si>
    <t>TRIANGULO MINEIRO (L7)</t>
  </si>
  <si>
    <r>
      <rPr>
        <b/>
        <sz val="12"/>
        <color rgb="FFFFFFFF"/>
        <rFont val="Tahoma"/>
        <family val="2"/>
      </rPr>
      <t>Projects under execution</t>
    </r>
  </si>
  <si>
    <t>4Q20</t>
  </si>
  <si>
    <t>Other financial assets</t>
  </si>
  <si>
    <t>Income tax asset</t>
  </si>
  <si>
    <t>Tax Ccredit for IGV</t>
  </si>
  <si>
    <t xml:space="preserve">              -  </t>
  </si>
  <si>
    <t> </t>
  </si>
  <si>
    <t>Efficiency Gain in Infrastructure Implementation</t>
  </si>
  <si>
    <t>Revenues – Periodic Tariff Reset (RTP)</t>
  </si>
  <si>
    <t>Benefit to employess - Actuarial Deficit</t>
  </si>
  <si>
    <t>Actuarial surplus</t>
  </si>
  <si>
    <t>Non-controlling shareholders' share of investment funds</t>
  </si>
  <si>
    <t>Employee Benefit - Actuarial Deficit</t>
  </si>
  <si>
    <t>IFRS CONSOLIDATED INCOME STATEMENT - CTEEP</t>
  </si>
  <si>
    <t>On December 1, 2020, CVM Official Letter 04/2020 was published with guidance on the relevant aspects of IFRS 15 (CPC 47) and IFRS 9 (CPC 48) that will be observed in the demonstrations of December 31, 2020. As of Following the adoption of these guidelines, the Company reviewed the accounting practices that totaled a positive impact of R $ 674 million:
(i) The Company begins to recognize profit margin during the construction phase of the work and not only at the start of operations. This margin will be reviewed annually.
(ii) The rate applied to the contractual asset reflects the implicit rate of the financial flow of each project and considers the estimate of the company to value the financial component according to macroeconomic characteristics aligned with the methodology of the Granting Authority and the individual capital cost structure of the proyects.
(iii) The RBSE is now classified as a contractual asset, no longer a financial asset. The RBSE is now classified as a contractual asset, no longer a financial asset.</t>
  </si>
  <si>
    <t>Note</t>
  </si>
  <si>
    <t>http://www.concesiones.cl/proyectos/Paginas/default.aspx</t>
  </si>
  <si>
    <t>Chile</t>
  </si>
  <si>
    <t xml:space="preserve"> http://www.cmfchile.cl/institucional/mercados/entidad.php?auth=&amp;send=&amp;mercado=O&amp;rut=76876635&amp;grupo=&amp;tipoentidad=RGEIN&amp;vig=VI&amp;row=AAAwy2ACTAAAAQnAAN&amp;control=svs&amp;pestania=1</t>
  </si>
  <si>
    <t>http://www.concesiones.cl/proyectos/Paginas/detalleConstruccion.aspx?item=184</t>
  </si>
  <si>
    <t>Rutas del Loa</t>
  </si>
  <si>
    <t xml:space="preserve"> http://www.cmfchile.cl/institucional/mercados/entidad.php?auth=&amp;send=&amp;mercado=O&amp;rut=96848050&amp;grupo=&amp;tipoentidad=RGEIN&amp;vig=VI&amp;row=AAAwy2ACTAAAAWbAAD&amp;control=svs&amp;pestania=1</t>
  </si>
  <si>
    <t>http://www.concesiones.cl/proyectos/Paginas/detalleExplotacion.aspx?item=34</t>
  </si>
  <si>
    <t>Ruta de los Ríos</t>
  </si>
  <si>
    <t>http://www.cmfchile.cl/institucional/mercados/entidad.php?auth=&amp;send=&amp;mercado=O&amp;rut=96869650&amp;grupo=&amp;tipoentidad=RGEIN&amp;vig=VI&amp;row=AAAwy2ACTAAABy8AAO&amp;control=svs&amp;pestania=1</t>
  </si>
  <si>
    <t>http://www.concesiones.cl/proyectos/Paginas/detalleExplotacion.aspx?item=30</t>
  </si>
  <si>
    <t>Ruta de Araucanía</t>
  </si>
  <si>
    <t>http://www.cmfchile.cl/institucional/mercados/entidad.php?auth=&amp;send=&amp;mercado=V&amp;rut=96843170&amp;grupo=&amp;tipoentidad=RVEMI&amp;vig=VI&amp;row=AAAwy2ACTAAABy9AAC&amp;control=svs&amp;pestania=1</t>
  </si>
  <si>
    <t>http://www.concesiones.cl/proyectos/Paginas/detalleExplotacion.aspx?item=29</t>
  </si>
  <si>
    <t>Ruta del Bosque</t>
  </si>
  <si>
    <t>http://www.cmfchile.cl/institucional/mercados/entidad.php?auth=&amp;send=&amp;mercado=V&amp;rut=96875230&amp;grupo=&amp;tipoentidad=RVEMI&amp;vig=VI&amp;row=AAAwy2ACTAAAAWeAAL&amp;control=svs&amp;pestania=1</t>
  </si>
  <si>
    <t>http://www.concesiones.cl/proyectos/Paginas/detalleExplotacion.aspx?item=36</t>
  </si>
  <si>
    <t>Ruta del Maipo</t>
  </si>
  <si>
    <t>http://www.concesioncostera.com/index.php/proyecto/documentacion</t>
  </si>
  <si>
    <t>https://www.contratos.gov.co/consultas/detalleProceso.do?numConstancia=13-19-1611882</t>
  </si>
  <si>
    <t xml:space="preserve">Costera </t>
  </si>
  <si>
    <t>Colombia</t>
  </si>
  <si>
    <t>Concesión</t>
  </si>
  <si>
    <t>País</t>
  </si>
  <si>
    <t>Roads Regulation</t>
  </si>
  <si>
    <t>All of the concesions</t>
  </si>
  <si>
    <t>Main regulations and contracts associated with toal road concessions</t>
  </si>
  <si>
    <t>Annual Report</t>
  </si>
  <si>
    <t>Annual Report, Financial Statments</t>
  </si>
  <si>
    <t xml:space="preserve">Description and remuneration </t>
  </si>
  <si>
    <t>Contracts</t>
  </si>
  <si>
    <t>Concessions in operation, under construction, and concessions with both schemes</t>
  </si>
  <si>
    <t>Description</t>
  </si>
  <si>
    <t>Link (public information)</t>
  </si>
  <si>
    <t>Ampliación mando sincronizado Nuevo Cardones, Nuevo Maitencillo y Nuevo Pan de Azúcar</t>
  </si>
  <si>
    <t>Ampliación aumento de capacidad LT Maitencillo - Nueva Maitencillo</t>
  </si>
  <si>
    <t>Ampliación subestación Nuevo Pan de Azúcar</t>
  </si>
  <si>
    <t>RIACHO GRANDE</t>
  </si>
  <si>
    <t>Debentures 10ª Emissão</t>
  </si>
  <si>
    <t>PBTE</t>
  </si>
  <si>
    <t>ITX BRASIL</t>
  </si>
  <si>
    <t>RUTA ARAUCANÍA</t>
  </si>
  <si>
    <t>1Q21</t>
  </si>
  <si>
    <t>Adjustment Portion (PA)</t>
  </si>
  <si>
    <t>2021 E</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</si>
  <si>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</si>
  <si>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</si>
  <si>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</si>
  <si>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</si>
  <si>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</si>
  <si>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</si>
  <si>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</si>
  <si>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</si>
  <si>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</si>
  <si>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</si>
  <si>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</si>
  <si>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</si>
  <si>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</si>
  <si>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</si>
  <si>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 xml:space="preserve">               -  </t>
  </si>
  <si>
    <t xml:space="preserve">(-) Provisions. Depreciations. and Amortizations </t>
  </si>
  <si>
    <t>Other revenues/(expenses). net</t>
  </si>
  <si>
    <t>Investments in subsidiaries. associates. and joint ventures</t>
  </si>
  <si>
    <t>Property. plant. and equipment - net</t>
  </si>
  <si>
    <t>12.24</t>
  </si>
  <si>
    <t>4.68</t>
  </si>
  <si>
    <t>92.54</t>
  </si>
  <si>
    <t>INCOME STATEMENT  - RUTA DEL MAIPO</t>
  </si>
  <si>
    <t>INCOME STATEMENT   - RUTA COSTERA</t>
  </si>
  <si>
    <t>Figures in COP millions</t>
  </si>
  <si>
    <t>SEPARATE STATEMENT OF FINANCIAL POSITION-RUTA DEL MAIPO</t>
  </si>
  <si>
    <t>SEPARATE STATEMENT OF FINANCIAL POSITION - RUTA COSTERA</t>
  </si>
  <si>
    <t>Trade and other receivables</t>
  </si>
  <si>
    <t>Loans and debts</t>
  </si>
  <si>
    <t>Resources ANI</t>
  </si>
  <si>
    <t>Quarterly financial statements Roads Colombia</t>
  </si>
  <si>
    <t>2Q21</t>
  </si>
  <si>
    <t>Conexión Windpeshi</t>
  </si>
  <si>
    <t>Ampliación Segundo circuito Copey - Cuestecitas 500 kV</t>
  </si>
  <si>
    <t>UPME 03-2021 Subestación Carrieles 230 kV y LT asociadas</t>
  </si>
  <si>
    <t>Ruta del Loa</t>
  </si>
  <si>
    <t>Entry into service</t>
  </si>
  <si>
    <t>BPC</t>
  </si>
  <si>
    <t>Scotibank</t>
  </si>
  <si>
    <t>PDI</t>
  </si>
  <si>
    <t>IEPIN</t>
  </si>
  <si>
    <t>+</t>
  </si>
  <si>
    <t>Banco de Chile</t>
  </si>
  <si>
    <t>Banco Itau Corpbanca</t>
  </si>
  <si>
    <t>Remuneration of concession assets</t>
  </si>
  <si>
    <t>Other Revenues</t>
  </si>
  <si>
    <t>ESTADOS CONSOLIDADOS DE SITUACIÓN FINANCIERA IFRS- CTEEP</t>
  </si>
  <si>
    <t>Cifras expresadas en miles de reales</t>
  </si>
  <si>
    <t>Labor obligations</t>
  </si>
  <si>
    <t>Actuarial Surplus</t>
  </si>
  <si>
    <t>Accumulated Profits and Losses</t>
  </si>
  <si>
    <t>ESTADOS DE RESULTADOS CONSOLIDADO REGULATORIO - CTEEP</t>
  </si>
  <si>
    <t>ESTADOS CONSOLIDADOS DE SITUACIÓN FINANCIERA REGULATORIO- CTEEP</t>
  </si>
  <si>
    <t>Derivative Instruments</t>
  </si>
  <si>
    <t>Energy Concessions term</t>
  </si>
  <si>
    <t>Perú y Bolivia</t>
  </si>
  <si>
    <t>ISA Bolivia</t>
  </si>
  <si>
    <t>Brasil</t>
  </si>
  <si>
    <t>TAESA</t>
  </si>
  <si>
    <t>Serra do Japi</t>
  </si>
  <si>
    <t>IE PINHEIROS</t>
  </si>
  <si>
    <t>IE SUL</t>
  </si>
  <si>
    <t>EVRECY</t>
  </si>
  <si>
    <t>IE TIBAGI</t>
  </si>
  <si>
    <t>IE MADEIRA</t>
  </si>
  <si>
    <t>IE GARANHUS</t>
  </si>
  <si>
    <t>Energy Concessions</t>
  </si>
  <si>
    <t>Completition year</t>
  </si>
  <si>
    <t>39 concessions, ends beetween 2032-2049</t>
  </si>
  <si>
    <t>2031 original concession
2052 last concession ends</t>
  </si>
  <si>
    <t>Original Concession 2033</t>
  </si>
  <si>
    <t>2020 Original Concession
2021-2038 AOM</t>
  </si>
  <si>
    <t>Projects under construction</t>
  </si>
  <si>
    <t>C</t>
  </si>
  <si>
    <t>Control</t>
  </si>
  <si>
    <t>F</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</si>
  <si>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</si>
  <si>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</si>
  <si>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</si>
  <si>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</si>
  <si>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</si>
  <si>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</si>
  <si>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</si>
  <si>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CABA - Concesión Costera-Cartagena-Barranquilla S.A.S</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</si>
  <si>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</si>
  <si>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</si>
  <si>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</si>
  <si>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</si>
  <si>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</si>
  <si>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</si>
  <si>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</si>
  <si>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</si>
  <si>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</si>
  <si>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</si>
  <si>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</si>
  <si>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</si>
  <si>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</si>
  <si>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</si>
  <si>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</si>
  <si>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</si>
  <si>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</si>
  <si>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</si>
  <si>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</si>
  <si>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</si>
  <si>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</si>
  <si>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</si>
  <si>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</si>
  <si>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</si>
  <si>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</si>
  <si>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</si>
  <si>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</si>
  <si>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</si>
  <si>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</si>
  <si>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</si>
  <si>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</si>
  <si>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</si>
  <si>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</si>
  <si>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</si>
  <si>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</si>
  <si>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</si>
  <si>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</si>
  <si>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</si>
  <si>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</si>
  <si>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</si>
  <si>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</si>
  <si>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</si>
  <si>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</si>
  <si>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</si>
  <si>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</si>
  <si>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</si>
  <si>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</si>
  <si>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</si>
  <si>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</si>
  <si>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</si>
  <si>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</si>
  <si>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</si>
  <si>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</si>
  <si>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</si>
  <si>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</si>
  <si>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</si>
  <si>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Joint Control</t>
  </si>
  <si>
    <t>JC</t>
  </si>
  <si>
    <t>Significant influence</t>
  </si>
  <si>
    <t>SI</t>
  </si>
  <si>
    <t>Fund</t>
  </si>
  <si>
    <t>Financial Instrument</t>
  </si>
  <si>
    <t>FI</t>
  </si>
  <si>
    <t>Control Type</t>
  </si>
  <si>
    <t xml:space="preserve"># Companies
</t>
  </si>
  <si>
    <t>ID Control Type</t>
  </si>
  <si>
    <t>Company</t>
  </si>
  <si>
    <t>% Direct ISA</t>
  </si>
  <si>
    <t>% Indirect through other affiliates</t>
  </si>
  <si>
    <t>% Efective ISA</t>
  </si>
  <si>
    <t>Participation in subsidiaries</t>
  </si>
  <si>
    <t>Roads Trafic</t>
  </si>
  <si>
    <t>TMDE* RUTAS INTERVIAL</t>
  </si>
  <si>
    <t>RUTA DEL MAIPO</t>
  </si>
  <si>
    <t>RUTA DEL BOSQUE</t>
  </si>
  <si>
    <t>RUTA DE LA ARAUCANÍA</t>
  </si>
  <si>
    <t>RUTA DE LOS RÍOS</t>
  </si>
  <si>
    <t>*AADT: Average annual daily traffic</t>
  </si>
  <si>
    <t>MARAHUACO</t>
  </si>
  <si>
    <t>PUERTO COLOMBIA</t>
  </si>
  <si>
    <t>PAPIRO</t>
  </si>
  <si>
    <t>JUAN MINA + GALAPA</t>
  </si>
  <si>
    <t>ADT** RUTA COSTERA</t>
  </si>
  <si>
    <t>**ADT: Average Daily Trafficc</t>
  </si>
  <si>
    <t>Trunk</t>
  </si>
  <si>
    <t>Lateral</t>
  </si>
  <si>
    <t>3Q21</t>
  </si>
  <si>
    <t>3Q22</t>
  </si>
  <si>
    <t>TOTAL</t>
  </si>
  <si>
    <t>Total Colombia</t>
  </si>
  <si>
    <t>MAIPO</t>
  </si>
  <si>
    <t>2022-2024</t>
  </si>
  <si>
    <t>ARAUCANÍA</t>
  </si>
  <si>
    <t>BOSQUE</t>
  </si>
  <si>
    <t>RIOS</t>
  </si>
  <si>
    <t>LOA</t>
  </si>
  <si>
    <t>2023 quarter 1</t>
  </si>
  <si>
    <t>2022 quarter 3*</t>
  </si>
  <si>
    <t>2022 quarter 3</t>
  </si>
  <si>
    <t>2022 quarter 4*</t>
  </si>
  <si>
    <t>2023 quarter 2</t>
  </si>
  <si>
    <t>2023 quarter 4</t>
  </si>
  <si>
    <t>2025 quarter 1</t>
  </si>
  <si>
    <t>2022 quarter 2</t>
  </si>
  <si>
    <t>2022 quarter 4</t>
  </si>
  <si>
    <t>2023 quarter 3</t>
  </si>
  <si>
    <t>2025 quarter 4</t>
  </si>
  <si>
    <t>2023 quarter 1*</t>
  </si>
  <si>
    <t>2024 quarter 1</t>
  </si>
  <si>
    <r>
      <rPr>
        <sz val="8"/>
        <color rgb="FF595959"/>
        <rFont val="Tahoma"/>
        <family val="2"/>
      </rPr>
      <t>* Term extensions will be requested.</t>
    </r>
  </si>
  <si>
    <r>
      <rPr>
        <sz val="10"/>
        <color rgb="FFFFFFFF"/>
        <rFont val="Tahoma "/>
      </rPr>
      <t>Circuit km</t>
    </r>
  </si>
  <si>
    <r>
      <rPr>
        <sz val="10"/>
        <color rgb="FFFFFFFF"/>
        <rFont val="Tahoma "/>
      </rPr>
      <t>Date of Entry into service (Quarter)</t>
    </r>
  </si>
  <si>
    <r>
      <rPr>
        <sz val="10"/>
        <color rgb="FFFFFFFF"/>
        <rFont val="Tahoma "/>
      </rPr>
      <t>Annual revenues (USD millions)</t>
    </r>
  </si>
  <si>
    <t>PROJECTS UNDER EXECUTION ROADS</t>
  </si>
  <si>
    <t>IS</t>
  </si>
  <si>
    <t>IF</t>
  </si>
  <si>
    <t>CC</t>
  </si>
  <si>
    <t>ITXAR - Transamerican Telecomunication S.A.</t>
  </si>
  <si>
    <t xml:space="preserve">Nota Promissória </t>
  </si>
  <si>
    <t>Bono 144a Regs</t>
  </si>
  <si>
    <t>Green Bonds</t>
  </si>
  <si>
    <t>BCP</t>
  </si>
  <si>
    <t>Banco BOCOM</t>
  </si>
  <si>
    <t>Conexión Parque Guayepo Solar a la subestación Sabanalarga 500 kV</t>
  </si>
  <si>
    <t>Conexión de parques eólicos Alpha y Beta la subestación Nueva Cuestecitas 500 kV</t>
  </si>
  <si>
    <t>Ampliación subestación Ternera 13.8 kV</t>
  </si>
  <si>
    <t>Ampliación FACTS circuitos Santa Marta - Termocol - Termoguajira 220 kV</t>
  </si>
  <si>
    <t>Ampliación subestación Copey</t>
  </si>
  <si>
    <t>Conexión Puerto Chancay</t>
  </si>
  <si>
    <t>2022 quarter 2*</t>
  </si>
  <si>
    <t>Maipo: Tramo III</t>
  </si>
  <si>
    <t xml:space="preserve">Maipo: Obras Par Vial </t>
  </si>
  <si>
    <t>Maipo: Obras Seguridad Normativa</t>
  </si>
  <si>
    <t>Araucanía: Obras de Seguridad Normativa</t>
  </si>
  <si>
    <t>Bosque: Obras de Seguridad Normativa</t>
  </si>
  <si>
    <t>Rios: Obras de Seguridad Normativa</t>
  </si>
  <si>
    <t>AADT 2015- 2021 based in 365 days, except 2016 and 2020 which are based in 366 days.</t>
  </si>
  <si>
    <t>2022 E</t>
  </si>
  <si>
    <t>4Q21</t>
  </si>
  <si>
    <t>ISA and its companies</t>
  </si>
  <si>
    <t>Bank of Nova Scotia</t>
  </si>
  <si>
    <t>Bonos 144A Reg/S</t>
  </si>
  <si>
    <t>Debentures 11ª Emissão (Serie 1)</t>
  </si>
  <si>
    <t>Debentures 11ª Emissão (Serie 2)</t>
  </si>
  <si>
    <t>Debentures 4ª Emissão (Tramo1)</t>
  </si>
  <si>
    <t>4T21</t>
  </si>
  <si>
    <t>ISA Holding Company</t>
  </si>
  <si>
    <t>Total</t>
  </si>
  <si>
    <t>Indirect society</t>
  </si>
  <si>
    <t>PIRATININGA- PBTE</t>
  </si>
  <si>
    <t>IE ITAÚNAS</t>
  </si>
  <si>
    <t>IE ITAQUERÉ</t>
  </si>
  <si>
    <t>IE ITAPURA</t>
  </si>
  <si>
    <t>IE AUGAPEI</t>
  </si>
  <si>
    <t>IE BIGACÚ</t>
  </si>
  <si>
    <t>IE RIACHO GRANDE</t>
  </si>
  <si>
    <t>IE PARAGUACU</t>
  </si>
  <si>
    <t>IE AIMORÉS</t>
  </si>
  <si>
    <t>IE IVAÍ</t>
  </si>
  <si>
    <t>2Q22</t>
  </si>
  <si>
    <r>
      <rPr>
        <b/>
        <sz val="12"/>
        <color rgb="FFFFFFFF"/>
        <rFont val="Tahoma"/>
        <family val="2"/>
      </rPr>
      <t xml:space="preserve">2Q19 </t>
    </r>
  </si>
  <si>
    <r>
      <rPr>
        <b/>
        <sz val="12"/>
        <color rgb="FFFFFFFF"/>
        <rFont val="Tahoma"/>
        <family val="2"/>
      </rPr>
      <t>3Q19</t>
    </r>
  </si>
  <si>
    <r>
      <rPr>
        <b/>
        <sz val="12"/>
        <color rgb="FFFFFFFF"/>
        <rFont val="Tahoma"/>
        <family val="2"/>
      </rPr>
      <t>4Q19</t>
    </r>
  </si>
  <si>
    <r>
      <rPr>
        <b/>
        <sz val="12"/>
        <color rgb="FFFFFFFF"/>
        <rFont val="Tahoma"/>
        <family val="2"/>
      </rPr>
      <t>1Q20</t>
    </r>
  </si>
  <si>
    <r>
      <rPr>
        <b/>
        <sz val="12"/>
        <color rgb="FFFFFFFF"/>
        <rFont val="Tahoma"/>
        <family val="2"/>
      </rPr>
      <t>2Q20</t>
    </r>
  </si>
  <si>
    <t>2022 (1Q)</t>
  </si>
  <si>
    <t>2022 - 1Q</t>
  </si>
  <si>
    <t>Mar-2022
(Loan Currency)</t>
  </si>
  <si>
    <t>Mar-2022
(COP millions)</t>
  </si>
  <si>
    <t>Mar-2022
(USD thousands)</t>
  </si>
  <si>
    <t>BNDES V</t>
  </si>
  <si>
    <t>ITAU Brasil</t>
  </si>
  <si>
    <t>Notes</t>
  </si>
  <si>
    <t>Payout ratio ISA: around 40%-50%</t>
  </si>
  <si>
    <r>
      <rPr>
        <sz val="10"/>
        <color rgb="FFFFFFFF"/>
        <rFont val="Tahoma"/>
        <family val="2"/>
      </rPr>
      <t>Affiliate</t>
    </r>
  </si>
  <si>
    <r>
      <rPr>
        <sz val="10"/>
        <color rgb="FFFFFFFF"/>
        <rFont val="Tahoma"/>
        <family val="2"/>
      </rPr>
      <t>Project name</t>
    </r>
  </si>
  <si>
    <r>
      <rPr>
        <sz val="10"/>
        <color rgb="FFFFFFFF"/>
        <rFont val="Tahoma"/>
        <family val="2"/>
      </rPr>
      <t>Circuit km</t>
    </r>
  </si>
  <si>
    <r>
      <rPr>
        <sz val="10"/>
        <color rgb="FFFFFFFF"/>
        <rFont val="Tahoma"/>
        <family val="2"/>
      </rPr>
      <t>Date of Entry into service (Quarter)</t>
    </r>
  </si>
  <si>
    <r>
      <rPr>
        <sz val="10"/>
        <color rgb="FFFFFFFF"/>
        <rFont val="Tahoma"/>
        <family val="2"/>
      </rPr>
      <t>Actual physical progress</t>
    </r>
  </si>
  <si>
    <r>
      <rPr>
        <sz val="10"/>
        <color rgb="FFFFFFFF"/>
        <rFont val="Tahoma"/>
        <family val="2"/>
      </rPr>
      <t>Annual revenues (USD millions)</t>
    </r>
  </si>
  <si>
    <t>Conexión planta solar Nabusimake en subestación Fundación</t>
  </si>
  <si>
    <t>COYA Enlace Colcabamba - Campas - Carapongo 500 kV</t>
  </si>
  <si>
    <t>Refuerzo 2 - Ampliación subestación Planicie</t>
  </si>
  <si>
    <t>YANA Enlace Campas - Yaros y subestaciones Asociadas 500 kV</t>
  </si>
  <si>
    <t>Subestación Chincha Nueva</t>
  </si>
  <si>
    <t>Subestación Nazca Nueva</t>
  </si>
  <si>
    <t>Refuerzo 1 - cambio de tensión Chilca - Planicie - Carabayllo</t>
  </si>
  <si>
    <t>2023 quarter 3*</t>
  </si>
  <si>
    <t>Energized project 1Q2022</t>
  </si>
  <si>
    <t>Maipo: Enlace Pirque</t>
  </si>
  <si>
    <t>Maipo: Pasarela Tenencia Paine y Agrícola, Acceso El Recurso + Calle Local Curicó</t>
  </si>
  <si>
    <t>1Q22</t>
  </si>
  <si>
    <t>Construction Income</t>
  </si>
  <si>
    <t>Gross Profit from Operations</t>
  </si>
  <si>
    <t>1Q22*</t>
  </si>
  <si>
    <t>*The EBITDA calculation was modified in order to consolidate it with that of Ecopetrol.</t>
  </si>
  <si>
    <t>1T22</t>
  </si>
  <si>
    <t>Gross Profit</t>
  </si>
  <si>
    <t>Total EBITDA</t>
  </si>
  <si>
    <t>Energy transmission services</t>
  </si>
  <si>
    <t>Connection charges</t>
  </si>
  <si>
    <t>Project management</t>
  </si>
  <si>
    <t>Electric infrastructure leases</t>
  </si>
  <si>
    <t>Other operating revenues</t>
  </si>
  <si>
    <t>AOM costs and expenses</t>
  </si>
  <si>
    <t>Revenues/(expenses) from net equity method</t>
  </si>
  <si>
    <t>Income from operating activities</t>
  </si>
  <si>
    <t>Net financial revenues/(expenses)</t>
  </si>
  <si>
    <t>Income before taxes</t>
  </si>
  <si>
    <t>Income tax provision</t>
  </si>
  <si>
    <t>Net income</t>
  </si>
  <si>
    <t>CND-MEM Dispatch and coordination</t>
  </si>
  <si>
    <t>Advance to suppliers</t>
  </si>
  <si>
    <t xml:space="preserve">Provision for Contingencies </t>
  </si>
  <si>
    <t>TOTAL EBITDA</t>
  </si>
  <si>
    <t>Mar-22
(COP millions)</t>
  </si>
  <si>
    <t>Mar-22
(USD thousands)</t>
  </si>
  <si>
    <t>Mar-22
(Loan Currency)</t>
  </si>
  <si>
    <t>Total ISA and its companies</t>
  </si>
  <si>
    <t>CONSOLIDATED CAPEX</t>
  </si>
  <si>
    <t>XM</t>
  </si>
  <si>
    <t>SIR</t>
  </si>
  <si>
    <t>INTERNEXA</t>
  </si>
  <si>
    <t>Peru</t>
  </si>
  <si>
    <t>INTERNEXA PERU</t>
  </si>
  <si>
    <t>ISA PERÚ</t>
  </si>
  <si>
    <t>Total Peru</t>
  </si>
  <si>
    <t>Brazil</t>
  </si>
  <si>
    <t>CTEEP affiliates</t>
  </si>
  <si>
    <t>Internexa Brasil</t>
  </si>
  <si>
    <t>Total Brazil</t>
  </si>
  <si>
    <t>Bolivia and Argentina</t>
  </si>
  <si>
    <t xml:space="preserve">ISA Bolivia </t>
  </si>
  <si>
    <t>Internexa Argentina</t>
  </si>
  <si>
    <t xml:space="preserve">Intervial </t>
  </si>
  <si>
    <t>Internexa Chile</t>
  </si>
  <si>
    <t>Interchile</t>
  </si>
  <si>
    <t>Total Chile</t>
  </si>
  <si>
    <t>ISA Inversiones 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</si>
</sst>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2]\ * #,##0_-;\-[$€-2]\ * #,##0_-;_-[$€-2]\ * &quot;-&quot;??_-"/>
    <numFmt numFmtId="165" formatCode="&quot; &quot;#,##0.00&quot; &quot;;&quot; (&quot;#,##0.00&quot;)&quot;;&quot; -&quot;00&quot; &quot;;&quot; &quot;@&quot; &quot;"/>
    <numFmt numFmtId="166" formatCode="[$-F800]dddd\,\ mmmm\ dd\,\ yyyy"/>
    <numFmt numFmtId="167" formatCode="_(* #,##0.00_);_(* \(#,##0.00\);_(* &quot;-&quot;??_);_(@_)"/>
    <numFmt numFmtId="168" formatCode="_(* #,##0_);_(* \(#,##0\);_(* &quot;-&quot;??_);_(@_)"/>
    <numFmt numFmtId="169" formatCode="_-* #,##0_-;\-* #,##0_-;_-* &quot;-&quot;??_-;_-@_-"/>
    <numFmt numFmtId="170" formatCode="_ * #,##0_ ;_ * \-#,##0_ ;_ * &quot;-&quot;??_ ;_ @_ "/>
    <numFmt numFmtId="171" formatCode="_ * #,##0.00_ ;_ * \-#,##0.00_ ;_ * &quot;-&quot;??_ ;_ @_ "/>
    <numFmt numFmtId="172" formatCode="[$$-240A]\ #,##0"/>
    <numFmt numFmtId="173" formatCode="0.000%"/>
    <numFmt numFmtId="174" formatCode="0.0"/>
    <numFmt numFmtId="175" formatCode="0.0%"/>
    <numFmt numFmtId="176" formatCode="&quot;$&quot;#,##0;\-&quot;$&quot;#,##0"/>
    <numFmt numFmtId="177" formatCode="&quot;$&quot;#,##0;[Red]\-&quot;$&quot;#,##0"/>
    <numFmt numFmtId="178" formatCode="_-&quot;$&quot;* #,##0.00_-;\-&quot;$&quot;* #,##0.00_-;_-&quot;$&quot;* &quot;-&quot;??_-;_-@_-"/>
    <numFmt numFmtId="179" formatCode="_-* #,##0.00\ _€_-;\-* #,##0.00\ _€_-;_-* &quot;-&quot;??\ _€_-;_-@_-"/>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m\-d\-yy"/>
    <numFmt numFmtId="188" formatCode="_(* #,##0.0\ &quot;bp&quot;;_(* \(#,##0.0\ &quot;bp&quot;\);_(* &quot;-&quot;_);_(@_)"/>
    <numFmt numFmtId="189" formatCode="#,##0.0_);\(#,##0.0\)"/>
    <numFmt numFmtId="190" formatCode="&quot;$&quot;#.00"/>
    <numFmt numFmtId="191" formatCode="&quot;S/&quot;#,##0;&quot;S/&quot;\-#,##0"/>
    <numFmt numFmtId="192" formatCode="#,##0.000000;\-#,##0.000000"/>
    <numFmt numFmtId="193" formatCode="_ [$€-2]\ * #,##0.00_ ;_ [$€-2]\ * \-#,##0.00_ ;_ [$€-2]\ * &quot;-&quot;??_ "/>
    <numFmt numFmtId="194" formatCode="_([$€-2]* #,##0.00_);_([$€-2]* \(#,##0.00\);_([$€-2]* &quot;-&quot;??_)"/>
    <numFmt numFmtId="195" formatCode="_(* #,##0.0%_);_(* \(#,##0.0%\);_(* &quot; - &quot;\%_);_(@_)"/>
    <numFmt numFmtId="196" formatCode="_(* #,##0.0_);_(* \(#,##0.0\);_(* &quot; - &quot;_);_(@_)"/>
    <numFmt numFmtId="197" formatCode="#,##0."/>
    <numFmt numFmtId="198" formatCode="#."/>
    <numFmt numFmtId="199" formatCode=";;;"/>
    <numFmt numFmtId="200" formatCode="_ * #,##0_ ;_ * \-#,##0_ ;_ * &quot;-&quot;_ ;_ @_ "/>
    <numFmt numFmtId="201" formatCode="_-* #,##0.00\ _p_t_a_-;\-* #,##0.00\ _p_t_a_-;_-* &quot;-&quot;??\ _p_t_a_-;_-@_-"/>
    <numFmt numFmtId="202" formatCode="_(&quot;R$&quot;* #,##0_);_(&quot;R$&quot;* \(#,##0\);_(&quot;R$&quot;* \-_);_(@_)"/>
    <numFmt numFmtId="203" formatCode="0.00_)"/>
    <numFmt numFmtId="204" formatCode="@\ *."/>
    <numFmt numFmtId="205" formatCode="0.0000%"/>
    <numFmt numFmtId="206" formatCode="m/d/yy\ h:mm:ss"/>
    <numFmt numFmtId="207" formatCode="_(* #,##0_);_(* \(#,##0\);_(* \-_);_(@_)"/>
    <numFmt numFmtId="208" formatCode="0.0&quot;x&quot;"/>
    <numFmt numFmtId="209" formatCode="#.00"/>
    <numFmt numFmtId="210" formatCode="_(&quot;Cr$&quot;* #,##0.00_);_(&quot;Cr$&quot;* \(#,##0.00\);_(&quot;Cr$&quot;* &quot;-&quot;??_);_(@_)"/>
    <numFmt numFmtId="211" formatCode="\$#.00"/>
    <numFmt numFmtId="212" formatCode="\$#,##0\ ;\(\$#,##0\)"/>
    <numFmt numFmtId="213" formatCode="#,##0.0000;\-#,##0.0000"/>
    <numFmt numFmtId="214" formatCode="#,##0.000000_);[Red]\(#,##0.000000\)"/>
    <numFmt numFmtId="215" formatCode="#,##0.000"/>
    <numFmt numFmtId="216" formatCode="_ &quot;$&quot;\ * #,##0.00_ ;_ &quot;$&quot;\ * \-#,##0.00_ ;_ &quot;$&quot;\ * &quot;-&quot;??_ ;_ @_ "/>
    <numFmt numFmtId="217" formatCode="#,##0;\(#,##0\)"/>
    <numFmt numFmtId="218" formatCode="0.000000%"/>
    <numFmt numFmtId="219" formatCode="###,000"/>
    <numFmt numFmtId="220" formatCode="General_)"/>
  </numFmts>
  <fonts count="227">
    <font>
      <sz val="11"/>
      <color theme="1"/>
      <name val="Calibri"/>
      <family val="2"/>
      <scheme val="minor"/>
    </font>
    <font>
      <sz val="10"/>
      <color theme="1"/>
      <name val="Arial"/>
      <family val="2"/>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amily val="2"/>
      <charset val="134"/>
    </font>
    <font>
      <sz val="11"/>
      <color rgb="FF262626"/>
      <name val="Calibri"/>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1"/>
      <color rgb="FFFFFFFF"/>
      <name val="Tahoma"/>
      <family val="2"/>
    </font>
    <font>
      <sz val="12"/>
      <color theme="1"/>
      <name val="Tahoma"/>
      <family val="2"/>
    </font>
    <font>
      <b/>
      <sz val="10"/>
      <name val="Arial"/>
      <family val="2"/>
    </font>
    <font>
      <b/>
      <sz val="11"/>
      <name val="Calibri"/>
      <family val="2"/>
      <scheme val="minor"/>
    </font>
    <font>
      <b/>
      <i/>
      <sz val="11"/>
      <name val="Calibri"/>
      <family val="2"/>
      <scheme val="minor"/>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i/>
      <sz val="10"/>
      <color rgb="FF80808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amily val="2"/>
    </font>
    <font>
      <b/>
      <sz val="9"/>
      <name val="Times New Roman"/>
      <family val="1"/>
    </font>
    <font>
      <sz val="7"/>
      <name val="Helv"/>
      <family val="2"/>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4659260841701"/>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amily val="2"/>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amily val="2"/>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20"/>
      <color theme="1"/>
      <name val="Calibri"/>
      <family val="2"/>
      <scheme val="minor"/>
    </font>
    <font>
      <sz val="20"/>
      <color theme="1"/>
      <name val="Calibri"/>
      <family val="2"/>
      <scheme val="minor"/>
    </font>
    <font>
      <b/>
      <sz val="10"/>
      <color rgb="FF616365"/>
      <name val="Tahoma"/>
      <family val="2"/>
    </font>
    <font>
      <sz val="10"/>
      <name val="Tahoma"/>
      <family val="2"/>
    </font>
    <font>
      <b/>
      <sz val="10"/>
      <name val="Tahoma"/>
      <family val="2"/>
    </font>
    <font>
      <sz val="10"/>
      <color theme="0"/>
      <name val="Tahoma"/>
      <family val="2"/>
    </font>
    <font>
      <sz val="10"/>
      <color rgb="FF616365"/>
      <name val="Tahoma"/>
      <family val="2"/>
    </font>
    <font>
      <b/>
      <sz val="12"/>
      <color theme="1"/>
      <name val="Tahoma"/>
      <family val="2"/>
    </font>
    <font>
      <b/>
      <sz val="11"/>
      <color rgb="FF003087"/>
      <name val="Tahoma"/>
      <family val="2"/>
    </font>
    <font>
      <sz val="10"/>
      <color theme="3"/>
      <name val="Tahoma"/>
      <family val="2"/>
    </font>
    <font>
      <sz val="8"/>
      <color theme="1" tint="0.249977111117893"/>
      <name val="Tahoma"/>
      <family val="2"/>
    </font>
    <font>
      <sz val="11"/>
      <color theme="1" tint="0.34998626667073579"/>
      <name val="Calibri"/>
      <family val="2"/>
      <scheme val="minor"/>
    </font>
    <font>
      <u/>
      <sz val="11"/>
      <color rgb="FF0563C1"/>
      <name val="Calibri"/>
      <family val="2"/>
    </font>
    <font>
      <b/>
      <sz val="10"/>
      <color rgb="FFFFFFFF"/>
      <name val="Tahoma"/>
      <family val="2"/>
    </font>
    <font>
      <b/>
      <sz val="20"/>
      <color rgb="FF000000"/>
      <name val="Calibri"/>
      <family val="2"/>
    </font>
    <font>
      <b/>
      <sz val="11"/>
      <color rgb="FF000000"/>
      <name val="Calibri"/>
      <family val="2"/>
    </font>
    <font>
      <sz val="11"/>
      <color rgb="FF000000"/>
      <name val="Calibri"/>
      <family val="2"/>
    </font>
    <font>
      <b/>
      <sz val="12"/>
      <color rgb="FF000000"/>
      <name val="Tahoma"/>
      <family val="2"/>
    </font>
    <font>
      <b/>
      <sz val="8"/>
      <color rgb="FF000000"/>
      <name val="Arial"/>
      <family val="2"/>
    </font>
    <font>
      <sz val="11"/>
      <color theme="1"/>
      <name val="Calibri"/>
      <family val="2"/>
      <scheme val="minor"/>
    </font>
    <font>
      <b/>
      <sz val="12"/>
      <color theme="0"/>
      <name val="Tahoma"/>
      <family val="2"/>
    </font>
    <font>
      <b/>
      <sz val="12"/>
      <color rgb="FFFFFFFF"/>
      <name val="Tahoma"/>
      <family val="2"/>
    </font>
    <font>
      <sz val="12"/>
      <name val="Tahoma"/>
      <family val="2"/>
    </font>
    <font>
      <b/>
      <sz val="12"/>
      <color rgb="FF4D4D4D"/>
      <name val="Tahoma"/>
      <family val="2"/>
    </font>
    <font>
      <sz val="8"/>
      <name val="Calibri"/>
      <family val="2"/>
      <scheme val="minor"/>
    </font>
    <font>
      <b/>
      <sz val="11"/>
      <color theme="1"/>
      <name val="Tahoma"/>
      <family val="2"/>
    </font>
    <font>
      <u/>
      <sz val="11"/>
      <color theme="1"/>
      <name val="Calibri"/>
      <family val="2"/>
      <scheme val="minor"/>
    </font>
    <font>
      <u/>
      <sz val="11"/>
      <color theme="1"/>
      <name val="Tahoma"/>
      <family val="2"/>
    </font>
    <font>
      <sz val="12"/>
      <color theme="1"/>
      <name val="Calibri"/>
      <family val="2"/>
      <scheme val="minor"/>
    </font>
    <font>
      <sz val="12"/>
      <color rgb="FF808080"/>
      <name val="Tahoma"/>
      <family val="2"/>
    </font>
    <font>
      <b/>
      <sz val="12"/>
      <color rgb="FF808080"/>
      <name val="Tahoma"/>
      <family val="2"/>
    </font>
    <font>
      <b/>
      <sz val="12"/>
      <color rgb="FF0099FF"/>
      <name val="Tahoma"/>
      <family val="2"/>
    </font>
    <font>
      <sz val="12"/>
      <color rgb="FF595959"/>
      <name val="Tahoma"/>
      <family val="2"/>
    </font>
    <font>
      <sz val="12"/>
      <color rgb="FFFFFFFF"/>
      <name val="Tahoma"/>
      <family val="2"/>
    </font>
    <font>
      <sz val="12"/>
      <color theme="3"/>
      <name val="Tahoma"/>
      <family val="2"/>
    </font>
    <font>
      <b/>
      <sz val="12"/>
      <color theme="3"/>
      <name val="Tahoma"/>
      <family val="2"/>
    </font>
    <font>
      <sz val="12"/>
      <color theme="2" tint="-0.749992370372631"/>
      <name val="Tahoma"/>
      <family val="2"/>
    </font>
    <font>
      <sz val="10"/>
      <color theme="2" tint="-0.749992370372631"/>
      <name val="Tahoma"/>
      <family val="2"/>
    </font>
    <font>
      <u/>
      <sz val="11"/>
      <color rgb="FF0070C0"/>
      <name val="Tahoma"/>
      <family val="2"/>
    </font>
    <font>
      <sz val="11"/>
      <color rgb="FF0070C0"/>
      <name val="Calibri"/>
      <family val="2"/>
      <scheme val="minor"/>
    </font>
    <font>
      <sz val="12"/>
      <color theme="0"/>
      <name val="Tahoma"/>
      <family val="2"/>
    </font>
    <font>
      <b/>
      <u/>
      <sz val="12"/>
      <color rgb="FF4D4D4D"/>
      <name val="Tahoma"/>
      <family val="2"/>
    </font>
    <font>
      <u/>
      <sz val="12"/>
      <color theme="10"/>
      <name val="Tahoma"/>
      <family val="2"/>
    </font>
    <font>
      <sz val="14"/>
      <color theme="0"/>
      <name val="Tahoma"/>
      <family val="2"/>
    </font>
    <font>
      <sz val="16"/>
      <color theme="0"/>
      <name val="Tahoma"/>
      <family val="2"/>
    </font>
    <font>
      <sz val="20"/>
      <color theme="1"/>
      <name val="Tahoma"/>
      <family val="2"/>
    </font>
    <font>
      <i/>
      <sz val="11"/>
      <color theme="3"/>
      <name val="Tahoma"/>
      <family val="2"/>
    </font>
    <font>
      <sz val="11"/>
      <color theme="0" tint="-0.249977111117893"/>
      <name val="Tahoma"/>
      <family val="2"/>
    </font>
    <font>
      <sz val="12"/>
      <color rgb="FFFF0000"/>
      <name val="Tahoma"/>
      <family val="2"/>
    </font>
    <font>
      <b/>
      <sz val="10"/>
      <color theme="3"/>
      <name val="Tahoma"/>
      <family val="2"/>
    </font>
    <font>
      <b/>
      <sz val="11"/>
      <color theme="0" tint="-0.249977111117893"/>
      <name val="Tahoma"/>
      <family val="2"/>
    </font>
    <font>
      <b/>
      <sz val="12"/>
      <color theme="0" tint="-0.499984740745262"/>
      <name val="Tahoma"/>
      <family val="2"/>
    </font>
    <font>
      <sz val="12"/>
      <color theme="0" tint="-0.499984740745262"/>
      <name val="Tahoma"/>
      <family val="2"/>
    </font>
    <font>
      <i/>
      <sz val="11"/>
      <color rgb="FF808080"/>
      <name val="Tahoma"/>
      <family val="2"/>
    </font>
    <font>
      <b/>
      <sz val="14"/>
      <color theme="4" tint="-0.249977111117893"/>
      <name val="Tahoma"/>
      <family val="2"/>
    </font>
    <font>
      <b/>
      <sz val="9"/>
      <color theme="0"/>
      <name val="Arial"/>
      <family val="2"/>
    </font>
    <font>
      <sz val="8"/>
      <color theme="1"/>
      <name val="Arial"/>
      <family val="2"/>
    </font>
    <font>
      <b/>
      <sz val="9"/>
      <color theme="0"/>
      <name val="Tahoma"/>
      <family val="2"/>
    </font>
    <font>
      <sz val="8"/>
      <color theme="1" tint="0.34998626667073579"/>
      <name val="Tahoma"/>
      <family val="2"/>
    </font>
    <font>
      <sz val="8"/>
      <color rgb="FF595959"/>
      <name val="Tahoma"/>
      <family val="2"/>
    </font>
    <font>
      <sz val="8"/>
      <color theme="1" tint="0.249977111117893"/>
      <name val="Tahoma "/>
    </font>
    <font>
      <sz val="8"/>
      <color theme="1" tint="0.34998626667073579"/>
      <name val="Tahoma "/>
    </font>
    <font>
      <b/>
      <sz val="10"/>
      <color theme="0"/>
      <name val="Tahoma "/>
    </font>
    <font>
      <sz val="10"/>
      <color theme="0"/>
      <name val="Tahoma "/>
    </font>
    <font>
      <sz val="10"/>
      <color rgb="FFFFFFFF"/>
      <name val="Tahoma "/>
    </font>
    <font>
      <b/>
      <sz val="8"/>
      <color theme="1"/>
      <name val="Arial"/>
      <family val="2"/>
    </font>
    <font>
      <sz val="12"/>
      <name val="宋体"/>
    </font>
    <font>
      <u/>
      <sz val="7"/>
      <name val="Helv"/>
    </font>
    <font>
      <sz val="7"/>
      <name val="Helv"/>
    </font>
    <font>
      <sz val="10"/>
      <color theme="3" tint="-0.249977111117893"/>
      <name val="Arial"/>
      <family val="2"/>
    </font>
    <font>
      <b/>
      <i/>
      <sz val="16"/>
      <name val="Helv"/>
    </font>
    <font>
      <b/>
      <sz val="9.75"/>
      <name val="Abadi MT Condensed"/>
    </font>
    <font>
      <sz val="10"/>
      <color rgb="FFFFFFFF"/>
      <name val="Tahoma"/>
      <family val="2"/>
    </font>
    <font>
      <sz val="10"/>
      <color theme="1"/>
      <name val="Calibri"/>
      <family val="2"/>
      <scheme val="minor"/>
    </font>
    <font>
      <sz val="11"/>
      <color theme="1"/>
      <name val="Calibri"/>
      <family val="2"/>
    </font>
    <font>
      <sz val="12"/>
      <name val="Calibri"/>
      <family val="2"/>
      <scheme val="minor"/>
    </font>
  </fonts>
  <fills count="212">
    <fill>
      <patternFill patternType="none"/>
    </fill>
    <fill>
      <patternFill patternType="gray125"/>
    </fill>
    <fill>
      <patternFill patternType="solid">
        <fgColor rgb="FFC00000"/>
        <bgColor indexed="64"/>
      </patternFill>
    </fill>
    <fill>
      <patternFill patternType="solid">
        <fgColor rgb="FF808080"/>
        <bgColor indexed="64"/>
      </patternFill>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BE5F1"/>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1F497D"/>
        <bgColor indexed="64"/>
      </patternFill>
    </fill>
    <fill>
      <patternFill patternType="solid">
        <fgColor rgb="FF5DBFE4"/>
        <bgColor indexed="64"/>
      </patternFill>
    </fill>
    <fill>
      <patternFill patternType="solid">
        <fgColor rgb="FF5DBFE4"/>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theme="4" tint="0.79995117038483843"/>
        <bgColor indexed="64"/>
      </patternFill>
    </fill>
    <fill>
      <patternFill patternType="solid">
        <fgColor indexed="28"/>
        <bgColor indexed="64"/>
      </patternFill>
    </fill>
    <fill>
      <patternFill patternType="solid">
        <fgColor theme="6" tint="0.79995117038483843"/>
        <bgColor indexed="64"/>
      </patternFill>
    </fill>
    <fill>
      <patternFill patternType="solid">
        <fgColor indexed="8"/>
        <bgColor indexed="64"/>
      </patternFill>
    </fill>
    <fill>
      <patternFill patternType="solid">
        <fgColor theme="7" tint="0.79995117038483843"/>
        <bgColor indexed="64"/>
      </patternFill>
    </fill>
    <fill>
      <patternFill patternType="solid">
        <fgColor indexed="29"/>
        <bgColor indexed="64"/>
      </patternFill>
    </fill>
    <fill>
      <patternFill patternType="solid">
        <fgColor theme="8" tint="0.79995117038483843"/>
        <bgColor indexed="64"/>
      </patternFill>
    </fill>
    <fill>
      <patternFill patternType="solid">
        <fgColor indexed="15"/>
        <bgColor indexed="64"/>
      </patternFill>
    </fill>
    <fill>
      <patternFill patternType="solid">
        <fgColor theme="9" tint="0.79995117038483843"/>
        <bgColor indexed="64"/>
      </patternFill>
    </fill>
    <fill>
      <patternFill patternType="solid">
        <fgColor indexed="44"/>
        <bgColor indexed="64"/>
      </patternFill>
    </fill>
    <fill>
      <patternFill patternType="solid">
        <fgColor indexed="51"/>
        <bgColor indexed="64"/>
      </patternFill>
    </fill>
    <fill>
      <patternFill patternType="solid">
        <fgColor theme="4" tint="0.59996337778862885"/>
        <bgColor indexed="64"/>
      </patternFill>
    </fill>
    <fill>
      <patternFill patternType="solid">
        <fgColor indexed="57"/>
        <bgColor indexed="64"/>
      </patternFill>
    </fill>
    <fill>
      <patternFill patternType="solid">
        <fgColor theme="6" tint="0.59996337778862885"/>
        <bgColor indexed="64"/>
      </patternFill>
    </fill>
    <fill>
      <patternFill patternType="solid">
        <fgColor indexed="13"/>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theme="4"/>
        <bgColor indexed="64"/>
      </patternFill>
    </fill>
    <fill>
      <patternFill patternType="solid">
        <fgColor indexed="21"/>
        <bgColor indexed="64"/>
      </patternFill>
    </fill>
    <fill>
      <patternFill patternType="solid">
        <fgColor theme="6"/>
        <bgColor indexed="64"/>
      </patternFill>
    </fill>
    <fill>
      <patternFill patternType="solid">
        <fgColor indexed="26"/>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5117038483843"/>
        <bgColor indexed="64"/>
      </patternFill>
    </fill>
    <fill>
      <patternFill patternType="solid">
        <fgColor theme="8" tint="-0.49995422223578601"/>
        <bgColor indexed="64"/>
      </patternFill>
    </fill>
    <fill>
      <patternFill patternType="solid">
        <fgColor rgb="FF18414C"/>
        <bgColor indexed="64"/>
      </patternFill>
    </fill>
    <fill>
      <patternFill patternType="solid">
        <fgColor indexed="24"/>
        <bgColor indexed="64"/>
      </patternFill>
    </fill>
    <fill>
      <patternFill patternType="solid">
        <fgColor rgb="FFFFC7CE"/>
        <bgColor indexed="64"/>
      </patternFill>
    </fill>
    <fill>
      <patternFill patternType="solid">
        <fgColor indexed="43"/>
        <bgColor indexed="64"/>
      </patternFill>
    </fill>
    <fill>
      <patternFill patternType="solid">
        <fgColor rgb="FFFFFFCC"/>
        <bgColor indexed="64"/>
      </patternFill>
    </fill>
    <fill>
      <patternFill patternType="mediumGray">
        <fgColor indexed="22"/>
      </patternFill>
    </fill>
    <fill>
      <patternFill patternType="gray0625">
        <fgColor indexed="11"/>
      </patternFill>
    </fill>
    <fill>
      <patternFill patternType="solid">
        <fgColor indexed="9"/>
        <bgColor indexed="64"/>
      </patternFill>
    </fill>
    <fill>
      <patternFill patternType="solid">
        <fgColor indexed="56"/>
        <bgColor indexed="64"/>
      </patternFill>
    </fill>
    <fill>
      <patternFill patternType="solid">
        <fgColor theme="5" tint="0.79995117038483843"/>
        <bgColor indexed="64"/>
      </patternFill>
    </fill>
    <fill>
      <patternFill patternType="solid">
        <fgColor indexed="58"/>
        <bgColor indexed="64"/>
      </patternFill>
    </fill>
    <fill>
      <patternFill patternType="solid">
        <fgColor theme="5" tint="0.59996337778862885"/>
        <bgColor indexed="64"/>
      </patternFill>
    </fill>
    <fill>
      <patternFill patternType="solid">
        <fgColor indexed="40"/>
        <bgColor indexed="64"/>
      </patternFill>
    </fill>
    <fill>
      <patternFill patternType="solid">
        <fgColor indexed="19"/>
        <bgColor indexed="64"/>
      </patternFill>
    </fill>
    <fill>
      <patternFill patternType="solid">
        <fgColor theme="9" tint="0.59996337778862885"/>
        <bgColor indexed="64"/>
      </patternFill>
    </fill>
    <fill>
      <patternFill patternType="solid">
        <fgColor indexed="48"/>
        <bgColor indexed="64"/>
      </patternFill>
    </fill>
    <fill>
      <patternFill patternType="solid">
        <fgColor indexed="14"/>
        <bgColor indexed="64"/>
      </patternFill>
    </fill>
    <fill>
      <patternFill patternType="solid">
        <fgColor indexed="59"/>
        <bgColor indexed="64"/>
      </patternFill>
    </fill>
    <fill>
      <patternFill patternType="solid">
        <fgColor indexed="12"/>
        <bgColor indexed="64"/>
      </patternFill>
    </fill>
    <fill>
      <patternFill patternType="solid">
        <fgColor indexed="23"/>
        <bgColor indexed="64"/>
      </patternFill>
    </fill>
    <fill>
      <patternFill patternType="solid">
        <fgColor indexed="17"/>
        <bgColor indexed="64"/>
      </patternFill>
    </fill>
    <fill>
      <patternFill patternType="solid">
        <fgColor rgb="FFFFEB9C"/>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rgb="FFC0C0C0"/>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mediumGray">
        <fgColor indexed="9"/>
        <bgColor theme="0"/>
      </patternFill>
    </fill>
    <fill>
      <patternFill patternType="solid">
        <fgColor theme="2"/>
        <bgColor indexed="64"/>
      </patternFill>
    </fill>
    <fill>
      <patternFill patternType="solid">
        <fgColor rgb="FF00B0F0"/>
        <bgColor indexed="64"/>
      </patternFill>
    </fill>
    <fill>
      <patternFill patternType="solid">
        <fgColor theme="0"/>
        <bgColor indexed="64"/>
      </patternFill>
    </fill>
    <fill>
      <patternFill patternType="solid">
        <fgColor rgb="FF1D3382"/>
        <bgColor indexed="64"/>
      </patternFill>
    </fill>
    <fill>
      <patternFill patternType="solid">
        <fgColor rgb="FF003C69"/>
        <bgColor indexed="39"/>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2060"/>
        <bgColor indexed="39"/>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4D4D4D"/>
        <bgColor rgb="FF000000"/>
      </patternFill>
    </fill>
    <fill>
      <patternFill patternType="solid">
        <fgColor rgb="FFFFFFFF"/>
        <bgColor rgb="FF000000"/>
      </patternFill>
    </fill>
    <fill>
      <patternFill patternType="solid">
        <fgColor rgb="FFC0C0C0"/>
        <bgColor rgb="FF000000"/>
      </patternFill>
    </fill>
    <fill>
      <patternFill patternType="solid">
        <fgColor rgb="FFFAFAFA"/>
        <bgColor rgb="FF000000"/>
      </patternFill>
    </fill>
    <fill>
      <patternFill patternType="solid">
        <fgColor theme="0" tint="-0.249977111117893"/>
        <bgColor indexed="64"/>
      </patternFill>
    </fill>
    <fill>
      <patternFill patternType="solid">
        <fgColor rgb="FF002060"/>
        <bgColor indexed="64"/>
      </patternFill>
    </fill>
    <fill>
      <patternFill patternType="solid">
        <fgColor theme="0"/>
        <bgColor indexed="39"/>
      </patternFill>
    </fill>
    <fill>
      <patternFill patternType="solid">
        <fgColor rgb="FF0070C0"/>
        <bgColor indexed="64"/>
      </patternFill>
    </fill>
    <fill>
      <patternFill patternType="solid">
        <fgColor theme="4" tint="-0.499984740745262"/>
        <bgColor indexed="64"/>
      </patternFill>
    </fill>
    <fill>
      <patternFill patternType="solid">
        <fgColor rgb="FF00296A"/>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indexed="24"/>
      </patternFill>
    </fill>
    <fill>
      <patternFill patternType="solid">
        <fgColor indexed="43"/>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5376A"/>
        <bgColor rgb="FF000000"/>
      </patternFill>
    </fill>
  </fills>
  <borders count="152">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double">
        <color auto="1"/>
      </left>
      <right/>
      <top/>
      <bottom style="hair">
        <color auto="1"/>
      </bottom>
      <diagonal/>
    </border>
    <border>
      <left/>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right style="thin">
        <color auto="1"/>
      </right>
      <top/>
      <bottom style="medium">
        <color auto="1"/>
      </bottom>
      <diagonal/>
    </border>
    <border>
      <left/>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24"/>
      </top>
      <bottom/>
      <diagonal/>
    </border>
    <border>
      <left/>
      <right/>
      <top style="double">
        <color auto="1"/>
      </top>
      <bottom/>
      <diagonal/>
    </border>
    <border>
      <left/>
      <right/>
      <top style="medium">
        <color auto="1"/>
      </top>
      <bottom style="thin">
        <color auto="1"/>
      </bottom>
      <diagonal/>
    </border>
    <border>
      <left style="thin">
        <color auto="1"/>
      </left>
      <right style="thin">
        <color auto="1"/>
      </right>
      <top/>
      <bottom/>
      <diagonal/>
    </border>
    <border>
      <left/>
      <right/>
      <top/>
      <bottom style="medium">
        <color auto="1"/>
      </bottom>
      <diagonal/>
    </border>
    <border>
      <left/>
      <right/>
      <top style="thin">
        <color auto="1"/>
      </top>
      <bottom style="thick">
        <color auto="1"/>
      </bottom>
      <diagonal/>
    </border>
    <border>
      <left/>
      <right/>
      <top style="thin">
        <color auto="1"/>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right/>
      <top/>
      <bottom style="double">
        <color auto="1"/>
      </bottom>
      <diagonal/>
    </border>
    <border>
      <left/>
      <right/>
      <top style="thin">
        <color auto="1"/>
      </top>
      <bottom style="thin">
        <color auto="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bottom style="medium">
        <color rgb="FFFFFFFF"/>
      </bottom>
      <diagonal/>
    </border>
    <border>
      <left style="hair">
        <color theme="0"/>
      </left>
      <right style="hair">
        <color theme="0"/>
      </right>
      <top style="hair">
        <color theme="0"/>
      </top>
      <bottom style="hair">
        <color theme="0"/>
      </bottom>
      <diagonal/>
    </border>
    <border>
      <left/>
      <right/>
      <top/>
      <bottom style="thin">
        <color auto="1"/>
      </bottom>
      <diagonal/>
    </border>
    <border>
      <left style="medium">
        <color rgb="FFFFFFFF"/>
      </left>
      <right/>
      <top/>
      <bottom/>
      <diagonal/>
    </border>
    <border>
      <left style="thin">
        <color auto="1"/>
      </left>
      <right style="thin">
        <color theme="0"/>
      </right>
      <top style="thin">
        <color theme="0"/>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top style="thin">
        <color rgb="FF003C69"/>
      </top>
      <bottom style="double">
        <color rgb="FF003C69"/>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right/>
      <top style="thin">
        <color rgb="FF003C69"/>
      </top>
      <bottom/>
      <diagonal/>
    </border>
    <border>
      <left/>
      <right/>
      <top style="thin">
        <color rgb="FF1F497D"/>
      </top>
      <bottom style="thin">
        <color rgb="FF1F497D"/>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auto="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style="thin">
        <color theme="0"/>
      </left>
      <right/>
      <top style="thin">
        <color theme="0"/>
      </top>
      <bottom style="thin">
        <color auto="1"/>
      </bottom>
      <diagonal/>
    </border>
    <border>
      <left/>
      <right/>
      <top style="thin">
        <color theme="1" tint="0.34998626667073579"/>
      </top>
      <bottom style="thin">
        <color rgb="FF00B0F0"/>
      </bottom>
      <diagonal/>
    </border>
    <border>
      <left/>
      <right/>
      <top style="thin">
        <color rgb="FFD0CECE"/>
      </top>
      <bottom style="thin">
        <color rgb="FFD0CECE"/>
      </bottom>
      <diagonal/>
    </border>
    <border>
      <left/>
      <right/>
      <top style="thin">
        <color theme="0" tint="-0.14993743705557422"/>
      </top>
      <bottom style="thin">
        <color theme="0" tint="-0.14993743705557422"/>
      </bottom>
      <diagonal/>
    </border>
    <border>
      <left style="thin">
        <color rgb="FF003C69"/>
      </left>
      <right style="thin">
        <color rgb="FF003C69"/>
      </right>
      <top style="thin">
        <color rgb="FF003C69"/>
      </top>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theme="0"/>
      </top>
      <bottom style="thin">
        <color auto="1"/>
      </bottom>
      <diagonal/>
    </border>
    <border>
      <left/>
      <right style="thin">
        <color theme="0"/>
      </right>
      <top style="thin">
        <color theme="0"/>
      </top>
      <bottom style="thin">
        <color auto="1"/>
      </bottom>
      <diagonal/>
    </border>
    <border>
      <left style="thin">
        <color rgb="FF003C69"/>
      </left>
      <right style="thin">
        <color rgb="FF003C69"/>
      </right>
      <top/>
      <bottom style="thin">
        <color auto="1"/>
      </bottom>
      <diagonal/>
    </border>
    <border>
      <left/>
      <right style="thin">
        <color theme="0"/>
      </right>
      <top/>
      <bottom style="thin">
        <color auto="1"/>
      </bottom>
      <diagonal/>
    </border>
    <border>
      <left/>
      <right/>
      <top/>
      <bottom style="thin">
        <color theme="1" tint="0.34998626667073579"/>
      </bottom>
      <diagonal/>
    </border>
    <border>
      <left/>
      <right/>
      <top style="thin">
        <color indexed="64"/>
      </top>
      <bottom style="thin">
        <color indexed="64"/>
      </bottom>
      <diagonal/>
    </border>
    <border>
      <left/>
      <right/>
      <top/>
      <bottom style="thin">
        <color rgb="FFD0CECE"/>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right/>
      <top style="thin">
        <color rgb="FF003C69"/>
      </top>
      <bottom style="thin">
        <color theme="0"/>
      </bottom>
      <diagonal/>
    </border>
    <border>
      <left/>
      <right/>
      <top style="thin">
        <color rgb="FFD0CECE"/>
      </top>
      <bottom/>
      <diagonal/>
    </border>
    <border>
      <left/>
      <right/>
      <top style="thin">
        <color indexed="64"/>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thin">
        <color indexed="64"/>
      </left>
      <right style="thin">
        <color indexed="64"/>
      </right>
      <top style="thin">
        <color indexed="64"/>
      </top>
      <bottom style="thin">
        <color indexed="64"/>
      </bottom>
      <diagonal/>
    </border>
    <border>
      <left/>
      <right/>
      <top style="thin">
        <color theme="1" tint="0.34998626667073579"/>
      </top>
      <bottom/>
      <diagonal/>
    </border>
    <border>
      <left/>
      <right/>
      <top/>
      <bottom style="thin">
        <color theme="0" tint="-0.24994659260841701"/>
      </bottom>
      <diagonal/>
    </border>
    <border>
      <left/>
      <right/>
      <top style="thin">
        <color theme="0" tint="-0.14996795556505021"/>
      </top>
      <bottom style="thin">
        <color theme="0" tint="-0.14996795556505021"/>
      </bottom>
      <diagonal/>
    </border>
    <border>
      <left style="thin">
        <color indexed="64"/>
      </left>
      <right style="thin">
        <color rgb="FF003C69"/>
      </right>
      <top style="thin">
        <color rgb="FF003C69"/>
      </top>
      <bottom/>
      <diagonal/>
    </border>
    <border>
      <left style="thin">
        <color indexed="64"/>
      </left>
      <right style="thin">
        <color rgb="FF003C69"/>
      </right>
      <top/>
      <bottom/>
      <diagonal/>
    </border>
    <border>
      <left style="thin">
        <color indexed="64"/>
      </left>
      <right style="thin">
        <color rgb="FF003C69"/>
      </right>
      <top/>
      <bottom style="thin">
        <color rgb="FF003C6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indexed="8"/>
      </top>
      <bottom style="thin">
        <color indexed="64"/>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style="thin">
        <color indexed="64"/>
      </left>
      <right style="thin">
        <color indexed="64"/>
      </right>
      <top/>
      <bottom style="thin">
        <color indexed="64"/>
      </bottom>
      <diagonal/>
    </border>
    <border>
      <left style="hair">
        <color rgb="FFFFFFFF"/>
      </left>
      <right style="hair">
        <color rgb="FFFFFFFF"/>
      </right>
      <top/>
      <bottom style="hair">
        <color rgb="FFFFFFFF"/>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s>
  <cellStyleXfs count="11714">
    <xf numFmtId="0" fontId="0" fillId="0" borderId="0"/>
    <xf numFmtId="181" fontId="61" fillId="0" borderId="0">
      <protection locked="0"/>
    </xf>
    <xf numFmtId="178" fontId="170"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0" fontId="4" fillId="0" borderId="0"/>
    <xf numFmtId="0" fontId="5" fillId="0" borderId="0" applyNumberFormat="0" applyFill="0" applyBorder="0" applyAlignment="0" applyProtection="0"/>
    <xf numFmtId="164" fontId="6" fillId="0" borderId="0"/>
    <xf numFmtId="165" fontId="7" fillId="0" borderId="0">
      <protection locked="0"/>
    </xf>
    <xf numFmtId="164" fontId="6" fillId="0" borderId="0"/>
    <xf numFmtId="41" fontId="170" fillId="0" borderId="0" applyFont="0" applyFill="0" applyBorder="0" applyAlignment="0" applyProtection="0"/>
    <xf numFmtId="166" fontId="170" fillId="0" borderId="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0" fontId="4" fillId="0" borderId="0" applyNumberFormat="0" applyFont="0" applyFill="0" applyBorder="0" applyAlignment="0" applyProtection="0"/>
    <xf numFmtId="167" fontId="170" fillId="0" borderId="0" applyFont="0" applyFill="0" applyBorder="0" applyAlignment="0" applyProtection="0"/>
    <xf numFmtId="0" fontId="4" fillId="0" borderId="0"/>
    <xf numFmtId="43" fontId="4" fillId="0" borderId="0" applyFont="0" applyFill="0" applyBorder="0" applyAlignment="0" applyProtection="0"/>
    <xf numFmtId="0" fontId="170" fillId="0" borderId="0"/>
    <xf numFmtId="0" fontId="170" fillId="0" borderId="0"/>
    <xf numFmtId="167" fontId="170" fillId="0" borderId="0" applyFont="0" applyFill="0" applyBorder="0" applyAlignment="0" applyProtection="0"/>
    <xf numFmtId="9" fontId="170"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0" fontId="4" fillId="0" borderId="0"/>
    <xf numFmtId="43" fontId="170" fillId="0" borderId="0" applyFont="0" applyFill="0" applyBorder="0" applyAlignment="0" applyProtection="0"/>
    <xf numFmtId="0" fontId="41" fillId="2" borderId="0">
      <alignment horizontal="left"/>
    </xf>
    <xf numFmtId="0" fontId="44" fillId="3" borderId="0"/>
    <xf numFmtId="41" fontId="170" fillId="0" borderId="0" applyFont="0" applyFill="0" applyBorder="0" applyAlignment="0" applyProtection="0"/>
    <xf numFmtId="0" fontId="46" fillId="4" borderId="1" applyNumberFormat="0" applyProtection="0"/>
    <xf numFmtId="0" fontId="47" fillId="0" borderId="2" applyNumberFormat="0" applyProtection="0">
      <alignment horizontal="right" vertical="center"/>
    </xf>
    <xf numFmtId="0" fontId="46" fillId="0" borderId="3" applyNumberFormat="0" applyProtection="0">
      <alignment horizontal="right" vertical="center"/>
    </xf>
    <xf numFmtId="0" fontId="48" fillId="5" borderId="3" applyNumberFormat="0" applyProtection="0"/>
    <xf numFmtId="0" fontId="48" fillId="6" borderId="3" applyNumberFormat="0" applyProtection="0"/>
    <xf numFmtId="0" fontId="47" fillId="7" borderId="2" applyNumberFormat="0" applyBorder="0" applyProtection="0">
      <alignment horizontal="right" vertical="center"/>
    </xf>
    <xf numFmtId="0" fontId="48" fillId="5" borderId="3" applyNumberFormat="0" applyProtection="0"/>
    <xf numFmtId="0" fontId="46" fillId="6" borderId="3" applyNumberFormat="0" applyProtection="0">
      <alignment horizontal="right" vertical="center"/>
    </xf>
    <xf numFmtId="0" fontId="46" fillId="7" borderId="3" applyNumberFormat="0" applyBorder="0" applyProtection="0">
      <alignment horizontal="right" vertical="center"/>
    </xf>
    <xf numFmtId="0" fontId="49" fillId="8" borderId="4" applyNumberFormat="0" applyBorder="0" applyProtection="0"/>
    <xf numFmtId="0" fontId="50" fillId="9" borderId="4" applyNumberFormat="0" applyBorder="0" applyProtection="0"/>
    <xf numFmtId="0" fontId="50" fillId="10" borderId="4" applyNumberFormat="0" applyBorder="0" applyProtection="0"/>
    <xf numFmtId="0" fontId="51" fillId="11" borderId="4" applyNumberFormat="0" applyBorder="0" applyProtection="0"/>
    <xf numFmtId="0" fontId="51" fillId="12" borderId="4" applyNumberFormat="0" applyBorder="0" applyProtection="0"/>
    <xf numFmtId="0" fontId="51" fillId="13" borderId="4" applyNumberFormat="0" applyBorder="0" applyProtection="0"/>
    <xf numFmtId="0" fontId="52" fillId="14" borderId="4" applyNumberFormat="0" applyBorder="0" applyProtection="0"/>
    <xf numFmtId="0" fontId="52" fillId="15" borderId="4" applyNumberFormat="0" applyBorder="0" applyProtection="0"/>
    <xf numFmtId="0" fontId="52" fillId="16" borderId="4" applyNumberFormat="0" applyBorder="0" applyProtection="0"/>
    <xf numFmtId="0" fontId="53" fillId="0" borderId="1" applyNumberFormat="0" applyFont="0" applyFill="0" applyAlignment="0" applyProtection="0"/>
    <xf numFmtId="0" fontId="47" fillId="17" borderId="1" applyNumberFormat="0" applyProtection="0"/>
    <xf numFmtId="0" fontId="46" fillId="4" borderId="3" applyNumberFormat="0" applyProtection="0"/>
    <xf numFmtId="0" fontId="48" fillId="18" borderId="1" applyNumberFormat="0" applyProtection="0"/>
    <xf numFmtId="0" fontId="48" fillId="19" borderId="1" applyNumberFormat="0" applyProtection="0"/>
    <xf numFmtId="0" fontId="48" fillId="20" borderId="1" applyNumberFormat="0" applyProtection="0"/>
    <xf numFmtId="0" fontId="48" fillId="7" borderId="1" applyNumberFormat="0" applyProtection="0"/>
    <xf numFmtId="0" fontId="48" fillId="6" borderId="3" applyNumberFormat="0" applyProtection="0"/>
    <xf numFmtId="0" fontId="54" fillId="0" borderId="5" applyNumberFormat="0" applyFill="0" applyBorder="0" applyAlignment="0" applyProtection="0"/>
    <xf numFmtId="0" fontId="55" fillId="0" borderId="5" applyNumberFormat="0" applyBorder="0" applyAlignment="0" applyProtection="0"/>
    <xf numFmtId="0" fontId="54" fillId="5" borderId="3" applyNumberFormat="0" applyProtection="0"/>
    <xf numFmtId="0" fontId="54" fillId="5" borderId="3" applyNumberFormat="0" applyProtection="0"/>
    <xf numFmtId="0" fontId="54" fillId="6" borderId="3" applyNumberFormat="0" applyProtection="0"/>
    <xf numFmtId="0" fontId="56" fillId="6" borderId="3" applyNumberFormat="0" applyProtection="0">
      <alignment horizontal="right" vertical="center"/>
    </xf>
    <xf numFmtId="0" fontId="57" fillId="7" borderId="2" applyNumberFormat="0" applyBorder="0" applyProtection="0">
      <alignment horizontal="right" vertical="center"/>
    </xf>
    <xf numFmtId="0" fontId="56" fillId="7" borderId="3" applyNumberFormat="0" applyBorder="0" applyProtection="0">
      <alignment horizontal="right" vertical="center"/>
    </xf>
    <xf numFmtId="0" fontId="47" fillId="0" borderId="2" applyNumberFormat="0" applyFill="0" applyBorder="0" applyProtection="0"/>
    <xf numFmtId="0" fontId="47" fillId="0" borderId="2" applyNumberFormat="0" applyFill="0" applyBorder="0" applyProtection="0"/>
    <xf numFmtId="41" fontId="170" fillId="0" borderId="0" applyFont="0" applyFill="0" applyBorder="0" applyAlignment="0" applyProtection="0"/>
    <xf numFmtId="179" fontId="170" fillId="0" borderId="0" applyFont="0" applyFill="0" applyBorder="0" applyAlignment="0" applyProtection="0"/>
    <xf numFmtId="0" fontId="170" fillId="0" borderId="0"/>
    <xf numFmtId="9" fontId="4" fillId="0" borderId="0" applyFont="0" applyFill="0" applyBorder="0" applyAlignment="0" applyProtection="0"/>
    <xf numFmtId="0" fontId="58" fillId="0" borderId="0">
      <alignment horizontal="right" vertical="center"/>
    </xf>
    <xf numFmtId="0" fontId="45" fillId="21" borderId="6" applyNumberFormat="0" applyProtection="0"/>
    <xf numFmtId="0" fontId="60" fillId="0" borderId="2" applyNumberFormat="0" applyProtection="0">
      <alignment horizontal="right" vertical="center"/>
    </xf>
    <xf numFmtId="0" fontId="59" fillId="22" borderId="3" applyNumberFormat="0" applyProtection="0">
      <alignment horizontal="right" vertical="center"/>
    </xf>
    <xf numFmtId="0" fontId="53" fillId="0" borderId="6" applyNumberFormat="0" applyFont="0" applyFill="0" applyAlignment="0" applyProtection="0"/>
    <xf numFmtId="0" fontId="60" fillId="0" borderId="6" applyNumberFormat="0" applyProtection="0"/>
    <xf numFmtId="0" fontId="59" fillId="23" borderId="3" applyNumberFormat="0" applyProtection="0"/>
    <xf numFmtId="0" fontId="45" fillId="21" borderId="7" applyNumberFormat="0" applyProtection="0"/>
    <xf numFmtId="0" fontId="42" fillId="21" borderId="1" applyNumberFormat="0" applyProtection="0"/>
    <xf numFmtId="41" fontId="170" fillId="0" borderId="0" applyFont="0" applyFill="0" applyBorder="0" applyAlignment="0" applyProtection="0"/>
    <xf numFmtId="41" fontId="170" fillId="0" borderId="0" applyFont="0" applyFill="0" applyBorder="0" applyAlignment="0" applyProtection="0"/>
    <xf numFmtId="0" fontId="47" fillId="17" borderId="1" applyNumberForma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181" fontId="61" fillId="0" borderId="0">
      <protection locked="0"/>
    </xf>
    <xf numFmtId="0" fontId="170" fillId="0" borderId="0"/>
    <xf numFmtId="0" fontId="170" fillId="0" borderId="0"/>
    <xf numFmtId="9"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5" fillId="0" borderId="0" applyFont="0" applyFill="0" applyBorder="0" applyAlignment="0" applyProtection="0"/>
    <xf numFmtId="186" fontId="65" fillId="0" borderId="0" applyFont="0" applyFill="0" applyBorder="0" applyAlignment="0" applyProtection="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7" fillId="30"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170"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67" fillId="32" borderId="0" applyNumberFormat="0" applyBorder="0" applyAlignment="0" applyProtection="0"/>
    <xf numFmtId="0" fontId="170" fillId="33" borderId="0" applyNumberFormat="0" applyBorder="0" applyAlignment="0" applyProtection="0"/>
    <xf numFmtId="0" fontId="69" fillId="26" borderId="0" applyNumberFormat="0" applyBorder="0" applyAlignment="0" applyProtection="0"/>
    <xf numFmtId="0" fontId="67" fillId="34"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170" fillId="35"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37" borderId="0" applyNumberFormat="0" applyBorder="0" applyAlignment="0" applyProtection="0"/>
    <xf numFmtId="0" fontId="69" fillId="28" borderId="0" applyNumberFormat="0" applyBorder="0" applyAlignment="0" applyProtection="0"/>
    <xf numFmtId="0" fontId="67" fillId="38" borderId="0" applyNumberFormat="0" applyBorder="0" applyAlignment="0" applyProtection="0"/>
    <xf numFmtId="0" fontId="170" fillId="39" borderId="0" applyNumberFormat="0" applyBorder="0" applyAlignment="0" applyProtection="0"/>
    <xf numFmtId="0" fontId="69"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30"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7" fillId="30" borderId="0" applyNumberFormat="0" applyBorder="0" applyAlignment="0" applyProtection="0"/>
    <xf numFmtId="0" fontId="170" fillId="42" borderId="0" applyNumberFormat="0" applyBorder="0" applyAlignment="0" applyProtection="0"/>
    <xf numFmtId="0" fontId="69" fillId="40" borderId="0" applyNumberFormat="0" applyBorder="0" applyAlignment="0" applyProtection="0"/>
    <xf numFmtId="0" fontId="69" fillId="36" borderId="0" applyNumberFormat="0" applyBorder="0" applyAlignment="0" applyProtection="0"/>
    <xf numFmtId="0" fontId="67" fillId="43" borderId="0" applyNumberFormat="0" applyBorder="0" applyAlignment="0" applyProtection="0"/>
    <xf numFmtId="0" fontId="1" fillId="44" borderId="0" applyNumberFormat="0" applyBorder="0" applyAlignment="0" applyProtection="0"/>
    <xf numFmtId="0" fontId="68" fillId="30" borderId="0" applyNumberFormat="0" applyBorder="0" applyAlignment="0" applyProtection="0"/>
    <xf numFmtId="0" fontId="170" fillId="44"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8" fillId="30" borderId="0" applyNumberFormat="0" applyBorder="0" applyAlignment="0" applyProtection="0"/>
    <xf numFmtId="0" fontId="67" fillId="45" borderId="0" applyNumberFormat="0" applyBorder="0" applyAlignment="0" applyProtection="0"/>
    <xf numFmtId="0" fontId="170" fillId="46"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0" fillId="47"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1" fillId="30" borderId="0" applyNumberFormat="0" applyBorder="0" applyAlignment="0" applyProtection="0"/>
    <xf numFmtId="0" fontId="13" fillId="52" borderId="0" applyNumberFormat="0" applyBorder="0" applyAlignment="0" applyProtection="0"/>
    <xf numFmtId="0" fontId="72" fillId="48" borderId="0" applyNumberFormat="0" applyBorder="0" applyAlignment="0" applyProtection="0"/>
    <xf numFmtId="0" fontId="71" fillId="43" borderId="0" applyNumberFormat="0" applyBorder="0" applyAlignment="0" applyProtection="0"/>
    <xf numFmtId="0" fontId="13" fillId="53" borderId="0" applyNumberFormat="0" applyBorder="0" applyAlignment="0" applyProtection="0"/>
    <xf numFmtId="0" fontId="72" fillId="30" borderId="0" applyNumberFormat="0" applyBorder="0" applyAlignment="0" applyProtection="0"/>
    <xf numFmtId="0" fontId="73" fillId="0" borderId="0" applyNumberFormat="0" applyFill="0" applyBorder="0" applyAlignment="0"/>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39" fontId="75" fillId="0" borderId="10" applyFill="0" applyBorder="0"/>
    <xf numFmtId="0" fontId="76" fillId="26" borderId="0" applyNumberFormat="0" applyBorder="0" applyAlignment="0" applyProtection="0"/>
    <xf numFmtId="0" fontId="4" fillId="40" borderId="11" applyNumberFormat="0" applyFont="0" applyAlignment="0" applyProtection="0"/>
    <xf numFmtId="0" fontId="77" fillId="54" borderId="12" applyNumberFormat="0" applyAlignment="0" applyProtection="0"/>
    <xf numFmtId="0" fontId="39" fillId="55" borderId="13" applyNumberFormat="0" applyAlignment="0" applyProtection="0"/>
    <xf numFmtId="0" fontId="78" fillId="56" borderId="14" applyNumberFormat="0" applyAlignment="0" applyProtection="0"/>
    <xf numFmtId="15" fontId="75" fillId="0" borderId="0">
      <alignment horizontal="center"/>
    </xf>
    <xf numFmtId="0" fontId="79" fillId="34" borderId="15" applyNumberFormat="0" applyAlignment="0" applyProtection="0"/>
    <xf numFmtId="0" fontId="40" fillId="57" borderId="16" applyNumberFormat="0" applyAlignment="0" applyProtection="0"/>
    <xf numFmtId="0" fontId="80" fillId="58" borderId="17" applyNumberFormat="0" applyAlignment="0" applyProtection="0"/>
    <xf numFmtId="0" fontId="81" fillId="58" borderId="17" applyNumberFormat="0" applyAlignment="0" applyProtection="0"/>
    <xf numFmtId="0" fontId="82" fillId="0" borderId="18" applyNumberFormat="0" applyFill="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78"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2" fontId="4" fillId="0" borderId="0" applyFont="0" applyFill="0" applyBorder="0" applyAlignment="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70" fillId="59"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61" borderId="0" applyNumberFormat="0" applyBorder="0" applyAlignment="0" applyProtection="0"/>
    <xf numFmtId="0" fontId="71" fillId="51" borderId="0" applyNumberFormat="0" applyBorder="0" applyAlignment="0" applyProtection="0"/>
    <xf numFmtId="0" fontId="13" fillId="62" borderId="0" applyNumberFormat="0" applyBorder="0" applyAlignment="0" applyProtection="0"/>
    <xf numFmtId="0" fontId="72" fillId="59" borderId="0" applyNumberFormat="0" applyBorder="0" applyAlignment="0" applyProtection="0"/>
    <xf numFmtId="0" fontId="13" fillId="62" borderId="0" applyNumberFormat="0" applyBorder="0" applyAlignment="0" applyProtection="0"/>
    <xf numFmtId="0" fontId="71" fillId="63" borderId="0" applyNumberFormat="0" applyBorder="0" applyAlignment="0" applyProtection="0"/>
    <xf numFmtId="0" fontId="13" fillId="64" borderId="0" applyNumberFormat="0" applyBorder="0" applyAlignment="0" applyProtection="0"/>
    <xf numFmtId="0" fontId="72" fillId="43" borderId="0" applyNumberFormat="0" applyBorder="0" applyAlignment="0" applyProtection="0"/>
    <xf numFmtId="0" fontId="71" fillId="65" borderId="0" applyNumberFormat="0" applyBorder="0" applyAlignment="0" applyProtection="0"/>
    <xf numFmtId="0" fontId="13" fillId="66" borderId="0" applyNumberFormat="0" applyBorder="0" applyAlignment="0" applyProtection="0"/>
    <xf numFmtId="0" fontId="72" fillId="50" borderId="0" applyNumberFormat="0" applyBorder="0" applyAlignment="0" applyProtection="0"/>
    <xf numFmtId="0" fontId="13" fillId="6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4" fillId="0" borderId="0"/>
    <xf numFmtId="168" fontId="68" fillId="67" borderId="19" applyFont="0" applyBorder="0"/>
    <xf numFmtId="168" fontId="85" fillId="68" borderId="20">
      <protection locked="0"/>
    </xf>
    <xf numFmtId="0" fontId="4" fillId="69" borderId="0" applyFont="0"/>
    <xf numFmtId="0" fontId="4" fillId="70"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Font="0" applyFill="0" applyBorder="0" applyAlignment="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3"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5" fontId="86" fillId="0" borderId="0">
      <alignment horizontal="right" vertical="top"/>
    </xf>
    <xf numFmtId="196" fontId="86" fillId="0" borderId="0" applyFont="0" applyFill="0">
      <alignment horizontal="right" vertical="top"/>
    </xf>
    <xf numFmtId="41" fontId="87" fillId="0" borderId="0" applyFill="0" applyBorder="0" applyProtection="0"/>
    <xf numFmtId="0" fontId="87" fillId="0" borderId="0" applyFill="0" applyBorder="0">
      <alignment horizontal="left" vertical="top"/>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9" fontId="94" fillId="0" borderId="21" applyBorder="0"/>
    <xf numFmtId="0" fontId="95" fillId="0" borderId="0" applyNumberFormat="0" applyFill="0" applyBorder="0">
      <protection locked="0"/>
    </xf>
    <xf numFmtId="0" fontId="96" fillId="0" borderId="0" applyNumberFormat="0" applyFill="0" applyBorder="0">
      <protection locked="0"/>
    </xf>
    <xf numFmtId="0" fontId="97" fillId="71" borderId="0" applyNumberFormat="0" applyBorder="0" applyAlignment="0" applyProtection="0"/>
    <xf numFmtId="0" fontId="37" fillId="72"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100" fillId="0" borderId="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101" fillId="0" borderId="22" applyNumberFormat="0" applyBorder="0"/>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200" fontId="4"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3" fontId="170" fillId="0" borderId="0" applyFont="0" applyFill="0" applyBorder="0" applyAlignment="0" applyProtection="0"/>
    <xf numFmtId="171" fontId="4"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202" fontId="4" fillId="0" borderId="0" applyFill="0" applyBorder="0" applyAlignment="0" applyProtection="0"/>
    <xf numFmtId="0" fontId="104" fillId="73" borderId="0" applyNumberFormat="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203" fontId="106" fillId="0" borderId="0"/>
    <xf numFmtId="0" fontId="4" fillId="0" borderId="0" applyNumberFormat="0" applyFill="0" applyBorder="0" applyAlignment="0" applyProtection="0"/>
    <xf numFmtId="0" fontId="170" fillId="0" borderId="0"/>
    <xf numFmtId="0" fontId="102" fillId="0" borderId="0"/>
    <xf numFmtId="0" fontId="4" fillId="0" borderId="0"/>
    <xf numFmtId="0" fontId="4" fillId="0" borderId="0"/>
    <xf numFmtId="0" fontId="68" fillId="0" borderId="0">
      <alignment vertical="top"/>
    </xf>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vertical="top"/>
    </xf>
    <xf numFmtId="0" fontId="68" fillId="0" borderId="0">
      <alignment vertical="top"/>
    </xf>
    <xf numFmtId="0" fontId="4" fillId="0" borderId="0"/>
    <xf numFmtId="0" fontId="170" fillId="0" borderId="0"/>
    <xf numFmtId="0" fontId="170" fillId="0" borderId="0"/>
    <xf numFmtId="0" fontId="69" fillId="0" borderId="0"/>
    <xf numFmtId="0" fontId="69" fillId="0" borderId="0"/>
    <xf numFmtId="0" fontId="69" fillId="0" borderId="0"/>
    <xf numFmtId="0" fontId="69" fillId="0" borderId="0"/>
    <xf numFmtId="0" fontId="170" fillId="0" borderId="0"/>
    <xf numFmtId="0" fontId="69" fillId="0" borderId="0"/>
    <xf numFmtId="0" fontId="69" fillId="0" borderId="0"/>
    <xf numFmtId="0" fontId="4" fillId="0" borderId="0" applyNumberFormat="0" applyFill="0" applyBorder="0" applyAlignment="0" applyProtection="0"/>
    <xf numFmtId="0" fontId="4" fillId="0" borderId="0"/>
    <xf numFmtId="0" fontId="62" fillId="65" borderId="25" applyNumberFormat="0" applyFont="0" applyAlignment="0" applyProtection="0"/>
    <xf numFmtId="0" fontId="103" fillId="74" borderId="26" applyNumberFormat="0" applyFont="0" applyAlignment="0" applyProtection="0"/>
    <xf numFmtId="0" fontId="69" fillId="65" borderId="25" applyNumberFormat="0" applyFont="0" applyAlignment="0" applyProtection="0"/>
    <xf numFmtId="0" fontId="69"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81" fontId="61" fillId="0" borderId="0">
      <protection locked="0"/>
    </xf>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12" fillId="56" borderId="44" applyNumberFormat="0" applyAlignment="0" applyProtection="0"/>
    <xf numFmtId="0" fontId="113" fillId="54" borderId="45" applyNumberFormat="0" applyAlignment="0" applyProtection="0"/>
    <xf numFmtId="0" fontId="38" fillId="55" borderId="46" applyNumberFormat="0" applyAlignment="0" applyProtection="0"/>
    <xf numFmtId="207" fontId="4" fillId="0" borderId="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7"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4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5" borderId="0" applyNumberFormat="0" applyBorder="0" applyAlignment="0" applyProtection="0"/>
    <xf numFmtId="0" fontId="62" fillId="26"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0" fontId="76" fillId="26" borderId="0" applyNumberFormat="0" applyBorder="0" applyAlignment="0" applyProtection="0"/>
    <xf numFmtId="0" fontId="76" fillId="26"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6" borderId="14"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1" fillId="58" borderId="17" applyNumberFormat="0" applyAlignment="0" applyProtection="0"/>
    <xf numFmtId="0" fontId="82" fillId="0" borderId="18" applyNumberFormat="0" applyFill="0" applyAlignment="0" applyProtection="0"/>
    <xf numFmtId="0" fontId="82" fillId="0" borderId="18" applyNumberFormat="0" applyFill="0" applyAlignment="0" applyProtection="0"/>
    <xf numFmtId="0" fontId="3" fillId="75" borderId="50" applyFont="0" applyFill="0" applyBorder="0"/>
    <xf numFmtId="0" fontId="43" fillId="0" borderId="51"/>
    <xf numFmtId="0" fontId="124" fillId="0" borderId="52">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1" fillId="0" borderId="0">
      <protection locked="0"/>
    </xf>
    <xf numFmtId="0" fontId="93" fillId="0" borderId="0">
      <protection locked="0"/>
    </xf>
    <xf numFmtId="0" fontId="93" fillId="0" borderId="0">
      <protection locked="0"/>
    </xf>
    <xf numFmtId="0" fontId="119" fillId="0" borderId="0" applyNumberFormat="0" applyFill="0" applyBorder="0" applyAlignment="0" applyProtection="0"/>
    <xf numFmtId="0" fontId="119" fillId="0" borderId="0" applyNumberFormat="0" applyFill="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25" fillId="29" borderId="14" applyNumberFormat="0" applyAlignment="0" applyProtection="0"/>
    <xf numFmtId="0" fontId="125" fillId="29" borderId="1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Font="0" applyFill="0" applyBorder="0" applyAlignment="0" applyProtection="0"/>
    <xf numFmtId="209" fontId="61" fillId="0" borderId="0">
      <protection locked="0"/>
    </xf>
    <xf numFmtId="4" fontId="61" fillId="0" borderId="0">
      <protection locked="0"/>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9" fillId="25" borderId="0" applyNumberFormat="0" applyBorder="0" applyAlignment="0" applyProtection="0"/>
    <xf numFmtId="3" fontId="127" fillId="76" borderId="11">
      <protection locked="0"/>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210" fontId="4" fillId="0" borderId="0" applyFont="0" applyFill="0" applyBorder="0" applyAlignment="0" applyProtection="0"/>
    <xf numFmtId="211" fontId="61" fillId="0" borderId="0">
      <protection locked="0"/>
    </xf>
    <xf numFmtId="212" fontId="126" fillId="0" borderId="0" applyFont="0" applyFill="0" applyBorder="0" applyAlignment="0" applyProtection="0"/>
    <xf numFmtId="0" fontId="104" fillId="73" borderId="0" applyNumberFormat="0" applyBorder="0" applyAlignment="0" applyProtection="0"/>
    <xf numFmtId="0" fontId="104" fillId="73" borderId="0" applyNumberFormat="0" applyBorder="0" applyAlignment="0" applyProtection="0"/>
    <xf numFmtId="213" fontId="4" fillId="0" borderId="0"/>
    <xf numFmtId="214" fontId="4" fillId="0" borderId="0"/>
    <xf numFmtId="215" fontId="4" fillId="0" borderId="0">
      <alignment horizontal="right"/>
    </xf>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4" fillId="0" borderId="0" applyFont="0" applyFill="0" applyBorder="0" applyAlignment="0" applyProtection="0"/>
    <xf numFmtId="9" fontId="4" fillId="0" borderId="0" applyFont="0" applyFill="0" applyBorder="0" applyAlignment="0" applyProtection="0"/>
    <xf numFmtId="37" fontId="4"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3" fontId="126"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112" fillId="56" borderId="44" applyNumberFormat="0" applyAlignment="0" applyProtection="0"/>
    <xf numFmtId="0" fontId="112" fillId="56" borderId="44" applyNumberFormat="0" applyAlignment="0" applyProtection="0"/>
    <xf numFmtId="171" fontId="4" fillId="0" borderId="0" applyFont="0" applyFill="0" applyBorder="0" applyAlignment="0" applyProtection="0"/>
    <xf numFmtId="0" fontId="128" fillId="0" borderId="53">
      <alignment horizontal="left"/>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117" fillId="0" borderId="0" applyNumberFormat="0" applyFill="0" applyBorder="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77" borderId="54" applyNumberFormat="0">
      <alignment horizontal="left"/>
    </xf>
    <xf numFmtId="0" fontId="131" fillId="0" borderId="55"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63" fillId="0" borderId="58" applyNumberFormat="0" applyFill="0" applyAlignment="0" applyProtection="0"/>
    <xf numFmtId="0" fontId="63" fillId="0" borderId="58"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43" fontId="4" fillId="0" borderId="0" applyFont="0" applyFill="0" applyBorder="0" applyAlignment="0" applyProtection="0"/>
    <xf numFmtId="0" fontId="134" fillId="0" borderId="0">
      <alignment horizontal="left" vertical="center" indent="1"/>
    </xf>
    <xf numFmtId="0" fontId="96"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70" fillId="0" borderId="0"/>
    <xf numFmtId="171" fontId="4" fillId="0" borderId="0" applyFont="0" applyFill="0" applyBorder="0" applyAlignment="0" applyProtection="0"/>
    <xf numFmtId="0" fontId="4" fillId="0" borderId="0"/>
    <xf numFmtId="0" fontId="4" fillId="0" borderId="0" applyNumberForma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43" fontId="170" fillId="0" borderId="0" applyFont="0" applyFill="0" applyBorder="0" applyAlignment="0" applyProtection="0"/>
    <xf numFmtId="177"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0" fontId="4" fillId="0" borderId="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7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7" fillId="30" borderId="0" applyNumberFormat="0" applyBorder="0" applyAlignment="0" applyProtection="0"/>
    <xf numFmtId="0" fontId="62" fillId="24" borderId="0" applyNumberFormat="0" applyBorder="0" applyAlignment="0" applyProtection="0"/>
    <xf numFmtId="0" fontId="170" fillId="31"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70" fillId="79" borderId="0" applyNumberFormat="0" applyBorder="0" applyAlignment="0" applyProtection="0"/>
    <xf numFmtId="0" fontId="133" fillId="27" borderId="0" applyNumberFormat="0" applyBorder="0" applyAlignment="0" applyProtection="0"/>
    <xf numFmtId="0" fontId="170" fillId="79"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170" fillId="33" borderId="0" applyNumberFormat="0" applyBorder="0" applyAlignment="0" applyProtection="0"/>
    <xf numFmtId="0" fontId="133" fillId="38" borderId="0" applyNumberFormat="0" applyBorder="0" applyAlignment="0" applyProtection="0"/>
    <xf numFmtId="0" fontId="170" fillId="33"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170" fillId="35"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170" fillId="37" borderId="0" applyNumberFormat="0" applyBorder="0" applyAlignment="0" applyProtection="0"/>
    <xf numFmtId="0" fontId="133" fillId="63" borderId="0" applyNumberFormat="0" applyBorder="0" applyAlignment="0" applyProtection="0"/>
    <xf numFmtId="0" fontId="170" fillId="37"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170" fillId="39" borderId="0" applyNumberFormat="0" applyBorder="0" applyAlignment="0" applyProtection="0"/>
    <xf numFmtId="0" fontId="133" fillId="45" borderId="0" applyNumberFormat="0" applyBorder="0" applyAlignment="0" applyProtection="0"/>
    <xf numFmtId="0" fontId="170" fillId="3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170" fillId="42" borderId="0" applyNumberFormat="0" applyBorder="0" applyAlignment="0" applyProtection="0"/>
    <xf numFmtId="0" fontId="133" fillId="80" borderId="0" applyNumberFormat="0" applyBorder="0" applyAlignment="0" applyProtection="0"/>
    <xf numFmtId="0" fontId="170" fillId="42"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70" fillId="81" borderId="0" applyNumberFormat="0" applyBorder="0" applyAlignment="0" applyProtection="0"/>
    <xf numFmtId="0" fontId="133" fillId="54" borderId="0" applyNumberFormat="0" applyBorder="0" applyAlignment="0" applyProtection="0"/>
    <xf numFmtId="0" fontId="170" fillId="81"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170" fillId="44"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170" fillId="46" borderId="0" applyNumberFormat="0" applyBorder="0" applyAlignment="0" applyProtection="0"/>
    <xf numFmtId="0" fontId="133" fillId="82" borderId="0" applyNumberFormat="0" applyBorder="0" applyAlignment="0" applyProtection="0"/>
    <xf numFmtId="0" fontId="170" fillId="46"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170" fillId="47" borderId="0" applyNumberFormat="0" applyBorder="0" applyAlignment="0" applyProtection="0"/>
    <xf numFmtId="0" fontId="133" fillId="83" borderId="0" applyNumberFormat="0" applyBorder="0" applyAlignment="0" applyProtection="0"/>
    <xf numFmtId="0" fontId="170" fillId="47"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70" fillId="84" borderId="0" applyNumberFormat="0" applyBorder="0" applyAlignment="0" applyProtection="0"/>
    <xf numFmtId="0" fontId="133" fillId="56" borderId="0" applyNumberFormat="0" applyBorder="0" applyAlignment="0" applyProtection="0"/>
    <xf numFmtId="0" fontId="170" fillId="84"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23" fillId="56" borderId="14" applyNumberFormat="0" applyAlignment="0" applyProtection="0"/>
    <xf numFmtId="0" fontId="112" fillId="43" borderId="60" applyNumberFormat="0" applyAlignment="0" applyProtection="0"/>
    <xf numFmtId="0" fontId="136"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23" fillId="56" borderId="14" applyNumberFormat="0" applyAlignment="0" applyProtection="0"/>
    <xf numFmtId="0" fontId="77" fillId="54" borderId="12" applyNumberFormat="0" applyAlignment="0" applyProtection="0"/>
    <xf numFmtId="0" fontId="123" fillId="56" borderId="14"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81" fillId="58" borderId="17" applyNumberFormat="0" applyAlignment="0" applyProtection="0"/>
    <xf numFmtId="0" fontId="137" fillId="85" borderId="61" applyNumberFormat="0" applyAlignment="0" applyProtection="0"/>
    <xf numFmtId="0" fontId="81"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58" borderId="17" applyNumberFormat="0" applyAlignment="0" applyProtection="0"/>
    <xf numFmtId="0" fontId="79" fillId="34" borderId="15" applyNumberFormat="0" applyAlignment="0" applyProtection="0"/>
    <xf numFmtId="0" fontId="81" fillId="58" borderId="17"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41" borderId="0" applyFont="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200"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43" fontId="4" fillId="0" borderId="0" applyFont="0" applyFill="0" applyBorder="0" applyAlignment="0" applyProtection="0"/>
    <xf numFmtId="171" fontId="102"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202" fontId="4" fillId="0" borderId="0" applyFill="0" applyBorder="0" applyAlignment="0" applyProtection="0"/>
    <xf numFmtId="182" fontId="170"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170" fillId="0" borderId="0" applyFont="0" applyFill="0" applyBorder="0" applyAlignment="0" applyProtection="0"/>
    <xf numFmtId="182" fontId="4" fillId="0" borderId="0" applyFont="0" applyFill="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xf numFmtId="0" fontId="170" fillId="0" borderId="0"/>
    <xf numFmtId="0" fontId="170" fillId="0" borderId="0"/>
    <xf numFmtId="0" fontId="170"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70" fillId="0" borderId="0"/>
    <xf numFmtId="0" fontId="170" fillId="0" borderId="0"/>
    <xf numFmtId="0" fontId="170" fillId="0" borderId="0"/>
    <xf numFmtId="0" fontId="170" fillId="0" borderId="0"/>
    <xf numFmtId="0" fontId="170" fillId="0" borderId="0"/>
    <xf numFmtId="0" fontId="170" fillId="0" borderId="0"/>
    <xf numFmtId="0" fontId="4" fillId="0" borderId="0"/>
    <xf numFmtId="0" fontId="1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170" fillId="0" borderId="0"/>
    <xf numFmtId="0" fontId="4" fillId="0" borderId="0"/>
    <xf numFmtId="0" fontId="170" fillId="0" borderId="0"/>
    <xf numFmtId="0" fontId="4" fillId="0" borderId="0"/>
    <xf numFmtId="0" fontId="4" fillId="0" borderId="0"/>
    <xf numFmtId="0" fontId="4" fillId="0" borderId="0"/>
    <xf numFmtId="0" fontId="170"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8" fillId="0" borderId="0">
      <alignment vertical="top"/>
    </xf>
    <xf numFmtId="0" fontId="4" fillId="0" borderId="0"/>
    <xf numFmtId="0" fontId="4" fillId="0" borderId="0"/>
    <xf numFmtId="0" fontId="4" fillId="0" borderId="0"/>
    <xf numFmtId="0" fontId="68" fillId="0" borderId="0">
      <alignment vertical="top"/>
    </xf>
    <xf numFmtId="0" fontId="4" fillId="0" borderId="0"/>
    <xf numFmtId="0" fontId="4" fillId="0" borderId="0"/>
    <xf numFmtId="0" fontId="170"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103" fillId="0" borderId="0"/>
    <xf numFmtId="0" fontId="4" fillId="0" borderId="0" applyNumberFormat="0" applyFont="0" applyFill="0" applyBorder="0" applyAlignment="0" applyProtection="0"/>
    <xf numFmtId="0" fontId="103" fillId="0" borderId="0"/>
    <xf numFmtId="0" fontId="68"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alignment vertical="top"/>
    </xf>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03" fillId="88" borderId="12"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0" fillId="74" borderId="26" applyNumberFormat="0" applyFont="0" applyAlignment="0" applyProtection="0"/>
    <xf numFmtId="0" fontId="170"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0" fontId="4" fillId="65" borderId="25" applyNumberFormat="0" applyFont="0" applyAlignment="0" applyProtection="0"/>
    <xf numFmtId="0" fontId="170" fillId="74" borderId="26"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17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12" fillId="56" borderId="44" applyNumberFormat="0" applyAlignment="0" applyProtection="0"/>
    <xf numFmtId="0" fontId="143" fillId="43" borderId="63" applyNumberFormat="0" applyAlignment="0" applyProtection="0"/>
    <xf numFmtId="0" fontId="144"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12" fillId="56" borderId="44" applyNumberFormat="0" applyAlignment="0" applyProtection="0"/>
    <xf numFmtId="0" fontId="113" fillId="54" borderId="45" applyNumberFormat="0" applyAlignment="0" applyProtection="0"/>
    <xf numFmtId="0" fontId="112" fillId="56" borderId="44"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207" fontId="4" fillId="0" borderId="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48" applyNumberFormat="0" applyFont="0" applyFill="0" applyProtection="0"/>
    <xf numFmtId="0" fontId="4" fillId="0" borderId="48" applyNumberFormat="0" applyFont="0" applyFill="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0" fontId="4" fillId="0" borderId="48" applyNumberFormat="0" applyFont="0" applyFill="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179" fontId="170" fillId="0" borderId="0" applyFont="0" applyFill="0" applyBorder="0" applyAlignment="0" applyProtection="0"/>
    <xf numFmtId="0" fontId="58" fillId="0" borderId="0">
      <alignment horizontal="right" vertical="center"/>
    </xf>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58" fillId="0" borderId="0">
      <alignment horizontal="right" vertical="center"/>
    </xf>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171" fontId="170" fillId="0" borderId="0" applyFont="0" applyFill="0" applyBorder="0" applyAlignment="0" applyProtection="0"/>
    <xf numFmtId="0" fontId="43" fillId="0" borderId="0">
      <alignment vertical="center"/>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0" fontId="170" fillId="0" borderId="0"/>
    <xf numFmtId="43" fontId="170" fillId="0" borderId="0" applyFont="0" applyFill="0" applyBorder="0" applyAlignment="0" applyProtection="0"/>
    <xf numFmtId="0" fontId="170" fillId="0" borderId="0"/>
    <xf numFmtId="43" fontId="170" fillId="0" borderId="0" applyFont="0" applyFill="0" applyBorder="0" applyAlignment="0" applyProtection="0"/>
    <xf numFmtId="9" fontId="170" fillId="0" borderId="0" applyFont="0" applyFill="0" applyBorder="0" applyAlignment="0" applyProtection="0"/>
    <xf numFmtId="9" fontId="170" fillId="0" borderId="0" applyFont="0" applyFill="0" applyBorder="0" applyAlignment="0" applyProtection="0"/>
    <xf numFmtId="43" fontId="170" fillId="0" borderId="0" applyFont="0" applyFill="0" applyBorder="0" applyAlignment="0" applyProtection="0"/>
    <xf numFmtId="0" fontId="5" fillId="0" borderId="0" applyNumberFormat="0" applyFill="0" applyBorder="0" applyAlignment="0" applyProtection="0"/>
    <xf numFmtId="164" fontId="217" fillId="0" borderId="0"/>
    <xf numFmtId="164" fontId="217" fillId="0" borderId="0"/>
    <xf numFmtId="41" fontId="170" fillId="0" borderId="0" applyFont="0" applyFill="0" applyBorder="0" applyAlignment="0" applyProtection="0"/>
    <xf numFmtId="43" fontId="170" fillId="0" borderId="0" applyFont="0" applyFill="0" applyBorder="0" applyAlignment="0" applyProtection="0"/>
    <xf numFmtId="42"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0" fontId="46" fillId="150" borderId="141" applyNumberFormat="0" applyAlignment="0" applyProtection="0">
      <alignment horizontal="left" vertical="center" indent="1"/>
    </xf>
    <xf numFmtId="219" fontId="47" fillId="0" borderId="142" applyNumberFormat="0" applyProtection="0">
      <alignment horizontal="right" vertical="center"/>
    </xf>
    <xf numFmtId="219" fontId="46" fillId="0" borderId="3" applyNumberFormat="0" applyProtection="0">
      <alignment horizontal="right" vertical="center"/>
    </xf>
    <xf numFmtId="0" fontId="48" fillId="119" borderId="3" applyNumberFormat="0" applyAlignment="0" applyProtection="0">
      <alignment horizontal="left" vertical="center" indent="1"/>
    </xf>
    <xf numFmtId="0" fontId="48" fillId="151" borderId="3" applyNumberFormat="0" applyAlignment="0" applyProtection="0">
      <alignment horizontal="left" vertical="center" indent="1"/>
    </xf>
    <xf numFmtId="219" fontId="47" fillId="152" borderId="142" applyNumberFormat="0" applyBorder="0" applyProtection="0">
      <alignment horizontal="right" vertical="center"/>
    </xf>
    <xf numFmtId="0" fontId="48" fillId="119" borderId="3" applyNumberFormat="0" applyAlignment="0" applyProtection="0">
      <alignment horizontal="left" vertical="center" indent="1"/>
    </xf>
    <xf numFmtId="219" fontId="46" fillId="151" borderId="3" applyNumberFormat="0" applyProtection="0">
      <alignment horizontal="right" vertical="center"/>
    </xf>
    <xf numFmtId="219" fontId="46" fillId="152" borderId="3" applyNumberFormat="0" applyBorder="0" applyProtection="0">
      <alignment horizontal="right" vertical="center"/>
    </xf>
    <xf numFmtId="219" fontId="49" fillId="153" borderId="4" applyNumberFormat="0" applyBorder="0" applyAlignment="0" applyProtection="0">
      <alignment horizontal="right" vertical="center" indent="1"/>
    </xf>
    <xf numFmtId="219" fontId="50" fillId="154" borderId="4" applyNumberFormat="0" applyBorder="0" applyAlignment="0" applyProtection="0">
      <alignment horizontal="right" vertical="center" indent="1"/>
    </xf>
    <xf numFmtId="219" fontId="50" fillId="155" borderId="4" applyNumberFormat="0" applyBorder="0" applyAlignment="0" applyProtection="0">
      <alignment horizontal="right" vertical="center" indent="1"/>
    </xf>
    <xf numFmtId="219" fontId="51" fillId="156" borderId="4" applyNumberFormat="0" applyBorder="0" applyAlignment="0" applyProtection="0">
      <alignment horizontal="right" vertical="center" indent="1"/>
    </xf>
    <xf numFmtId="219" fontId="51" fillId="157" borderId="4" applyNumberFormat="0" applyBorder="0" applyAlignment="0" applyProtection="0">
      <alignment horizontal="right" vertical="center" indent="1"/>
    </xf>
    <xf numFmtId="219" fontId="51" fillId="158" borderId="4" applyNumberFormat="0" applyBorder="0" applyAlignment="0" applyProtection="0">
      <alignment horizontal="right" vertical="center" indent="1"/>
    </xf>
    <xf numFmtId="219" fontId="52" fillId="159" borderId="4" applyNumberFormat="0" applyBorder="0" applyAlignment="0" applyProtection="0">
      <alignment horizontal="right" vertical="center" indent="1"/>
    </xf>
    <xf numFmtId="219" fontId="52" fillId="160" borderId="4" applyNumberFormat="0" applyBorder="0" applyAlignment="0" applyProtection="0">
      <alignment horizontal="right" vertical="center" indent="1"/>
    </xf>
    <xf numFmtId="219" fontId="52" fillId="161" borderId="4" applyNumberFormat="0" applyBorder="0" applyAlignment="0" applyProtection="0">
      <alignment horizontal="right" vertical="center" indent="1"/>
    </xf>
    <xf numFmtId="0" fontId="53" fillId="0" borderId="141" applyNumberFormat="0" applyFont="0" applyFill="0" applyAlignment="0" applyProtection="0"/>
    <xf numFmtId="219" fontId="47" fillId="162" borderId="141" applyNumberFormat="0" applyAlignment="0" applyProtection="0">
      <alignment horizontal="left" vertical="center" indent="1"/>
    </xf>
    <xf numFmtId="0" fontId="46" fillId="150" borderId="3" applyNumberFormat="0" applyAlignment="0" applyProtection="0">
      <alignment horizontal="left" vertical="center" indent="1"/>
    </xf>
    <xf numFmtId="0" fontId="48" fillId="163" borderId="141" applyNumberFormat="0" applyAlignment="0" applyProtection="0">
      <alignment horizontal="left" vertical="center" indent="1"/>
    </xf>
    <xf numFmtId="0" fontId="48" fillId="164" borderId="141" applyNumberFormat="0" applyAlignment="0" applyProtection="0">
      <alignment horizontal="left" vertical="center" indent="1"/>
    </xf>
    <xf numFmtId="0" fontId="48" fillId="165" borderId="141" applyNumberFormat="0" applyAlignment="0" applyProtection="0">
      <alignment horizontal="left" vertical="center" indent="1"/>
    </xf>
    <xf numFmtId="0" fontId="48" fillId="152" borderId="141" applyNumberFormat="0" applyAlignment="0" applyProtection="0">
      <alignment horizontal="left" vertical="center" indent="1"/>
    </xf>
    <xf numFmtId="0" fontId="48" fillId="151"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19" borderId="3" applyNumberFormat="0" applyAlignment="0" applyProtection="0">
      <alignment horizontal="left" vertical="center" indent="1"/>
    </xf>
    <xf numFmtId="0" fontId="54" fillId="151" borderId="3" applyNumberFormat="0" applyAlignment="0" applyProtection="0">
      <alignment horizontal="left" vertical="center" indent="1"/>
    </xf>
    <xf numFmtId="219" fontId="56" fillId="151" borderId="3" applyNumberFormat="0" applyProtection="0">
      <alignment horizontal="right" vertical="center"/>
    </xf>
    <xf numFmtId="219" fontId="57" fillId="152" borderId="142" applyNumberFormat="0" applyBorder="0" applyProtection="0">
      <alignment horizontal="right" vertical="center"/>
    </xf>
    <xf numFmtId="219" fontId="56" fillId="152" borderId="3" applyNumberFormat="0" applyBorder="0" applyProtection="0">
      <alignment horizontal="right" vertical="center"/>
    </xf>
    <xf numFmtId="219" fontId="47" fillId="0" borderId="142" applyNumberFormat="0" applyFill="0" applyBorder="0" applyAlignment="0" applyProtection="0">
      <alignment horizontal="right" vertical="center"/>
    </xf>
    <xf numFmtId="219" fontId="47" fillId="0" borderId="142" applyNumberFormat="0" applyFill="0" applyBorder="0" applyAlignment="0" applyProtection="0">
      <alignment horizontal="right" vertical="center"/>
    </xf>
    <xf numFmtId="41" fontId="170" fillId="0" borderId="0" applyFont="0" applyFill="0" applyBorder="0" applyAlignment="0" applyProtection="0"/>
    <xf numFmtId="0" fontId="45" fillId="166" borderId="6" applyNumberFormat="0" applyAlignment="0" applyProtection="0">
      <alignment horizontal="left" vertical="center" indent="1"/>
    </xf>
    <xf numFmtId="219" fontId="60" fillId="0" borderId="142" applyNumberFormat="0" applyProtection="0">
      <alignment horizontal="right" vertical="center"/>
    </xf>
    <xf numFmtId="219" fontId="59" fillId="23" borderId="3" applyNumberFormat="0" applyProtection="0">
      <alignment horizontal="right" vertical="center"/>
    </xf>
    <xf numFmtId="219" fontId="60" fillId="0" borderId="6" applyNumberFormat="0" applyAlignment="0" applyProtection="0">
      <alignment horizontal="left" vertical="center" indent="1"/>
    </xf>
    <xf numFmtId="0" fontId="59" fillId="167" borderId="3" applyNumberFormat="0" applyAlignment="0" applyProtection="0">
      <alignment horizontal="left" vertical="center" indent="1"/>
    </xf>
    <xf numFmtId="0" fontId="45" fillId="166" borderId="143" applyNumberFormat="0" applyAlignment="0" applyProtection="0">
      <alignment horizontal="left" vertical="center" indent="1"/>
    </xf>
    <xf numFmtId="0" fontId="42" fillId="166" borderId="141" applyNumberFormat="0" applyAlignment="0" applyProtection="0">
      <alignment horizontal="left" vertical="center" indent="1"/>
    </xf>
    <xf numFmtId="41" fontId="170" fillId="0" borderId="0" applyFont="0" applyFill="0" applyBorder="0" applyAlignment="0" applyProtection="0"/>
    <xf numFmtId="41" fontId="170" fillId="0" borderId="0" applyFont="0" applyFill="0" applyBorder="0" applyAlignment="0" applyProtection="0"/>
    <xf numFmtId="219" fontId="47" fillId="162" borderId="141" applyNumberFormat="0" applyAlignment="0" applyProtection="0">
      <alignment horizontal="left" vertical="center" indent="1"/>
    </xf>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37" fontId="4" fillId="0" borderId="148" applyNumberFormat="0">
      <alignment horizontal="left"/>
      <protection locked="0" hidden="1"/>
    </xf>
    <xf numFmtId="37" fontId="4" fillId="0" borderId="148" applyNumberFormat="0">
      <alignment horizontal="left"/>
      <protection locked="0" hidden="1"/>
    </xf>
    <xf numFmtId="37" fontId="4" fillId="0" borderId="148" applyNumberFormat="0">
      <alignment horizontal="left"/>
      <protection locked="0" hidden="1"/>
    </xf>
    <xf numFmtId="37" fontId="4" fillId="0" borderId="148" applyNumberFormat="0">
      <alignment horizontal="left"/>
      <protection locked="0" hidden="1"/>
    </xf>
    <xf numFmtId="37" fontId="4" fillId="0" borderId="148">
      <alignment horizontal="right"/>
      <protection locked="0" hidden="1"/>
    </xf>
    <xf numFmtId="37" fontId="4" fillId="0" borderId="148">
      <alignment horizontal="right"/>
      <protection locked="0" hidden="1"/>
    </xf>
    <xf numFmtId="37" fontId="4"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9" fontId="4" fillId="0" borderId="148" applyFill="0" applyBorder="0" applyAlignment="0">
      <alignment horizontal="center"/>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37" fontId="116" fillId="0" borderId="148" applyNumberFormat="0">
      <alignment horizontal="left"/>
      <protection locked="0" hidden="1"/>
    </xf>
    <xf numFmtId="0" fontId="62" fillId="168" borderId="0" applyNumberFormat="0" applyBorder="0" applyAlignment="0" applyProtection="0"/>
    <xf numFmtId="0" fontId="62" fillId="169" borderId="0" applyNumberFormat="0" applyBorder="0" applyAlignment="0" applyProtection="0"/>
    <xf numFmtId="0" fontId="62" fillId="170" borderId="0" applyNumberFormat="0" applyBorder="0" applyAlignment="0" applyProtection="0"/>
    <xf numFmtId="0" fontId="62" fillId="171"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7" fillId="174" borderId="0" applyNumberFormat="0" applyBorder="0" applyAlignment="0" applyProtection="0"/>
    <xf numFmtId="0" fontId="1" fillId="134"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1" fillId="134"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1" fillId="134" borderId="0" applyNumberFormat="0" applyBorder="0" applyAlignment="0" applyProtection="0"/>
    <xf numFmtId="0" fontId="1" fillId="134"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1" fillId="134"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1" fillId="134" borderId="0" applyNumberFormat="0" applyBorder="0" applyAlignment="0" applyProtection="0"/>
    <xf numFmtId="0" fontId="1" fillId="134"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1" fillId="134"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68" fillId="168" borderId="0" applyNumberFormat="0" applyBorder="0" applyAlignment="0" applyProtection="0"/>
    <xf numFmtId="0" fontId="170" fillId="134" borderId="0" applyNumberFormat="0" applyBorder="0" applyAlignment="0" applyProtection="0"/>
    <xf numFmtId="0" fontId="69" fillId="168" borderId="0" applyNumberFormat="0" applyBorder="0" applyAlignment="0" applyProtection="0"/>
    <xf numFmtId="0" fontId="170" fillId="134" borderId="0" applyNumberFormat="0" applyBorder="0" applyAlignment="0" applyProtection="0"/>
    <xf numFmtId="0" fontId="69" fillId="168" borderId="0" applyNumberFormat="0" applyBorder="0" applyAlignment="0" applyProtection="0"/>
    <xf numFmtId="0" fontId="68" fillId="168" borderId="0" applyNumberFormat="0" applyBorder="0" applyAlignment="0" applyProtection="0"/>
    <xf numFmtId="0" fontId="69" fillId="169" borderId="0" applyNumberFormat="0" applyBorder="0" applyAlignment="0" applyProtection="0"/>
    <xf numFmtId="0" fontId="67" fillId="175" borderId="0" applyNumberFormat="0" applyBorder="0" applyAlignment="0" applyProtection="0"/>
    <xf numFmtId="0" fontId="170" fillId="140" borderId="0" applyNumberFormat="0" applyBorder="0" applyAlignment="0" applyProtection="0"/>
    <xf numFmtId="0" fontId="67" fillId="176" borderId="0" applyNumberFormat="0" applyBorder="0" applyAlignment="0" applyProtection="0"/>
    <xf numFmtId="0" fontId="170" fillId="143" borderId="0" applyNumberFormat="0" applyBorder="0" applyAlignment="0" applyProtection="0"/>
    <xf numFmtId="0" fontId="170" fillId="143" borderId="0" applyNumberFormat="0" applyBorder="0" applyAlignment="0" applyProtection="0"/>
    <xf numFmtId="0" fontId="69" fillId="171" borderId="0" applyNumberFormat="0" applyBorder="0" applyAlignment="0" applyProtection="0"/>
    <xf numFmtId="0" fontId="67" fillId="177" borderId="0" applyNumberFormat="0" applyBorder="0" applyAlignment="0" applyProtection="0"/>
    <xf numFmtId="0" fontId="170" fillId="146" borderId="0" applyNumberFormat="0" applyBorder="0" applyAlignment="0" applyProtection="0"/>
    <xf numFmtId="0" fontId="67" fillId="178" borderId="0" applyNumberFormat="0" applyBorder="0" applyAlignment="0" applyProtection="0"/>
    <xf numFmtId="0" fontId="170" fillId="148" borderId="0" applyNumberFormat="0" applyBorder="0" applyAlignment="0" applyProtection="0"/>
    <xf numFmtId="0" fontId="62" fillId="179" borderId="0" applyNumberFormat="0" applyBorder="0" applyAlignment="0" applyProtection="0"/>
    <xf numFmtId="0" fontId="62" fillId="177" borderId="0" applyNumberFormat="0" applyBorder="0" applyAlignment="0" applyProtection="0"/>
    <xf numFmtId="0" fontId="62" fillId="174" borderId="0" applyNumberFormat="0" applyBorder="0" applyAlignment="0" applyProtection="0"/>
    <xf numFmtId="0" fontId="62" fillId="171"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67" fillId="174" borderId="0" applyNumberFormat="0" applyBorder="0" applyAlignment="0" applyProtection="0"/>
    <xf numFmtId="0" fontId="170" fillId="135" borderId="0" applyNumberFormat="0" applyBorder="0" applyAlignment="0" applyProtection="0"/>
    <xf numFmtId="0" fontId="69" fillId="177" borderId="0" applyNumberFormat="0" applyBorder="0" applyAlignment="0" applyProtection="0"/>
    <xf numFmtId="0" fontId="67" fillId="181" borderId="0" applyNumberFormat="0" applyBorder="0" applyAlignment="0" applyProtection="0"/>
    <xf numFmtId="0" fontId="1" fillId="141" borderId="0" applyNumberFormat="0" applyBorder="0" applyAlignment="0" applyProtection="0"/>
    <xf numFmtId="0" fontId="170" fillId="141" borderId="0" applyNumberFormat="0" applyBorder="0" applyAlignment="0" applyProtection="0"/>
    <xf numFmtId="0" fontId="69" fillId="174" borderId="0" applyNumberFormat="0" applyBorder="0" applyAlignment="0" applyProtection="0"/>
    <xf numFmtId="0" fontId="68" fillId="174" borderId="0" applyNumberFormat="0" applyBorder="0" applyAlignment="0" applyProtection="0"/>
    <xf numFmtId="0" fontId="67" fillId="182" borderId="0" applyNumberFormat="0" applyBorder="0" applyAlignment="0" applyProtection="0"/>
    <xf numFmtId="0" fontId="170" fillId="144" borderId="0" applyNumberFormat="0" applyBorder="0" applyAlignment="0" applyProtection="0"/>
    <xf numFmtId="0" fontId="67" fillId="177" borderId="0" applyNumberFormat="0" applyBorder="0" applyAlignment="0" applyProtection="0"/>
    <xf numFmtId="0" fontId="170" fillId="147" borderId="0" applyNumberFormat="0" applyBorder="0" applyAlignment="0" applyProtection="0"/>
    <xf numFmtId="0" fontId="69" fillId="180" borderId="0" applyNumberFormat="0" applyBorder="0" applyAlignment="0" applyProtection="0"/>
    <xf numFmtId="0" fontId="70" fillId="183" borderId="0" applyNumberFormat="0" applyBorder="0" applyAlignment="0" applyProtection="0"/>
    <xf numFmtId="0" fontId="70" fillId="177" borderId="0" applyNumberFormat="0" applyBorder="0" applyAlignment="0" applyProtection="0"/>
    <xf numFmtId="0" fontId="70" fillId="174"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0" fillId="186" borderId="0" applyNumberFormat="0" applyBorder="0" applyAlignment="0" applyProtection="0"/>
    <xf numFmtId="0" fontId="71" fillId="174" borderId="0" applyNumberFormat="0" applyBorder="0" applyAlignment="0" applyProtection="0"/>
    <xf numFmtId="0" fontId="13" fillId="136" borderId="0" applyNumberFormat="0" applyBorder="0" applyAlignment="0" applyProtection="0"/>
    <xf numFmtId="0" fontId="71" fillId="181" borderId="0" applyNumberFormat="0" applyBorder="0" applyAlignment="0" applyProtection="0"/>
    <xf numFmtId="0" fontId="13" fillId="142" borderId="0" applyNumberFormat="0" applyBorder="0" applyAlignment="0" applyProtection="0"/>
    <xf numFmtId="220" fontId="218" fillId="0" borderId="0" applyNumberFormat="0" applyFill="0" applyBorder="0" applyAlignment="0"/>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37" fontId="74" fillId="0" borderId="144">
      <alignment horizontal="center"/>
    </xf>
    <xf numFmtId="0" fontId="67" fillId="174" borderId="0" applyNumberFormat="0" applyBorder="0" applyAlignment="0" applyProtection="0"/>
    <xf numFmtId="39" fontId="219" fillId="0" borderId="10" applyFill="0" applyBorder="0" applyAlignment="0">
      <alignment horizontal="center"/>
    </xf>
    <xf numFmtId="0" fontId="76" fillId="170" borderId="0" applyNumberFormat="0" applyBorder="0" applyAlignment="0" applyProtection="0"/>
    <xf numFmtId="0" fontId="4" fillId="40" borderId="126" applyNumberFormat="0" applyFont="0" applyAlignment="0" applyProtection="0"/>
    <xf numFmtId="0" fontId="77" fillId="187" borderId="12" applyNumberFormat="0" applyAlignment="0" applyProtection="0"/>
    <xf numFmtId="0" fontId="39" fillId="130" borderId="13" applyNumberFormat="0" applyAlignment="0" applyProtection="0"/>
    <xf numFmtId="15" fontId="219" fillId="0" borderId="0">
      <alignment horizontal="center"/>
    </xf>
    <xf numFmtId="0" fontId="79" fillId="176" borderId="15" applyNumberFormat="0" applyAlignment="0" applyProtection="0"/>
    <xf numFmtId="0" fontId="40" fillId="131" borderId="16" applyNumberFormat="0" applyAlignment="0" applyProtection="0"/>
    <xf numFmtId="0" fontId="81" fillId="189" borderId="17"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70" fillId="190" borderId="0" applyNumberFormat="0" applyBorder="0" applyAlignment="0" applyProtection="0"/>
    <xf numFmtId="0" fontId="70" fillId="191" borderId="0" applyNumberFormat="0" applyBorder="0" applyAlignment="0" applyProtection="0"/>
    <xf numFmtId="0" fontId="70" fillId="181"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0" fillId="192" borderId="0" applyNumberFormat="0" applyBorder="0" applyAlignment="0" applyProtection="0"/>
    <xf numFmtId="0" fontId="71" fillId="186" borderId="0" applyNumberFormat="0" applyBorder="0" applyAlignment="0" applyProtection="0"/>
    <xf numFmtId="0" fontId="13" fillId="133" borderId="0" applyNumberFormat="0" applyBorder="0" applyAlignment="0" applyProtection="0"/>
    <xf numFmtId="0" fontId="13" fillId="133" borderId="0" applyNumberFormat="0" applyBorder="0" applyAlignment="0" applyProtection="0"/>
    <xf numFmtId="0" fontId="71" fillId="193" borderId="0" applyNumberFormat="0" applyBorder="0" applyAlignment="0" applyProtection="0"/>
    <xf numFmtId="0" fontId="13" fillId="139" borderId="0" applyNumberFormat="0" applyBorder="0" applyAlignment="0" applyProtection="0"/>
    <xf numFmtId="0" fontId="71" fillId="194" borderId="0" applyNumberFormat="0" applyBorder="0" applyAlignment="0" applyProtection="0"/>
    <xf numFmtId="0" fontId="13" fillId="145" borderId="0" applyNumberFormat="0" applyBorder="0" applyAlignment="0" applyProtection="0"/>
    <xf numFmtId="0" fontId="13" fillId="145" borderId="0" applyNumberFormat="0" applyBorder="0" applyAlignment="0" applyProtection="0"/>
    <xf numFmtId="168" fontId="68" fillId="195" borderId="19" applyFont="0" applyBorder="0"/>
    <xf numFmtId="168" fontId="220" fillId="196" borderId="20">
      <protection locked="0"/>
    </xf>
    <xf numFmtId="0" fontId="4" fillId="197" borderId="0" applyFont="0"/>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194" fontId="43" fillId="0" borderId="0" applyFont="0" applyFill="0" applyBorder="0" applyAlignment="0" applyProtection="0">
      <alignment vertical="center"/>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38" fontId="43" fillId="56" borderId="0" applyNumberFormat="0" applyBorder="0" applyAlignment="0" applyProtection="0"/>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1"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0" fontId="92" fillId="0" borderId="0" applyNumberFormat="0" applyFill="0" applyBorder="0" applyAlignment="0" applyProtection="0">
      <alignment vertical="top"/>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199" fontId="94" fillId="0" borderId="140" applyBorder="0"/>
    <xf numFmtId="0" fontId="97" fillId="198" borderId="0" applyNumberFormat="0" applyBorder="0" applyAlignment="0" applyProtection="0"/>
    <xf numFmtId="0" fontId="37" fillId="128" borderId="0" applyNumberFormat="0" applyBorder="0" applyAlignment="0" applyProtection="0"/>
    <xf numFmtId="0" fontId="99" fillId="169" borderId="0"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10" fontId="43" fillId="65" borderId="126" applyNumberFormat="0" applyBorder="0" applyAlignment="0" applyProtection="0"/>
    <xf numFmtId="0" fontId="101" fillId="0" borderId="22" applyNumberFormat="0" applyBorder="0" applyAlignment="0">
      <alignment horizontal="left"/>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38" fontId="87" fillId="0" borderId="133">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0" fontId="87" fillId="0" borderId="133">
      <alignment vertical="center"/>
    </xf>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40" fontId="87" fillId="0" borderId="139" applyBorder="0">
      <alignment vertical="center"/>
    </xf>
    <xf numFmtId="0" fontId="104" fillId="199" borderId="0" applyNumberFormat="0" applyBorder="0" applyAlignment="0" applyProtection="0"/>
    <xf numFmtId="203" fontId="221" fillId="0" borderId="0"/>
    <xf numFmtId="0" fontId="62" fillId="194" borderId="25" applyNumberFormat="0" applyFont="0" applyAlignment="0" applyProtection="0"/>
    <xf numFmtId="0" fontId="103" fillId="132" borderId="26" applyNumberFormat="0" applyFont="0" applyAlignment="0" applyProtection="0"/>
    <xf numFmtId="0" fontId="69" fillId="194" borderId="25" applyNumberFormat="0" applyFont="0" applyAlignment="0" applyProtection="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39" fontId="219" fillId="0" borderId="148" applyFill="0" applyBorder="0" applyAlignment="0">
      <alignment horizontal="center"/>
    </xf>
    <xf numFmtId="0" fontId="67" fillId="174" borderId="0" applyNumberForma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112" fillId="188" borderId="44" applyNumberFormat="0" applyAlignment="0" applyProtection="0"/>
    <xf numFmtId="0" fontId="113" fillId="187" borderId="45" applyNumberFormat="0" applyAlignment="0" applyProtection="0"/>
    <xf numFmtId="0" fontId="38" fillId="130" borderId="46" applyNumberFormat="0" applyAlignment="0" applyProtection="0"/>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37" fontId="116" fillId="0" borderId="10" applyNumberFormat="0">
      <alignment horizontal="left"/>
      <protection locked="0" hidden="1"/>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45" applyNumberFormat="0" applyFont="0" applyFill="0" applyAlignment="0" applyProtection="0"/>
    <xf numFmtId="37" fontId="107" fillId="0" borderId="148">
      <alignment horizontal="right"/>
      <protection locked="0" hidden="1"/>
    </xf>
    <xf numFmtId="37" fontId="4" fillId="0" borderId="148">
      <alignment horizontal="right"/>
      <protection locked="0" hidden="1"/>
    </xf>
    <xf numFmtId="0" fontId="62" fillId="169" borderId="0" applyNumberFormat="0" applyBorder="0" applyAlignment="0" applyProtection="0"/>
    <xf numFmtId="0" fontId="62" fillId="170" borderId="0" applyNumberFormat="0" applyBorder="0" applyAlignment="0" applyProtection="0"/>
    <xf numFmtId="0" fontId="62" fillId="172" borderId="0" applyNumberFormat="0" applyBorder="0" applyAlignment="0" applyProtection="0"/>
    <xf numFmtId="0" fontId="62" fillId="173" borderId="0" applyNumberFormat="0" applyBorder="0" applyAlignment="0" applyProtection="0"/>
    <xf numFmtId="0" fontId="62" fillId="179" borderId="0" applyNumberFormat="0" applyBorder="0" applyAlignment="0" applyProtection="0"/>
    <xf numFmtId="0" fontId="62" fillId="177" borderId="0" applyNumberFormat="0" applyBorder="0" applyAlignment="0" applyProtection="0"/>
    <xf numFmtId="0" fontId="62" fillId="171" borderId="0" applyNumberFormat="0" applyBorder="0" applyAlignment="0" applyProtection="0"/>
    <xf numFmtId="0" fontId="62" fillId="179" borderId="0" applyNumberFormat="0" applyBorder="0" applyAlignment="0" applyProtection="0"/>
    <xf numFmtId="0" fontId="62" fillId="180" borderId="0" applyNumberFormat="0" applyBorder="0" applyAlignment="0" applyProtection="0"/>
    <xf numFmtId="0" fontId="70" fillId="183" borderId="0" applyNumberFormat="0" applyBorder="0" applyAlignment="0" applyProtection="0"/>
    <xf numFmtId="0" fontId="70" fillId="177" borderId="0" applyNumberFormat="0" applyBorder="0" applyAlignment="0" applyProtection="0"/>
    <xf numFmtId="0" fontId="70" fillId="177" borderId="0" applyNumberFormat="0" applyBorder="0" applyAlignment="0" applyProtection="0"/>
    <xf numFmtId="0" fontId="70" fillId="174"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70" fillId="186" borderId="0" applyNumberFormat="0" applyBorder="0" applyAlignment="0" applyProtection="0"/>
    <xf numFmtId="0" fontId="70" fillId="186" borderId="0" applyNumberFormat="0" applyBorder="0" applyAlignment="0" applyProtection="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220" fontId="4" fillId="0" borderId="0" applyNumberFormat="0" applyFill="0" applyBorder="0" applyAlignment="0"/>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39" fontId="4" fillId="0" borderId="10" applyFill="0" applyBorder="0" applyAlignment="0">
      <alignment horizontal="center"/>
    </xf>
    <xf numFmtId="0" fontId="76" fillId="170" borderId="0" applyNumberFormat="0" applyBorder="0" applyAlignment="0" applyProtection="0"/>
    <xf numFmtId="0" fontId="76" fillId="170" borderId="0" applyNumberFormat="0" applyBorder="0" applyAlignment="0" applyProtection="0"/>
    <xf numFmtId="0" fontId="123" fillId="188" borderId="14" applyNumberFormat="0" applyAlignment="0" applyProtection="0"/>
    <xf numFmtId="0" fontId="81" fillId="189" borderId="17" applyNumberFormat="0" applyAlignment="0" applyProtection="0"/>
    <xf numFmtId="0" fontId="43" fillId="0" borderId="134"/>
    <xf numFmtId="0" fontId="222" fillId="0" borderId="137">
      <alignment horizontal="center"/>
    </xf>
    <xf numFmtId="0" fontId="70" fillId="191" borderId="0" applyNumberFormat="0" applyBorder="0" applyAlignment="0" applyProtection="0"/>
    <xf numFmtId="0" fontId="70" fillId="191" borderId="0" applyNumberFormat="0" applyBorder="0" applyAlignment="0" applyProtection="0"/>
    <xf numFmtId="0" fontId="70" fillId="181"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70" fillId="192" borderId="0" applyNumberFormat="0" applyBorder="0" applyAlignment="0" applyProtection="0"/>
    <xf numFmtId="0" fontId="70" fillId="192" borderId="0" applyNumberFormat="0" applyBorder="0" applyAlignment="0" applyProtection="0"/>
    <xf numFmtId="0" fontId="125" fillId="173" borderId="14" applyNumberFormat="0" applyAlignment="0" applyProtection="0"/>
    <xf numFmtId="0" fontId="125" fillId="173" borderId="14" applyNumberFormat="0" applyAlignment="0" applyProtection="0"/>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0" fontId="99" fillId="169" borderId="0" applyNumberFormat="0" applyBorder="0" applyAlignment="0" applyProtection="0"/>
    <xf numFmtId="3" fontId="127" fillId="76" borderId="126">
      <protection locked="0"/>
    </xf>
    <xf numFmtId="0" fontId="104" fillId="199" borderId="0" applyNumberFormat="0" applyBorder="0" applyAlignment="0" applyProtection="0"/>
    <xf numFmtId="0" fontId="104" fillId="199" borderId="0" applyNumberFormat="0" applyBorder="0" applyAlignment="0" applyProtection="0"/>
    <xf numFmtId="0" fontId="62" fillId="194" borderId="25" applyNumberFormat="0" applyFont="0" applyAlignment="0" applyProtection="0"/>
    <xf numFmtId="0" fontId="62" fillId="194" borderId="25" applyNumberFormat="0" applyFont="0" applyAlignment="0" applyProtection="0"/>
    <xf numFmtId="0" fontId="62" fillId="194" borderId="25" applyNumberFormat="0" applyFont="0" applyAlignment="0" applyProtection="0"/>
    <xf numFmtId="0" fontId="62" fillId="194" borderId="25" applyNumberFormat="0" applyFont="0" applyAlignment="0" applyProtection="0"/>
    <xf numFmtId="0" fontId="62" fillId="194" borderId="25" applyNumberFormat="0" applyFont="0" applyAlignment="0" applyProtection="0"/>
    <xf numFmtId="0" fontId="62" fillId="194" borderId="25" applyNumberFormat="0" applyFont="0" applyAlignment="0" applyProtection="0"/>
    <xf numFmtId="0" fontId="62" fillId="194" borderId="25" applyNumberFormat="0" applyFont="0" applyAlignment="0" applyProtection="0"/>
    <xf numFmtId="0" fontId="62" fillId="194" borderId="25" applyNumberFormat="0" applyFont="0" applyAlignment="0" applyProtection="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9" fontId="84" fillId="0" borderId="138" applyBorder="0"/>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84" fillId="0" borderId="0" applyNumberFormat="0" applyFont="0" applyFill="0" applyBorder="0" applyAlignment="0" applyProtection="0">
      <alignment horizontal="left"/>
    </xf>
    <xf numFmtId="0" fontId="112" fillId="188" borderId="44" applyNumberFormat="0" applyAlignment="0" applyProtection="0"/>
    <xf numFmtId="0" fontId="128" fillId="0" borderId="146">
      <alignment horizontal="left"/>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37" fontId="4" fillId="0" borderId="10" applyNumberFormat="0">
      <alignment horizontal="left"/>
      <protection locked="0" hidden="1"/>
    </xf>
    <xf numFmtId="0" fontId="130" fillId="200" borderId="147" applyNumberFormat="0">
      <alignment horizontal="left"/>
    </xf>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43" fontId="170" fillId="0" borderId="0" applyFont="0" applyFill="0" applyBorder="0" applyAlignment="0" applyProtection="0"/>
    <xf numFmtId="43" fontId="4" fillId="0" borderId="0" applyFont="0" applyFill="0" applyBorder="0" applyAlignment="0" applyProtection="0"/>
    <xf numFmtId="0" fontId="96" fillId="0" borderId="0" applyNumberFormat="0" applyFill="0" applyBorder="0" applyAlignment="0" applyProtection="0">
      <alignment vertical="top"/>
      <protection locked="0"/>
    </xf>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37" fontId="4" fillId="0" borderId="148" applyNumberFormat="0">
      <alignment horizontal="left"/>
      <protection locked="0" hidden="1"/>
    </xf>
    <xf numFmtId="37" fontId="4" fillId="0" borderId="148" applyNumberFormat="0">
      <alignment horizontal="left"/>
      <protection locked="0" hidden="1"/>
    </xf>
    <xf numFmtId="37" fontId="4" fillId="0" borderId="148">
      <alignment horizontal="right"/>
      <protection locked="0" hidden="1"/>
    </xf>
    <xf numFmtId="37" fontId="4" fillId="0" borderId="148">
      <alignment horizontal="right"/>
      <protection locked="0" hidden="1"/>
    </xf>
    <xf numFmtId="37" fontId="107" fillId="0" borderId="148">
      <alignment horizontal="right"/>
      <protection locked="0" hidden="1"/>
    </xf>
    <xf numFmtId="37" fontId="107" fillId="0" borderId="148">
      <alignment horizontal="right"/>
      <protection locked="0" hidden="1"/>
    </xf>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68" borderId="0" applyNumberFormat="0" applyBorder="0" applyAlignment="0" applyProtection="0"/>
    <xf numFmtId="0" fontId="62" fillId="168" borderId="0" applyNumberFormat="0" applyBorder="0" applyAlignment="0" applyProtection="0"/>
    <xf numFmtId="0" fontId="67" fillId="174" borderId="0" applyNumberFormat="0" applyBorder="0" applyAlignment="0" applyProtection="0"/>
    <xf numFmtId="0" fontId="62" fillId="168" borderId="0" applyNumberFormat="0" applyBorder="0" applyAlignment="0" applyProtection="0"/>
    <xf numFmtId="0" fontId="170" fillId="134"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6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62" fillId="168" borderId="0" applyNumberFormat="0" applyBorder="0" applyAlignment="0" applyProtection="0"/>
    <xf numFmtId="0" fontId="133" fillId="201" borderId="0" applyNumberFormat="0" applyBorder="0" applyAlignment="0" applyProtection="0"/>
    <xf numFmtId="0" fontId="133" fillId="20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62" fillId="169" borderId="0" applyNumberFormat="0" applyBorder="0" applyAlignment="0" applyProtection="0"/>
    <xf numFmtId="0" fontId="62" fillId="169"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62" fillId="169" borderId="0" applyNumberFormat="0" applyBorder="0" applyAlignment="0" applyProtection="0"/>
    <xf numFmtId="0" fontId="170" fillId="137" borderId="0" applyNumberFormat="0" applyBorder="0" applyAlignment="0" applyProtection="0"/>
    <xf numFmtId="0" fontId="133" fillId="171" borderId="0" applyNumberFormat="0" applyBorder="0" applyAlignment="0" applyProtection="0"/>
    <xf numFmtId="0" fontId="170" fillId="137" borderId="0" applyNumberFormat="0" applyBorder="0" applyAlignment="0" applyProtection="0"/>
    <xf numFmtId="0" fontId="62" fillId="169"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62" fillId="169"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1"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03"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103" fillId="175"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67" fillId="175" borderId="0" applyNumberFormat="0" applyBorder="0" applyAlignment="0" applyProtection="0"/>
    <xf numFmtId="0" fontId="62" fillId="170" borderId="0" applyNumberFormat="0" applyBorder="0" applyAlignment="0" applyProtection="0"/>
    <xf numFmtId="0" fontId="170" fillId="140" borderId="0" applyNumberFormat="0" applyBorder="0" applyAlignment="0" applyProtection="0"/>
    <xf numFmtId="0" fontId="133" fillId="178" borderId="0" applyNumberFormat="0" applyBorder="0" applyAlignment="0" applyProtection="0"/>
    <xf numFmtId="0" fontId="170" fillId="140"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0"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62" fillId="171" borderId="0" applyNumberFormat="0" applyBorder="0" applyAlignment="0" applyProtection="0"/>
    <xf numFmtId="0" fontId="62" fillId="171" borderId="0" applyNumberFormat="0" applyBorder="0" applyAlignment="0" applyProtection="0"/>
    <xf numFmtId="0" fontId="133" fillId="179" borderId="0" applyNumberFormat="0" applyBorder="0" applyAlignment="0" applyProtection="0"/>
    <xf numFmtId="0" fontId="103"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103" fillId="176"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67" fillId="176" borderId="0" applyNumberFormat="0" applyBorder="0" applyAlignment="0" applyProtection="0"/>
    <xf numFmtId="0" fontId="62" fillId="171" borderId="0" applyNumberFormat="0" applyBorder="0" applyAlignment="0" applyProtection="0"/>
    <xf numFmtId="0" fontId="170" fillId="143"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62" fillId="171"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62" fillId="171"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79"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62" fillId="172" borderId="0" applyNumberFormat="0" applyBorder="0" applyAlignment="0" applyProtection="0"/>
    <xf numFmtId="0" fontId="62" fillId="172" borderId="0" applyNumberFormat="0" applyBorder="0" applyAlignment="0" applyProtection="0"/>
    <xf numFmtId="0" fontId="133" fillId="193" borderId="0" applyNumberFormat="0" applyBorder="0" applyAlignment="0" applyProtection="0"/>
    <xf numFmtId="0" fontId="103"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67" fillId="177" borderId="0" applyNumberFormat="0" applyBorder="0" applyAlignment="0" applyProtection="0"/>
    <xf numFmtId="0" fontId="62" fillId="172" borderId="0" applyNumberFormat="0" applyBorder="0" applyAlignment="0" applyProtection="0"/>
    <xf numFmtId="0" fontId="170" fillId="146" borderId="0" applyNumberFormat="0" applyBorder="0" applyAlignment="0" applyProtection="0"/>
    <xf numFmtId="0" fontId="133" fillId="193" borderId="0" applyNumberFormat="0" applyBorder="0" applyAlignment="0" applyProtection="0"/>
    <xf numFmtId="0" fontId="170" fillId="146" borderId="0" applyNumberFormat="0" applyBorder="0" applyAlignment="0" applyProtection="0"/>
    <xf numFmtId="0" fontId="62" fillId="172"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62" fillId="172"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93"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62" fillId="173" borderId="0" applyNumberFormat="0" applyBorder="0" applyAlignment="0" applyProtection="0"/>
    <xf numFmtId="0" fontId="62" fillId="173" borderId="0" applyNumberFormat="0" applyBorder="0" applyAlignment="0" applyProtection="0"/>
    <xf numFmtId="0" fontId="133" fillId="182" borderId="0" applyNumberFormat="0" applyBorder="0" applyAlignment="0" applyProtection="0"/>
    <xf numFmtId="0" fontId="103" fillId="178" borderId="0" applyNumberFormat="0" applyBorder="0" applyAlignment="0" applyProtection="0"/>
    <xf numFmtId="0" fontId="103" fillId="178" borderId="0" applyNumberFormat="0" applyBorder="0" applyAlignment="0" applyProtection="0"/>
    <xf numFmtId="0" fontId="67" fillId="178" borderId="0" applyNumberFormat="0" applyBorder="0" applyAlignment="0" applyProtection="0"/>
    <xf numFmtId="0" fontId="103" fillId="178" borderId="0" applyNumberFormat="0" applyBorder="0" applyAlignment="0" applyProtection="0"/>
    <xf numFmtId="0" fontId="67" fillId="178" borderId="0" applyNumberFormat="0" applyBorder="0" applyAlignment="0" applyProtection="0"/>
    <xf numFmtId="0" fontId="62" fillId="173" borderId="0" applyNumberFormat="0" applyBorder="0" applyAlignment="0" applyProtection="0"/>
    <xf numFmtId="0" fontId="67" fillId="178" borderId="0" applyNumberFormat="0" applyBorder="0" applyAlignment="0" applyProtection="0"/>
    <xf numFmtId="0" fontId="62" fillId="173" borderId="0" applyNumberFormat="0" applyBorder="0" applyAlignment="0" applyProtection="0"/>
    <xf numFmtId="0" fontId="170" fillId="148" borderId="0" applyNumberFormat="0" applyBorder="0" applyAlignment="0" applyProtection="0"/>
    <xf numFmtId="0" fontId="133" fillId="182" borderId="0" applyNumberFormat="0" applyBorder="0" applyAlignment="0" applyProtection="0"/>
    <xf numFmtId="0" fontId="170" fillId="148" borderId="0" applyNumberFormat="0" applyBorder="0" applyAlignment="0" applyProtection="0"/>
    <xf numFmtId="0" fontId="62" fillId="173"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62" fillId="173"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18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9" borderId="0" applyNumberFormat="0" applyBorder="0" applyAlignment="0" applyProtection="0"/>
    <xf numFmtId="0" fontId="62" fillId="179" borderId="0" applyNumberFormat="0" applyBorder="0" applyAlignment="0" applyProtection="0"/>
    <xf numFmtId="0" fontId="133" fillId="202" borderId="0" applyNumberFormat="0" applyBorder="0" applyAlignment="0" applyProtection="0"/>
    <xf numFmtId="0" fontId="103"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103" fillId="174" borderId="0" applyNumberFormat="0" applyBorder="0" applyAlignment="0" applyProtection="0"/>
    <xf numFmtId="0" fontId="67" fillId="174" borderId="0" applyNumberFormat="0" applyBorder="0" applyAlignment="0" applyProtection="0"/>
    <xf numFmtId="0" fontId="62" fillId="179" borderId="0" applyNumberFormat="0" applyBorder="0" applyAlignment="0" applyProtection="0"/>
    <xf numFmtId="0" fontId="67" fillId="174" borderId="0" applyNumberFormat="0" applyBorder="0" applyAlignment="0" applyProtection="0"/>
    <xf numFmtId="0" fontId="62" fillId="179" borderId="0" applyNumberFormat="0" applyBorder="0" applyAlignment="0" applyProtection="0"/>
    <xf numFmtId="0" fontId="170" fillId="135" borderId="0" applyNumberFormat="0" applyBorder="0" applyAlignment="0" applyProtection="0"/>
    <xf numFmtId="0" fontId="133" fillId="202" borderId="0" applyNumberFormat="0" applyBorder="0" applyAlignment="0" applyProtection="0"/>
    <xf numFmtId="0" fontId="170" fillId="135" borderId="0" applyNumberFormat="0" applyBorder="0" applyAlignment="0" applyProtection="0"/>
    <xf numFmtId="0" fontId="62" fillId="179"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62" fillId="179"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202"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7" borderId="0" applyNumberFormat="0" applyBorder="0" applyAlignment="0" applyProtection="0"/>
    <xf numFmtId="0" fontId="62" fillId="17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7" borderId="0" applyNumberFormat="0" applyBorder="0" applyAlignment="0" applyProtection="0"/>
    <xf numFmtId="0" fontId="170" fillId="138" borderId="0" applyNumberFormat="0" applyBorder="0" applyAlignment="0" applyProtection="0"/>
    <xf numFmtId="0" fontId="133" fillId="187" borderId="0" applyNumberFormat="0" applyBorder="0" applyAlignment="0" applyProtection="0"/>
    <xf numFmtId="0" fontId="170" fillId="138" borderId="0" applyNumberFormat="0" applyBorder="0" applyAlignment="0" applyProtection="0"/>
    <xf numFmtId="0" fontId="62" fillId="17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62" fillId="17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87"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4" borderId="0" applyNumberFormat="0" applyBorder="0" applyAlignment="0" applyProtection="0"/>
    <xf numFmtId="0" fontId="62" fillId="174" borderId="0" applyNumberFormat="0" applyBorder="0" applyAlignment="0" applyProtection="0"/>
    <xf numFmtId="0" fontId="133" fillId="178" borderId="0" applyNumberFormat="0" applyBorder="0" applyAlignment="0" applyProtection="0"/>
    <xf numFmtId="0" fontId="67" fillId="181" borderId="0" applyNumberFormat="0" applyBorder="0" applyAlignment="0" applyProtection="0"/>
    <xf numFmtId="0" fontId="62" fillId="174" borderId="0" applyNumberFormat="0" applyBorder="0" applyAlignment="0" applyProtection="0"/>
    <xf numFmtId="0" fontId="67" fillId="181" borderId="0" applyNumberFormat="0" applyBorder="0" applyAlignment="0" applyProtection="0"/>
    <xf numFmtId="0" fontId="62" fillId="174" borderId="0" applyNumberFormat="0" applyBorder="0" applyAlignment="0" applyProtection="0"/>
    <xf numFmtId="0" fontId="170" fillId="141" borderId="0" applyNumberFormat="0" applyBorder="0" applyAlignment="0" applyProtection="0"/>
    <xf numFmtId="0" fontId="133" fillId="178" borderId="0" applyNumberFormat="0" applyBorder="0" applyAlignment="0" applyProtection="0"/>
    <xf numFmtId="0" fontId="62" fillId="174"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62" fillId="174"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178"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1" borderId="0" applyNumberFormat="0" applyBorder="0" applyAlignment="0" applyProtection="0"/>
    <xf numFmtId="0" fontId="62" fillId="171" borderId="0" applyNumberFormat="0" applyBorder="0" applyAlignment="0" applyProtection="0"/>
    <xf numFmtId="0" fontId="133" fillId="203" borderId="0" applyNumberFormat="0" applyBorder="0" applyAlignment="0" applyProtection="0"/>
    <xf numFmtId="0" fontId="103" fillId="182" borderId="0" applyNumberFormat="0" applyBorder="0" applyAlignment="0" applyProtection="0"/>
    <xf numFmtId="0" fontId="103" fillId="182" borderId="0" applyNumberFormat="0" applyBorder="0" applyAlignment="0" applyProtection="0"/>
    <xf numFmtId="0" fontId="67" fillId="182" borderId="0" applyNumberFormat="0" applyBorder="0" applyAlignment="0" applyProtection="0"/>
    <xf numFmtId="0" fontId="103" fillId="182" borderId="0" applyNumberFormat="0" applyBorder="0" applyAlignment="0" applyProtection="0"/>
    <xf numFmtId="0" fontId="67" fillId="182" borderId="0" applyNumberFormat="0" applyBorder="0" applyAlignment="0" applyProtection="0"/>
    <xf numFmtId="0" fontId="62" fillId="171" borderId="0" applyNumberFormat="0" applyBorder="0" applyAlignment="0" applyProtection="0"/>
    <xf numFmtId="0" fontId="67" fillId="182" borderId="0" applyNumberFormat="0" applyBorder="0" applyAlignment="0" applyProtection="0"/>
    <xf numFmtId="0" fontId="62" fillId="171" borderId="0" applyNumberFormat="0" applyBorder="0" applyAlignment="0" applyProtection="0"/>
    <xf numFmtId="0" fontId="170" fillId="144" borderId="0" applyNumberFormat="0" applyBorder="0" applyAlignment="0" applyProtection="0"/>
    <xf numFmtId="0" fontId="133" fillId="203" borderId="0" applyNumberFormat="0" applyBorder="0" applyAlignment="0" applyProtection="0"/>
    <xf numFmtId="0" fontId="170" fillId="144" borderId="0" applyNumberFormat="0" applyBorder="0" applyAlignment="0" applyProtection="0"/>
    <xf numFmtId="0" fontId="62" fillId="171"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62" fillId="171"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3"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62" fillId="179" borderId="0" applyNumberFormat="0" applyBorder="0" applyAlignment="0" applyProtection="0"/>
    <xf numFmtId="0" fontId="62" fillId="179" borderId="0" applyNumberFormat="0" applyBorder="0" applyAlignment="0" applyProtection="0"/>
    <xf numFmtId="0" fontId="133" fillId="204" borderId="0" applyNumberFormat="0" applyBorder="0" applyAlignment="0" applyProtection="0"/>
    <xf numFmtId="0" fontId="103"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103" fillId="177" borderId="0" applyNumberFormat="0" applyBorder="0" applyAlignment="0" applyProtection="0"/>
    <xf numFmtId="0" fontId="67" fillId="177" borderId="0" applyNumberFormat="0" applyBorder="0" applyAlignment="0" applyProtection="0"/>
    <xf numFmtId="0" fontId="62" fillId="179" borderId="0" applyNumberFormat="0" applyBorder="0" applyAlignment="0" applyProtection="0"/>
    <xf numFmtId="0" fontId="67" fillId="177" borderId="0" applyNumberFormat="0" applyBorder="0" applyAlignment="0" applyProtection="0"/>
    <xf numFmtId="0" fontId="62" fillId="179" borderId="0" applyNumberFormat="0" applyBorder="0" applyAlignment="0" applyProtection="0"/>
    <xf numFmtId="0" fontId="170" fillId="147" borderId="0" applyNumberFormat="0" applyBorder="0" applyAlignment="0" applyProtection="0"/>
    <xf numFmtId="0" fontId="133" fillId="204" borderId="0" applyNumberFormat="0" applyBorder="0" applyAlignment="0" applyProtection="0"/>
    <xf numFmtId="0" fontId="170" fillId="147" borderId="0" applyNumberFormat="0" applyBorder="0" applyAlignment="0" applyProtection="0"/>
    <xf numFmtId="0" fontId="62" fillId="179"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62" fillId="179"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204"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62" fillId="180" borderId="0" applyNumberFormat="0" applyBorder="0" applyAlignment="0" applyProtection="0"/>
    <xf numFmtId="0" fontId="62" fillId="180"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62" fillId="180" borderId="0" applyNumberFormat="0" applyBorder="0" applyAlignment="0" applyProtection="0"/>
    <xf numFmtId="0" fontId="170" fillId="149" borderId="0" applyNumberFormat="0" applyBorder="0" applyAlignment="0" applyProtection="0"/>
    <xf numFmtId="0" fontId="133" fillId="188" borderId="0" applyNumberFormat="0" applyBorder="0" applyAlignment="0" applyProtection="0"/>
    <xf numFmtId="0" fontId="170" fillId="149" borderId="0" applyNumberFormat="0" applyBorder="0" applyAlignment="0" applyProtection="0"/>
    <xf numFmtId="0" fontId="62" fillId="180"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62" fillId="180"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3" fillId="188"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70" fillId="183" borderId="0" applyNumberFormat="0" applyBorder="0" applyAlignment="0" applyProtection="0"/>
    <xf numFmtId="0" fontId="70" fillId="183" borderId="0" applyNumberFormat="0" applyBorder="0" applyAlignment="0" applyProtection="0"/>
    <xf numFmtId="0" fontId="135" fillId="202" borderId="0" applyNumberFormat="0" applyBorder="0" applyAlignment="0" applyProtection="0"/>
    <xf numFmtId="0" fontId="70" fillId="174" borderId="0" applyNumberFormat="0" applyBorder="0" applyAlignment="0" applyProtection="0"/>
    <xf numFmtId="0" fontId="70" fillId="174" borderId="0" applyNumberFormat="0" applyBorder="0" applyAlignment="0" applyProtection="0"/>
    <xf numFmtId="0" fontId="71" fillId="174" borderId="0" applyNumberFormat="0" applyBorder="0" applyAlignment="0" applyProtection="0"/>
    <xf numFmtId="0" fontId="70" fillId="174" borderId="0" applyNumberFormat="0" applyBorder="0" applyAlignment="0" applyProtection="0"/>
    <xf numFmtId="0" fontId="71" fillId="174" borderId="0" applyNumberFormat="0" applyBorder="0" applyAlignment="0" applyProtection="0"/>
    <xf numFmtId="0" fontId="70" fillId="183" borderId="0" applyNumberFormat="0" applyBorder="0" applyAlignment="0" applyProtection="0"/>
    <xf numFmtId="0" fontId="71" fillId="174" borderId="0" applyNumberFormat="0" applyBorder="0" applyAlignment="0" applyProtection="0"/>
    <xf numFmtId="0" fontId="70" fillId="183" borderId="0" applyNumberFormat="0" applyBorder="0" applyAlignment="0" applyProtection="0"/>
    <xf numFmtId="0" fontId="135" fillId="202" borderId="0" applyNumberFormat="0" applyBorder="0" applyAlignment="0" applyProtection="0"/>
    <xf numFmtId="0" fontId="70" fillId="183"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70" fillId="183"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202"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70" fillId="177" borderId="0" applyNumberFormat="0" applyBorder="0" applyAlignment="0" applyProtection="0"/>
    <xf numFmtId="0" fontId="70" fillId="17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70" fillId="177" borderId="0" applyNumberFormat="0" applyBorder="0" applyAlignment="0" applyProtection="0"/>
    <xf numFmtId="0" fontId="135" fillId="187" borderId="0" applyNumberFormat="0" applyBorder="0" applyAlignment="0" applyProtection="0"/>
    <xf numFmtId="0" fontId="70" fillId="17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70" fillId="17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87"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74" borderId="0" applyNumberFormat="0" applyBorder="0" applyAlignment="0" applyProtection="0"/>
    <xf numFmtId="0" fontId="70" fillId="174" borderId="0" applyNumberFormat="0" applyBorder="0" applyAlignment="0" applyProtection="0"/>
    <xf numFmtId="0" fontId="135" fillId="191" borderId="0" applyNumberFormat="0" applyBorder="0" applyAlignment="0" applyProtection="0"/>
    <xf numFmtId="0" fontId="70" fillId="181" borderId="0" applyNumberFormat="0" applyBorder="0" applyAlignment="0" applyProtection="0"/>
    <xf numFmtId="0" fontId="70" fillId="181" borderId="0" applyNumberFormat="0" applyBorder="0" applyAlignment="0" applyProtection="0"/>
    <xf numFmtId="0" fontId="71" fillId="181" borderId="0" applyNumberFormat="0" applyBorder="0" applyAlignment="0" applyProtection="0"/>
    <xf numFmtId="0" fontId="70" fillId="181" borderId="0" applyNumberFormat="0" applyBorder="0" applyAlignment="0" applyProtection="0"/>
    <xf numFmtId="0" fontId="71" fillId="181" borderId="0" applyNumberFormat="0" applyBorder="0" applyAlignment="0" applyProtection="0"/>
    <xf numFmtId="0" fontId="70" fillId="174" borderId="0" applyNumberFormat="0" applyBorder="0" applyAlignment="0" applyProtection="0"/>
    <xf numFmtId="0" fontId="71" fillId="181" borderId="0" applyNumberFormat="0" applyBorder="0" applyAlignment="0" applyProtection="0"/>
    <xf numFmtId="0" fontId="70" fillId="174" borderId="0" applyNumberFormat="0" applyBorder="0" applyAlignment="0" applyProtection="0"/>
    <xf numFmtId="0" fontId="135" fillId="191" borderId="0" applyNumberFormat="0" applyBorder="0" applyAlignment="0" applyProtection="0"/>
    <xf numFmtId="0" fontId="70" fillId="17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74"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4" borderId="0" applyNumberFormat="0" applyBorder="0" applyAlignment="0" applyProtection="0"/>
    <xf numFmtId="0" fontId="135" fillId="205" borderId="0" applyNumberFormat="0" applyBorder="0" applyAlignment="0" applyProtection="0"/>
    <xf numFmtId="0" fontId="70" fillId="184"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70" fillId="184"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205"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70" fillId="185" borderId="0" applyNumberFormat="0" applyBorder="0" applyAlignment="0" applyProtection="0"/>
    <xf numFmtId="0" fontId="135" fillId="192" borderId="0" applyNumberFormat="0" applyBorder="0" applyAlignment="0" applyProtection="0"/>
    <xf numFmtId="0" fontId="70" fillId="185"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70" fillId="185"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192"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6" borderId="0" applyNumberFormat="0" applyBorder="0" applyAlignment="0" applyProtection="0"/>
    <xf numFmtId="0" fontId="70" fillId="18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6" borderId="0" applyNumberFormat="0" applyBorder="0" applyAlignment="0" applyProtection="0"/>
    <xf numFmtId="0" fontId="135" fillId="206" borderId="0" applyNumberFormat="0" applyBorder="0" applyAlignment="0" applyProtection="0"/>
    <xf numFmtId="0" fontId="70" fillId="18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70" fillId="18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135" fillId="206"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76" fillId="170" borderId="0" applyNumberFormat="0" applyBorder="0" applyAlignment="0" applyProtection="0"/>
    <xf numFmtId="0" fontId="76" fillId="170"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76" fillId="170" borderId="0" applyNumberFormat="0" applyBorder="0" applyAlignment="0" applyProtection="0"/>
    <xf numFmtId="0" fontId="62" fillId="193" borderId="0" applyNumberFormat="0" applyBorder="0" applyAlignment="0" applyProtection="0"/>
    <xf numFmtId="0" fontId="76" fillId="170"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76" fillId="170"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62" fillId="193" borderId="0" applyNumberFormat="0" applyBorder="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23" fillId="188" borderId="14" applyNumberFormat="0" applyAlignment="0" applyProtection="0"/>
    <xf numFmtId="0" fontId="123" fillId="188" borderId="14" applyNumberFormat="0" applyAlignment="0" applyProtection="0"/>
    <xf numFmtId="0" fontId="112" fillId="181" borderId="60" applyNumberFormat="0" applyAlignment="0" applyProtection="0"/>
    <xf numFmtId="0" fontId="136" fillId="187" borderId="12" applyNumberFormat="0" applyAlignment="0" applyProtection="0"/>
    <xf numFmtId="0" fontId="136" fillId="187" borderId="12" applyNumberFormat="0" applyAlignment="0" applyProtection="0"/>
    <xf numFmtId="0" fontId="77" fillId="187" borderId="12" applyNumberFormat="0" applyAlignment="0" applyProtection="0"/>
    <xf numFmtId="0" fontId="136" fillId="187" borderId="12" applyNumberFormat="0" applyAlignment="0" applyProtection="0"/>
    <xf numFmtId="0" fontId="77" fillId="187" borderId="12" applyNumberFormat="0" applyAlignment="0" applyProtection="0"/>
    <xf numFmtId="0" fontId="123" fillId="188" borderId="14" applyNumberFormat="0" applyAlignment="0" applyProtection="0"/>
    <xf numFmtId="0" fontId="77" fillId="187" borderId="12" applyNumberFormat="0" applyAlignment="0" applyProtection="0"/>
    <xf numFmtId="0" fontId="123" fillId="188" borderId="14" applyNumberFormat="0" applyAlignment="0" applyProtection="0"/>
    <xf numFmtId="0" fontId="112" fillId="181" borderId="60" applyNumberFormat="0" applyAlignment="0" applyProtection="0"/>
    <xf numFmtId="0" fontId="123" fillId="188" borderId="14" applyNumberFormat="0" applyAlignment="0" applyProtection="0"/>
    <xf numFmtId="0" fontId="112" fillId="181" borderId="60" applyNumberFormat="0" applyAlignment="0" applyProtection="0"/>
    <xf numFmtId="0" fontId="112" fillId="181" borderId="60" applyNumberFormat="0" applyAlignment="0" applyProtection="0"/>
    <xf numFmtId="0" fontId="123" fillId="188" borderId="14"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12" fillId="181" borderId="60"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81" fillId="189" borderId="17" applyNumberFormat="0" applyAlignment="0" applyProtection="0"/>
    <xf numFmtId="0" fontId="81" fillId="189" borderId="17" applyNumberFormat="0" applyAlignment="0" applyProtection="0"/>
    <xf numFmtId="0" fontId="137" fillId="205" borderId="61" applyNumberFormat="0" applyAlignment="0" applyProtection="0"/>
    <xf numFmtId="0" fontId="81" fillId="176" borderId="15" applyNumberFormat="0" applyAlignment="0" applyProtection="0"/>
    <xf numFmtId="0" fontId="81" fillId="176" borderId="15" applyNumberFormat="0" applyAlignment="0" applyProtection="0"/>
    <xf numFmtId="0" fontId="79" fillId="176" borderId="15" applyNumberFormat="0" applyAlignment="0" applyProtection="0"/>
    <xf numFmtId="0" fontId="81" fillId="176" borderId="15" applyNumberFormat="0" applyAlignment="0" applyProtection="0"/>
    <xf numFmtId="0" fontId="79" fillId="176" borderId="15" applyNumberFormat="0" applyAlignment="0" applyProtection="0"/>
    <xf numFmtId="0" fontId="81" fillId="189" borderId="17" applyNumberFormat="0" applyAlignment="0" applyProtection="0"/>
    <xf numFmtId="0" fontId="79" fillId="176" borderId="15" applyNumberFormat="0" applyAlignment="0" applyProtection="0"/>
    <xf numFmtId="0" fontId="81" fillId="189" borderId="17" applyNumberFormat="0" applyAlignment="0" applyProtection="0"/>
    <xf numFmtId="0" fontId="137" fillId="205" borderId="61" applyNumberFormat="0" applyAlignment="0" applyProtection="0"/>
    <xf numFmtId="0" fontId="81" fillId="189" borderId="17" applyNumberFormat="0" applyAlignment="0" applyProtection="0"/>
    <xf numFmtId="0" fontId="137" fillId="205" borderId="61" applyNumberFormat="0" applyAlignment="0" applyProtection="0"/>
    <xf numFmtId="0" fontId="137" fillId="205" borderId="61" applyNumberFormat="0" applyAlignment="0" applyProtection="0"/>
    <xf numFmtId="0" fontId="81" fillId="189" borderId="17"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0" fontId="137" fillId="205" borderId="61" applyNumberFormat="0" applyAlignment="0" applyProtection="0"/>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191"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90" borderId="0" applyNumberFormat="0" applyBorder="0" applyAlignment="0" applyProtection="0"/>
    <xf numFmtId="0" fontId="70" fillId="190" borderId="0" applyNumberFormat="0" applyBorder="0" applyAlignment="0" applyProtection="0"/>
    <xf numFmtId="0" fontId="135" fillId="207" borderId="0" applyNumberFormat="0" applyBorder="0" applyAlignment="0" applyProtection="0"/>
    <xf numFmtId="0" fontId="70" fillId="186" borderId="0" applyNumberFormat="0" applyBorder="0" applyAlignment="0" applyProtection="0"/>
    <xf numFmtId="0" fontId="70" fillId="186" borderId="0" applyNumberFormat="0" applyBorder="0" applyAlignment="0" applyProtection="0"/>
    <xf numFmtId="0" fontId="71" fillId="186" borderId="0" applyNumberFormat="0" applyBorder="0" applyAlignment="0" applyProtection="0"/>
    <xf numFmtId="0" fontId="70" fillId="186" borderId="0" applyNumberFormat="0" applyBorder="0" applyAlignment="0" applyProtection="0"/>
    <xf numFmtId="0" fontId="71" fillId="186" borderId="0" applyNumberFormat="0" applyBorder="0" applyAlignment="0" applyProtection="0"/>
    <xf numFmtId="0" fontId="70" fillId="190" borderId="0" applyNumberFormat="0" applyBorder="0" applyAlignment="0" applyProtection="0"/>
    <xf numFmtId="0" fontId="71" fillId="186" borderId="0" applyNumberFormat="0" applyBorder="0" applyAlignment="0" applyProtection="0"/>
    <xf numFmtId="0" fontId="70" fillId="190"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90"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90"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91" borderId="0" applyNumberFormat="0" applyBorder="0" applyAlignment="0" applyProtection="0"/>
    <xf numFmtId="0" fontId="70" fillId="191"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91" borderId="0" applyNumberFormat="0" applyBorder="0" applyAlignment="0" applyProtection="0"/>
    <xf numFmtId="0" fontId="135" fillId="190" borderId="0" applyNumberFormat="0" applyBorder="0" applyAlignment="0" applyProtection="0"/>
    <xf numFmtId="0" fontId="70" fillId="191"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70" fillId="191"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0"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1" borderId="0" applyNumberFormat="0" applyBorder="0" applyAlignment="0" applyProtection="0"/>
    <xf numFmtId="0" fontId="70" fillId="181" borderId="0" applyNumberFormat="0" applyBorder="0" applyAlignment="0" applyProtection="0"/>
    <xf numFmtId="0" fontId="135" fillId="191" borderId="0" applyNumberFormat="0" applyBorder="0" applyAlignment="0" applyProtection="0"/>
    <xf numFmtId="0" fontId="70"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93" borderId="0" applyNumberFormat="0" applyBorder="0" applyAlignment="0" applyProtection="0"/>
    <xf numFmtId="0" fontId="71" fillId="193" borderId="0" applyNumberFormat="0" applyBorder="0" applyAlignment="0" applyProtection="0"/>
    <xf numFmtId="0" fontId="70" fillId="181" borderId="0" applyNumberFormat="0" applyBorder="0" applyAlignment="0" applyProtection="0"/>
    <xf numFmtId="0" fontId="71" fillId="193" borderId="0" applyNumberFormat="0" applyBorder="0" applyAlignment="0" applyProtection="0"/>
    <xf numFmtId="0" fontId="70" fillId="181" borderId="0" applyNumberFormat="0" applyBorder="0" applyAlignment="0" applyProtection="0"/>
    <xf numFmtId="0" fontId="135" fillId="191" borderId="0" applyNumberFormat="0" applyBorder="0" applyAlignment="0" applyProtection="0"/>
    <xf numFmtId="0" fontId="70" fillId="18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70" fillId="18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191"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84" borderId="0" applyNumberFormat="0" applyBorder="0" applyAlignment="0" applyProtection="0"/>
    <xf numFmtId="0" fontId="70" fillId="184"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84" borderId="0" applyNumberFormat="0" applyBorder="0" applyAlignment="0" applyProtection="0"/>
    <xf numFmtId="0" fontId="135" fillId="208" borderId="0" applyNumberFormat="0" applyBorder="0" applyAlignment="0" applyProtection="0"/>
    <xf numFmtId="0" fontId="70" fillId="184"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70" fillId="184"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8"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5" borderId="0" applyNumberFormat="0" applyBorder="0" applyAlignment="0" applyProtection="0"/>
    <xf numFmtId="0" fontId="70" fillId="185" borderId="0" applyNumberFormat="0" applyBorder="0" applyAlignment="0" applyProtection="0"/>
    <xf numFmtId="0" fontId="135" fillId="207" borderId="0" applyNumberFormat="0" applyBorder="0" applyAlignment="0" applyProtection="0"/>
    <xf numFmtId="0" fontId="70" fillId="194" borderId="0" applyNumberFormat="0" applyBorder="0" applyAlignment="0" applyProtection="0"/>
    <xf numFmtId="0" fontId="70" fillId="194" borderId="0" applyNumberFormat="0" applyBorder="0" applyAlignment="0" applyProtection="0"/>
    <xf numFmtId="0" fontId="71" fillId="194" borderId="0" applyNumberFormat="0" applyBorder="0" applyAlignment="0" applyProtection="0"/>
    <xf numFmtId="0" fontId="70" fillId="194" borderId="0" applyNumberFormat="0" applyBorder="0" applyAlignment="0" applyProtection="0"/>
    <xf numFmtId="0" fontId="71" fillId="194" borderId="0" applyNumberFormat="0" applyBorder="0" applyAlignment="0" applyProtection="0"/>
    <xf numFmtId="0" fontId="70" fillId="185" borderId="0" applyNumberFormat="0" applyBorder="0" applyAlignment="0" applyProtection="0"/>
    <xf numFmtId="0" fontId="71" fillId="194" borderId="0" applyNumberFormat="0" applyBorder="0" applyAlignment="0" applyProtection="0"/>
    <xf numFmtId="0" fontId="70" fillId="185"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5"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70" fillId="185"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7"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70" fillId="192" borderId="0" applyNumberFormat="0" applyBorder="0" applyAlignment="0" applyProtection="0"/>
    <xf numFmtId="0" fontId="70" fillId="192"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70" fillId="192" borderId="0" applyNumberFormat="0" applyBorder="0" applyAlignment="0" applyProtection="0"/>
    <xf numFmtId="0" fontId="135" fillId="209" borderId="0" applyNumberFormat="0" applyBorder="0" applyAlignment="0" applyProtection="0"/>
    <xf numFmtId="0" fontId="70" fillId="192"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70" fillId="192"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35" fillId="209" borderId="0" applyNumberFormat="0" applyBorder="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25" fillId="173" borderId="14" applyNumberFormat="0" applyAlignment="0" applyProtection="0"/>
    <xf numFmtId="0" fontId="125" fillId="173" borderId="14"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25" fillId="173" borderId="14" applyNumberFormat="0" applyAlignment="0" applyProtection="0"/>
    <xf numFmtId="0" fontId="140" fillId="180" borderId="60" applyNumberFormat="0" applyAlignment="0" applyProtection="0"/>
    <xf numFmtId="0" fontId="125" fillId="173" borderId="14" applyNumberFormat="0" applyAlignment="0" applyProtection="0"/>
    <xf numFmtId="0" fontId="140" fillId="180" borderId="60" applyNumberFormat="0" applyAlignment="0" applyProtection="0"/>
    <xf numFmtId="0" fontId="140" fillId="180" borderId="60" applyNumberFormat="0" applyAlignment="0" applyProtection="0"/>
    <xf numFmtId="0" fontId="125" fillId="173" borderId="14"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0" fontId="140" fillId="180" borderId="60" applyNumberFormat="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99" fillId="169" borderId="0" applyNumberFormat="0" applyBorder="0" applyAlignment="0" applyProtection="0"/>
    <xf numFmtId="0" fontId="99" fillId="169" borderId="0" applyNumberFormat="0" applyBorder="0" applyAlignment="0" applyProtection="0"/>
    <xf numFmtId="0" fontId="62" fillId="210" borderId="0" applyNumberFormat="0" applyBorder="0" applyAlignment="0" applyProtection="0"/>
    <xf numFmtId="0" fontId="141" fillId="198" borderId="0" applyNumberFormat="0" applyBorder="0" applyAlignment="0" applyProtection="0"/>
    <xf numFmtId="0" fontId="141" fillId="198" borderId="0" applyNumberFormat="0" applyBorder="0" applyAlignment="0" applyProtection="0"/>
    <xf numFmtId="0" fontId="97" fillId="198" borderId="0" applyNumberFormat="0" applyBorder="0" applyAlignment="0" applyProtection="0"/>
    <xf numFmtId="0" fontId="141" fillId="198" borderId="0" applyNumberFormat="0" applyBorder="0" applyAlignment="0" applyProtection="0"/>
    <xf numFmtId="0" fontId="97" fillId="198" borderId="0" applyNumberFormat="0" applyBorder="0" applyAlignment="0" applyProtection="0"/>
    <xf numFmtId="0" fontId="99" fillId="169" borderId="0" applyNumberFormat="0" applyBorder="0" applyAlignment="0" applyProtection="0"/>
    <xf numFmtId="0" fontId="97" fillId="198" borderId="0" applyNumberFormat="0" applyBorder="0" applyAlignment="0" applyProtection="0"/>
    <xf numFmtId="0" fontId="99" fillId="169" borderId="0" applyNumberFormat="0" applyBorder="0" applyAlignment="0" applyProtection="0"/>
    <xf numFmtId="0" fontId="62" fillId="210" borderId="0" applyNumberFormat="0" applyBorder="0" applyAlignment="0" applyProtection="0"/>
    <xf numFmtId="0" fontId="99" fillId="169"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99" fillId="169"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0" fontId="62" fillId="210" borderId="0" applyNumberFormat="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04" fillId="199" borderId="0" applyNumberFormat="0" applyBorder="0" applyAlignment="0" applyProtection="0"/>
    <xf numFmtId="0" fontId="104" fillId="19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04" fillId="199" borderId="0" applyNumberFormat="0" applyBorder="0" applyAlignment="0" applyProtection="0"/>
    <xf numFmtId="0" fontId="142" fillId="129" borderId="0" applyNumberFormat="0" applyBorder="0" applyAlignment="0" applyProtection="0"/>
    <xf numFmtId="0" fontId="104" fillId="19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04" fillId="19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42" fillId="129" borderId="0" applyNumberFormat="0" applyBorder="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03" fillId="208" borderId="12"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03" fillId="208" borderId="12" applyNumberFormat="0" applyFont="0" applyAlignment="0" applyProtection="0"/>
    <xf numFmtId="0" fontId="103" fillId="208" borderId="12" applyNumberFormat="0" applyFont="0" applyAlignment="0" applyProtection="0"/>
    <xf numFmtId="0" fontId="170" fillId="132" borderId="26" applyNumberFormat="0" applyFont="0" applyAlignment="0" applyProtection="0"/>
    <xf numFmtId="0" fontId="4" fillId="194" borderId="25"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03" fillId="208" borderId="12"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03" fillId="208" borderId="12"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70" fillId="132" borderId="26" applyNumberFormat="0" applyFont="0" applyAlignment="0" applyProtection="0"/>
    <xf numFmtId="0" fontId="170" fillId="132" borderId="26"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133" fillId="170" borderId="59" applyNumberFormat="0" applyFont="0" applyAlignment="0" applyProtection="0"/>
    <xf numFmtId="0" fontId="4" fillId="194" borderId="25" applyNumberFormat="0" applyFont="0" applyAlignment="0" applyProtection="0"/>
    <xf numFmtId="0" fontId="170" fillId="132" borderId="26" applyNumberFormat="0" applyFont="0" applyAlignment="0" applyProtection="0"/>
    <xf numFmtId="0" fontId="4" fillId="194" borderId="25" applyNumberFormat="0" applyFont="0" applyAlignment="0" applyProtection="0"/>
    <xf numFmtId="0" fontId="170" fillId="132" borderId="26" applyNumberFormat="0" applyFont="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4" fillId="187" borderId="0" applyNumberFormat="0" applyFont="0" applyBorder="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12" fillId="188" borderId="44" applyNumberFormat="0" applyAlignment="0" applyProtection="0"/>
    <xf numFmtId="0" fontId="112" fillId="188" borderId="44" applyNumberFormat="0" applyAlignment="0" applyProtection="0"/>
    <xf numFmtId="0" fontId="143" fillId="181" borderId="63" applyNumberFormat="0" applyAlignment="0" applyProtection="0"/>
    <xf numFmtId="0" fontId="144" fillId="187" borderId="45" applyNumberFormat="0" applyAlignment="0" applyProtection="0"/>
    <xf numFmtId="0" fontId="144" fillId="187" borderId="45" applyNumberFormat="0" applyAlignment="0" applyProtection="0"/>
    <xf numFmtId="0" fontId="113" fillId="187" borderId="45" applyNumberFormat="0" applyAlignment="0" applyProtection="0"/>
    <xf numFmtId="0" fontId="144" fillId="187" borderId="45" applyNumberFormat="0" applyAlignment="0" applyProtection="0"/>
    <xf numFmtId="0" fontId="113" fillId="187" borderId="45" applyNumberFormat="0" applyAlignment="0" applyProtection="0"/>
    <xf numFmtId="0" fontId="112" fillId="188" borderId="44" applyNumberFormat="0" applyAlignment="0" applyProtection="0"/>
    <xf numFmtId="0" fontId="113" fillId="187" borderId="45" applyNumberFormat="0" applyAlignment="0" applyProtection="0"/>
    <xf numFmtId="0" fontId="112" fillId="188" borderId="44" applyNumberFormat="0" applyAlignment="0" applyProtection="0"/>
    <xf numFmtId="0" fontId="143" fillId="181" borderId="63" applyNumberFormat="0" applyAlignment="0" applyProtection="0"/>
    <xf numFmtId="0" fontId="112" fillId="188" borderId="44" applyNumberFormat="0" applyAlignment="0" applyProtection="0"/>
    <xf numFmtId="0" fontId="143" fillId="181" borderId="63" applyNumberFormat="0" applyAlignment="0" applyProtection="0"/>
    <xf numFmtId="0" fontId="143" fillId="181" borderId="63" applyNumberFormat="0" applyAlignment="0" applyProtection="0"/>
    <xf numFmtId="0" fontId="112" fillId="188" borderId="44"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143" fillId="181" borderId="63" applyNumberFormat="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45" applyNumberFormat="0" applyFont="0" applyFill="0" applyAlignment="0" applyProtection="0"/>
    <xf numFmtId="0" fontId="120" fillId="0" borderId="145"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120" fillId="0" borderId="145" applyNumberFormat="0" applyFont="0" applyFill="0" applyAlignment="0" applyProtection="0"/>
    <xf numFmtId="0" fontId="4" fillId="0" borderId="48" applyNumberFormat="0" applyFont="0" applyFill="0" applyAlignment="0" applyProtection="0">
      <alignment vertical="top"/>
    </xf>
    <xf numFmtId="0" fontId="120" fillId="0" borderId="145" applyNumberFormat="0" applyFont="0" applyFill="0" applyAlignment="0" applyProtection="0"/>
    <xf numFmtId="0" fontId="120" fillId="0" borderId="145" applyNumberFormat="0" applyFont="0" applyFill="0" applyAlignment="0" applyProtection="0"/>
    <xf numFmtId="0" fontId="120" fillId="0" borderId="145" applyNumberFormat="0" applyFont="0" applyFill="0" applyAlignment="0" applyProtection="0"/>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0" fontId="4" fillId="0" borderId="48" applyNumberFormat="0" applyFont="0" applyFill="0" applyAlignment="0" applyProtection="0">
      <alignment vertical="top"/>
    </xf>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0" fillId="0" borderId="0" applyFont="0" applyFill="0" applyBorder="0" applyAlignment="0" applyProtection="0"/>
    <xf numFmtId="43" fontId="103" fillId="0" borderId="0" applyFont="0" applyFill="0" applyBorder="0" applyAlignment="0" applyProtection="0"/>
    <xf numFmtId="43" fontId="4" fillId="0" borderId="0" applyNumberFormat="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58" fillId="0" borderId="0" applyFont="0" applyFill="0" applyBorder="0" applyAlignment="0" applyProtection="0"/>
    <xf numFmtId="43"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1"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xf numFmtId="41" fontId="4" fillId="0" borderId="0" applyFont="0" applyFill="0" applyBorder="0" applyAlignment="0" applyProtection="0"/>
    <xf numFmtId="43" fontId="170" fillId="0" borderId="0" applyFont="0" applyFill="0" applyBorder="0" applyAlignment="0" applyProtection="0"/>
    <xf numFmtId="43" fontId="170" fillId="0" borderId="0" applyFont="0" applyFill="0" applyBorder="0" applyAlignment="0" applyProtection="0"/>
  </cellStyleXfs>
  <cellXfs count="899">
    <xf numFmtId="0" fontId="0" fillId="0" borderId="0" xfId="0"/>
    <xf numFmtId="0" fontId="0" fillId="0" borderId="0" xfId="0"/>
    <xf numFmtId="0" fontId="3" fillId="0" borderId="68" xfId="0" applyFont="1" applyFill="1" applyBorder="1" applyAlignment="1">
      <alignment vertical="center"/>
    </xf>
    <xf numFmtId="0" fontId="5" fillId="0" borderId="0" xfId="8"/>
    <xf numFmtId="0" fontId="5" fillId="0" borderId="68" xfId="8" applyFill="1" applyBorder="1" applyAlignment="1">
      <alignment vertical="center"/>
    </xf>
    <xf numFmtId="0" fontId="8" fillId="0" borderId="0" xfId="0" applyFont="1"/>
    <xf numFmtId="0" fontId="14" fillId="0" borderId="0" xfId="0" applyFont="1" applyAlignment="1">
      <alignment horizontal="center"/>
    </xf>
    <xf numFmtId="0" fontId="14" fillId="5" borderId="0" xfId="0" applyFont="1" applyFill="1" applyAlignment="1">
      <alignment horizontal="center"/>
    </xf>
    <xf numFmtId="0" fontId="15" fillId="0" borderId="0" xfId="0" applyFont="1"/>
    <xf numFmtId="0" fontId="16" fillId="0" borderId="0" xfId="17" applyFont="1" applyFill="1" applyBorder="1" applyAlignment="1">
      <alignment horizontal="center"/>
    </xf>
    <xf numFmtId="0" fontId="17" fillId="0" borderId="0" xfId="17" applyFont="1" applyFill="1" applyBorder="1" applyAlignment="1">
      <alignment horizontal="left"/>
    </xf>
    <xf numFmtId="0" fontId="17" fillId="0" borderId="0" xfId="17" applyFont="1" applyFill="1" applyBorder="1" applyAlignment="1">
      <alignment horizontal="center"/>
    </xf>
    <xf numFmtId="0" fontId="18" fillId="0" borderId="0" xfId="17" applyFont="1" applyFill="1" applyBorder="1" applyAlignment="1">
      <alignment horizontal="left"/>
    </xf>
    <xf numFmtId="168" fontId="18" fillId="0" borderId="0" xfId="18" applyNumberFormat="1" applyFont="1" applyFill="1" applyBorder="1" applyAlignment="1">
      <alignment horizontal="center"/>
    </xf>
    <xf numFmtId="0" fontId="19" fillId="0" borderId="0" xfId="17" applyFont="1" applyFill="1" applyBorder="1" applyAlignment="1">
      <alignment horizontal="left"/>
    </xf>
    <xf numFmtId="168" fontId="19" fillId="0" borderId="0" xfId="18" applyNumberFormat="1" applyFont="1" applyFill="1" applyBorder="1" applyAlignment="1">
      <alignment horizontal="center"/>
    </xf>
    <xf numFmtId="0" fontId="19" fillId="0" borderId="69" xfId="17" applyFont="1" applyFill="1" applyBorder="1" applyAlignment="1">
      <alignment horizontal="left"/>
    </xf>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10" fillId="0" borderId="0" xfId="0" applyFont="1"/>
    <xf numFmtId="0" fontId="10" fillId="92" borderId="0" xfId="0" applyFont="1" applyFill="1"/>
    <xf numFmtId="0" fontId="17" fillId="92" borderId="0" xfId="0" applyFont="1" applyFill="1" applyAlignment="1">
      <alignment horizontal="center" vertical="center"/>
    </xf>
    <xf numFmtId="0" fontId="11" fillId="93" borderId="70" xfId="0" applyFont="1" applyFill="1" applyBorder="1" applyAlignment="1">
      <alignment vertical="center"/>
    </xf>
    <xf numFmtId="0" fontId="11" fillId="93" borderId="71" xfId="0" applyFont="1" applyFill="1" applyBorder="1" applyAlignment="1">
      <alignment vertical="center"/>
    </xf>
    <xf numFmtId="0" fontId="12" fillId="94" borderId="72" xfId="0" applyFont="1" applyFill="1" applyBorder="1" applyAlignment="1">
      <alignment vertical="center" wrapText="1"/>
    </xf>
    <xf numFmtId="0" fontId="23" fillId="94" borderId="73" xfId="0" applyFont="1" applyFill="1" applyBorder="1" applyAlignment="1">
      <alignment horizontal="right" vertical="center" wrapText="1"/>
    </xf>
    <xf numFmtId="0" fontId="9" fillId="95" borderId="72" xfId="0" applyFont="1" applyFill="1" applyBorder="1" applyAlignment="1">
      <alignment horizontal="left" vertical="center" wrapText="1" indent="1"/>
    </xf>
    <xf numFmtId="168" fontId="9" fillId="0" borderId="74" xfId="16" applyNumberFormat="1" applyFont="1" applyFill="1" applyBorder="1"/>
    <xf numFmtId="0" fontId="11" fillId="96" borderId="75" xfId="0" applyFont="1" applyFill="1" applyBorder="1" applyAlignment="1">
      <alignment vertical="center"/>
    </xf>
    <xf numFmtId="169" fontId="11" fillId="96" borderId="73" xfId="16" applyNumberFormat="1" applyFont="1" applyFill="1" applyBorder="1" applyAlignment="1">
      <alignment horizontal="right" vertical="center" wrapText="1"/>
    </xf>
    <xf numFmtId="169" fontId="12" fillId="94" borderId="76" xfId="16" applyNumberFormat="1" applyFont="1" applyFill="1" applyBorder="1" applyAlignment="1">
      <alignment horizontal="right" vertical="center" wrapText="1"/>
    </xf>
    <xf numFmtId="0" fontId="11" fillId="96" borderId="0" xfId="0" applyFont="1" applyFill="1" applyAlignment="1">
      <alignment vertical="center"/>
    </xf>
    <xf numFmtId="169" fontId="11" fillId="96" borderId="76" xfId="16" applyNumberFormat="1" applyFont="1" applyFill="1" applyBorder="1" applyAlignment="1">
      <alignment horizontal="right" vertical="center" wrapText="1"/>
    </xf>
    <xf numFmtId="0" fontId="11" fillId="5" borderId="0" xfId="0" applyFont="1" applyFill="1" applyAlignment="1">
      <alignment vertical="center"/>
    </xf>
    <xf numFmtId="3" fontId="11" fillId="5" borderId="73" xfId="0" applyNumberFormat="1" applyFont="1" applyFill="1" applyBorder="1" applyAlignment="1">
      <alignment horizontal="right" vertical="center" wrapText="1"/>
    </xf>
    <xf numFmtId="0" fontId="11" fillId="93" borderId="73" xfId="0" applyFont="1" applyFill="1" applyBorder="1" applyAlignment="1">
      <alignment horizontal="right" vertical="center"/>
    </xf>
    <xf numFmtId="0" fontId="9" fillId="94" borderId="73" xfId="0" applyFont="1" applyFill="1" applyBorder="1" applyAlignment="1">
      <alignment horizontal="right" vertical="center" wrapText="1"/>
    </xf>
    <xf numFmtId="0" fontId="12" fillId="97" borderId="72" xfId="0" applyFont="1" applyFill="1" applyBorder="1" applyAlignment="1">
      <alignment vertical="center" wrapText="1"/>
    </xf>
    <xf numFmtId="0" fontId="9" fillId="97" borderId="73" xfId="0" applyFont="1" applyFill="1" applyBorder="1" applyAlignment="1">
      <alignment horizontal="right" vertical="center" wrapText="1"/>
    </xf>
    <xf numFmtId="0" fontId="12" fillId="97" borderId="70" xfId="0" applyFont="1" applyFill="1" applyBorder="1" applyAlignment="1">
      <alignment vertical="center" wrapText="1"/>
    </xf>
    <xf numFmtId="0" fontId="12" fillId="95" borderId="72" xfId="0" applyFont="1" applyFill="1" applyBorder="1" applyAlignment="1">
      <alignment vertical="center" wrapText="1"/>
    </xf>
    <xf numFmtId="169" fontId="12" fillId="95" borderId="76" xfId="16" applyNumberFormat="1" applyFont="1" applyFill="1" applyBorder="1" applyAlignment="1">
      <alignment horizontal="right" vertical="center" wrapText="1"/>
    </xf>
    <xf numFmtId="0" fontId="9" fillId="95" borderId="77" xfId="0" applyFont="1" applyFill="1" applyBorder="1" applyAlignment="1">
      <alignment horizontal="left" vertical="center" wrapText="1" indent="1"/>
    </xf>
    <xf numFmtId="0" fontId="11" fillId="96" borderId="71" xfId="0" applyFont="1" applyFill="1" applyBorder="1" applyAlignment="1">
      <alignment vertical="center"/>
    </xf>
    <xf numFmtId="43" fontId="15" fillId="0" borderId="0" xfId="16" applyFont="1" applyFill="1" applyBorder="1"/>
    <xf numFmtId="0" fontId="24" fillId="92" borderId="0" xfId="0" applyFont="1" applyFill="1" applyAlignment="1">
      <alignment horizontal="center" vertical="center"/>
    </xf>
    <xf numFmtId="168" fontId="9" fillId="0" borderId="0" xfId="16" applyNumberFormat="1" applyFont="1" applyFill="1" applyBorder="1"/>
    <xf numFmtId="0" fontId="13" fillId="0" borderId="0" xfId="0" applyFont="1"/>
    <xf numFmtId="0" fontId="25" fillId="92" borderId="0" xfId="0" applyFont="1" applyFill="1"/>
    <xf numFmtId="169" fontId="26" fillId="0" borderId="0" xfId="16" applyNumberFormat="1" applyFont="1" applyFill="1" applyBorder="1" applyAlignment="1">
      <alignment vertical="center"/>
    </xf>
    <xf numFmtId="0" fontId="10" fillId="98" borderId="0" xfId="0" applyFont="1" applyFill="1"/>
    <xf numFmtId="0" fontId="17" fillId="98" borderId="0" xfId="0" applyFont="1" applyFill="1" applyAlignment="1">
      <alignment horizontal="center" vertical="center"/>
    </xf>
    <xf numFmtId="0" fontId="11" fillId="99" borderId="70" xfId="0" applyFont="1" applyFill="1" applyBorder="1" applyAlignment="1">
      <alignment vertical="center"/>
    </xf>
    <xf numFmtId="0" fontId="11" fillId="99" borderId="71" xfId="0" applyFont="1" applyFill="1" applyBorder="1" applyAlignment="1">
      <alignment vertical="center"/>
    </xf>
    <xf numFmtId="0" fontId="12" fillId="100" borderId="72" xfId="0" applyFont="1" applyFill="1" applyBorder="1" applyAlignment="1">
      <alignment vertical="center" wrapText="1"/>
    </xf>
    <xf numFmtId="0" fontId="23" fillId="100" borderId="73" xfId="0" applyFont="1" applyFill="1" applyBorder="1" applyAlignment="1">
      <alignment horizontal="right" vertical="center" wrapText="1"/>
    </xf>
    <xf numFmtId="0" fontId="9" fillId="101" borderId="72" xfId="0" applyFont="1" applyFill="1" applyBorder="1" applyAlignment="1">
      <alignment horizontal="left" vertical="center" wrapText="1" indent="1"/>
    </xf>
    <xf numFmtId="168" fontId="9" fillId="0" borderId="78" xfId="16" applyNumberFormat="1" applyFont="1" applyFill="1" applyBorder="1"/>
    <xf numFmtId="0" fontId="11" fillId="102" borderId="75" xfId="0" applyFont="1" applyFill="1" applyBorder="1" applyAlignment="1">
      <alignment vertical="center"/>
    </xf>
    <xf numFmtId="169" fontId="11" fillId="102" borderId="73" xfId="16" applyNumberFormat="1" applyFont="1" applyFill="1" applyBorder="1" applyAlignment="1">
      <alignment horizontal="right" vertical="center" wrapText="1"/>
    </xf>
    <xf numFmtId="169" fontId="12" fillId="100" borderId="76" xfId="16" applyNumberFormat="1" applyFont="1" applyFill="1" applyBorder="1" applyAlignment="1">
      <alignment horizontal="right" vertical="center" wrapText="1"/>
    </xf>
    <xf numFmtId="0" fontId="11" fillId="102" borderId="0" xfId="0" applyFont="1" applyFill="1" applyAlignment="1">
      <alignment vertical="center"/>
    </xf>
    <xf numFmtId="169" fontId="11" fillId="102" borderId="76" xfId="16" applyNumberFormat="1" applyFont="1" applyFill="1" applyBorder="1" applyAlignment="1">
      <alignment horizontal="right" vertical="center" wrapText="1"/>
    </xf>
    <xf numFmtId="0" fontId="11" fillId="103" borderId="0" xfId="0" applyFont="1" applyFill="1" applyAlignment="1">
      <alignment vertical="center"/>
    </xf>
    <xf numFmtId="3" fontId="11" fillId="103" borderId="73" xfId="0"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12" fillId="104" borderId="72" xfId="0" applyFont="1" applyFill="1" applyBorder="1" applyAlignment="1">
      <alignment vertical="center" wrapText="1"/>
    </xf>
    <xf numFmtId="0" fontId="9" fillId="104" borderId="73" xfId="0" applyFont="1" applyFill="1" applyBorder="1" applyAlignment="1">
      <alignment horizontal="right" vertical="center" wrapText="1"/>
    </xf>
    <xf numFmtId="0" fontId="12" fillId="104" borderId="70" xfId="0" applyFont="1" applyFill="1" applyBorder="1" applyAlignment="1">
      <alignment vertical="center" wrapText="1"/>
    </xf>
    <xf numFmtId="0" fontId="11" fillId="102" borderId="71" xfId="0" applyFont="1" applyFill="1" applyBorder="1" applyAlignment="1">
      <alignment vertical="center"/>
    </xf>
    <xf numFmtId="0" fontId="27" fillId="0" borderId="0" xfId="0" applyFont="1" applyAlignment="1">
      <alignment horizontal="center"/>
    </xf>
    <xf numFmtId="0" fontId="27" fillId="103" borderId="0" xfId="0" applyFont="1" applyFill="1" applyAlignment="1">
      <alignment horizontal="center"/>
    </xf>
    <xf numFmtId="0" fontId="16" fillId="0" borderId="0" xfId="17" applyFont="1" applyBorder="1" applyAlignment="1">
      <alignment horizontal="center"/>
    </xf>
    <xf numFmtId="0" fontId="24" fillId="105" borderId="79" xfId="0" applyFont="1" applyFill="1" applyBorder="1" applyAlignment="1">
      <alignment horizontal="left" vertical="center" wrapText="1"/>
    </xf>
    <xf numFmtId="0" fontId="24" fillId="105" borderId="79" xfId="0" applyFont="1" applyFill="1" applyBorder="1" applyAlignment="1">
      <alignment horizontal="center" vertical="center" wrapText="1"/>
    </xf>
    <xf numFmtId="0" fontId="17" fillId="0" borderId="0" xfId="17" applyFont="1" applyBorder="1" applyAlignment="1">
      <alignment horizontal="left"/>
    </xf>
    <xf numFmtId="0" fontId="17" fillId="0" borderId="0" xfId="17" applyFont="1" applyBorder="1" applyAlignment="1">
      <alignment horizontal="center"/>
    </xf>
    <xf numFmtId="0" fontId="4" fillId="103" borderId="0" xfId="19" applyFill="1"/>
    <xf numFmtId="170" fontId="28" fillId="103" borderId="0" xfId="20" applyNumberFormat="1" applyFont="1" applyFill="1" applyBorder="1"/>
    <xf numFmtId="0" fontId="28" fillId="103" borderId="0" xfId="19" applyFont="1" applyFill="1"/>
    <xf numFmtId="170" fontId="29" fillId="103" borderId="0" xfId="0" applyNumberFormat="1" applyFont="1" applyFill="1"/>
    <xf numFmtId="0" fontId="18" fillId="0" borderId="79" xfId="17" applyFont="1" applyFill="1" applyBorder="1" applyAlignment="1">
      <alignment horizontal="left"/>
    </xf>
    <xf numFmtId="168" fontId="18" fillId="0" borderId="79" xfId="18" applyNumberFormat="1" applyFont="1" applyFill="1" applyBorder="1" applyAlignment="1">
      <alignment horizontal="center"/>
    </xf>
    <xf numFmtId="0" fontId="30" fillId="0" borderId="0" xfId="21" applyFont="1"/>
    <xf numFmtId="0" fontId="31" fillId="0" borderId="0" xfId="21" applyFont="1"/>
    <xf numFmtId="0" fontId="24" fillId="98" borderId="0" xfId="0" applyFont="1" applyFill="1" applyAlignment="1">
      <alignment horizontal="center" vertical="center"/>
    </xf>
    <xf numFmtId="0" fontId="24" fillId="62" borderId="84" xfId="22" applyFont="1" applyFill="1" applyBorder="1" applyAlignment="1">
      <alignment vertical="center" wrapText="1"/>
    </xf>
    <xf numFmtId="0" fontId="24" fillId="62" borderId="84" xfId="22" applyFont="1" applyFill="1" applyBorder="1" applyAlignment="1">
      <alignment horizontal="left" vertical="center" wrapText="1"/>
    </xf>
    <xf numFmtId="172" fontId="24" fillId="62" borderId="84" xfId="22" applyNumberFormat="1" applyFont="1" applyFill="1" applyBorder="1" applyAlignment="1">
      <alignment horizontal="right" vertical="center" wrapText="1"/>
    </xf>
    <xf numFmtId="168" fontId="24" fillId="62" borderId="84" xfId="23" applyNumberFormat="1" applyFont="1" applyFill="1" applyBorder="1" applyAlignment="1">
      <alignment horizontal="right" vertical="center" wrapText="1"/>
    </xf>
    <xf numFmtId="173" fontId="33" fillId="0" borderId="0" xfId="24" applyNumberFormat="1" applyFont="1" applyFill="1" applyBorder="1" applyAlignment="1">
      <alignment horizontal="center"/>
    </xf>
    <xf numFmtId="0" fontId="32" fillId="98" borderId="81" xfId="22" applyFont="1" applyFill="1" applyBorder="1" applyAlignment="1">
      <alignment horizontal="center" vertical="center" wrapText="1"/>
    </xf>
    <xf numFmtId="0" fontId="32" fillId="98" borderId="83" xfId="22" applyFont="1" applyFill="1" applyBorder="1" applyAlignment="1">
      <alignment horizontal="center" vertical="center" wrapText="1"/>
    </xf>
    <xf numFmtId="168" fontId="19" fillId="0" borderId="0" xfId="17" applyNumberFormat="1" applyFont="1" applyFill="1" applyBorder="1" applyAlignment="1">
      <alignment horizontal="left"/>
    </xf>
    <xf numFmtId="0" fontId="36" fillId="0" borderId="79" xfId="17" quotePrefix="1" applyFont="1" applyFill="1" applyBorder="1" applyAlignment="1">
      <alignment horizontal="left" vertical="center" wrapText="1"/>
    </xf>
    <xf numFmtId="168" fontId="8" fillId="0" borderId="0" xfId="0" applyNumberFormat="1" applyFont="1"/>
    <xf numFmtId="168" fontId="0" fillId="0" borderId="0" xfId="0" applyNumberFormat="1"/>
    <xf numFmtId="168" fontId="14" fillId="0" borderId="0" xfId="0" applyNumberFormat="1" applyFont="1" applyAlignment="1">
      <alignment horizontal="center"/>
    </xf>
    <xf numFmtId="168" fontId="12" fillId="94" borderId="76" xfId="0" applyNumberFormat="1" applyFont="1" applyFill="1" applyBorder="1" applyAlignment="1">
      <alignment wrapText="1"/>
    </xf>
    <xf numFmtId="169" fontId="11" fillId="96" borderId="76" xfId="0" applyNumberFormat="1" applyFont="1" applyFill="1" applyBorder="1" applyAlignment="1">
      <alignment wrapText="1"/>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168" fontId="18" fillId="0" borderId="0" xfId="28" applyNumberFormat="1" applyFont="1" applyFill="1" applyBorder="1" applyAlignment="1">
      <alignment horizontal="center"/>
    </xf>
    <xf numFmtId="169" fontId="0" fillId="0" borderId="0" xfId="0" applyNumberFormat="1"/>
    <xf numFmtId="0" fontId="151" fillId="0" borderId="0" xfId="0" applyFont="1"/>
    <xf numFmtId="0" fontId="152" fillId="0" borderId="0" xfId="0" applyFont="1"/>
    <xf numFmtId="8" fontId="2" fillId="42" borderId="0" xfId="0" applyNumberFormat="1" applyFont="1" applyFill="1"/>
    <xf numFmtId="0" fontId="2" fillId="42" borderId="0" xfId="0" applyFont="1" applyFill="1"/>
    <xf numFmtId="0" fontId="0" fillId="103" borderId="0" xfId="0" applyFill="1"/>
    <xf numFmtId="0" fontId="5" fillId="103" borderId="0" xfId="8" applyFill="1"/>
    <xf numFmtId="0" fontId="5" fillId="0" borderId="0" xfId="8" applyAlignment="1"/>
    <xf numFmtId="169" fontId="16" fillId="0" borderId="0" xfId="17" applyNumberFormat="1" applyFont="1" applyBorder="1" applyAlignment="1">
      <alignment horizontal="center"/>
    </xf>
    <xf numFmtId="0" fontId="0" fillId="0" borderId="0" xfId="0"/>
    <xf numFmtId="0" fontId="18" fillId="0" borderId="0" xfId="17" applyFont="1" applyFill="1" applyBorder="1" applyAlignment="1">
      <alignment horizontal="left"/>
    </xf>
    <xf numFmtId="0" fontId="19" fillId="0" borderId="0" xfId="17" applyFont="1" applyFill="1" applyBorder="1" applyAlignment="1">
      <alignment horizontal="left"/>
    </xf>
    <xf numFmtId="0" fontId="0" fillId="0" borderId="0" xfId="0"/>
    <xf numFmtId="0" fontId="0" fillId="0" borderId="0" xfId="0" applyFill="1"/>
    <xf numFmtId="0" fontId="17" fillId="0" borderId="0" xfId="17" applyFont="1" applyBorder="1" applyAlignment="1">
      <alignment horizontal="left"/>
    </xf>
    <xf numFmtId="0" fontId="18" fillId="0" borderId="0" xfId="17" applyFont="1" applyFill="1" applyBorder="1" applyAlignment="1">
      <alignment horizontal="left"/>
    </xf>
    <xf numFmtId="0" fontId="19" fillId="0" borderId="69" xfId="17" applyFont="1" applyFill="1" applyBorder="1" applyAlignment="1">
      <alignment horizontal="left"/>
    </xf>
    <xf numFmtId="0" fontId="17" fillId="0" borderId="0" xfId="17" applyFont="1" applyFill="1" applyBorder="1" applyAlignment="1">
      <alignment horizontal="center"/>
    </xf>
    <xf numFmtId="0" fontId="19" fillId="0" borderId="0" xfId="17" applyFont="1" applyFill="1" applyBorder="1" applyAlignment="1">
      <alignment horizontal="left"/>
    </xf>
    <xf numFmtId="0" fontId="0" fillId="0" borderId="0" xfId="0"/>
    <xf numFmtId="0" fontId="0" fillId="0" borderId="0" xfId="0"/>
    <xf numFmtId="0" fontId="0" fillId="0" borderId="0" xfId="0"/>
    <xf numFmtId="0" fontId="18" fillId="103" borderId="0" xfId="17" applyFont="1" applyFill="1" applyBorder="1" applyAlignment="1">
      <alignment horizontal="left"/>
    </xf>
    <xf numFmtId="0" fontId="12" fillId="103" borderId="72" xfId="0" applyFont="1" applyFill="1" applyBorder="1" applyAlignment="1">
      <alignment vertical="center" wrapText="1"/>
    </xf>
    <xf numFmtId="0" fontId="11" fillId="103" borderId="71" xfId="0" applyFont="1" applyFill="1" applyBorder="1" applyAlignment="1">
      <alignment vertical="center"/>
    </xf>
    <xf numFmtId="168" fontId="11" fillId="103" borderId="76" xfId="16" applyNumberFormat="1" applyFont="1" applyFill="1" applyBorder="1" applyAlignment="1">
      <alignment horizontal="right" vertical="center" wrapText="1"/>
    </xf>
    <xf numFmtId="0" fontId="8" fillId="103" borderId="0" xfId="0" applyFont="1" applyFill="1"/>
    <xf numFmtId="168" fontId="11" fillId="103" borderId="72" xfId="16" applyNumberFormat="1" applyFont="1" applyFill="1" applyBorder="1" applyAlignment="1">
      <alignment horizontal="right" vertical="center" wrapText="1"/>
    </xf>
    <xf numFmtId="0" fontId="0" fillId="0" borderId="0" xfId="0" applyBorder="1"/>
    <xf numFmtId="3" fontId="11" fillId="103" borderId="0" xfId="0" applyNumberFormat="1" applyFont="1" applyFill="1" applyBorder="1" applyAlignment="1">
      <alignment horizontal="right" vertical="center" wrapText="1"/>
    </xf>
    <xf numFmtId="0" fontId="0" fillId="103" borderId="0" xfId="0" applyFill="1" applyBorder="1"/>
    <xf numFmtId="0" fontId="11" fillId="103" borderId="0" xfId="0" applyFont="1" applyFill="1" applyBorder="1" applyAlignment="1">
      <alignment vertical="center"/>
    </xf>
    <xf numFmtId="168" fontId="9" fillId="103" borderId="0" xfId="16" applyNumberFormat="1" applyFont="1" applyFill="1" applyBorder="1"/>
    <xf numFmtId="0" fontId="11" fillId="102" borderId="96" xfId="0" applyFont="1" applyFill="1" applyBorder="1" applyAlignment="1">
      <alignment vertical="center"/>
    </xf>
    <xf numFmtId="0" fontId="12" fillId="100" borderId="77" xfId="0" applyFont="1" applyFill="1" applyBorder="1" applyAlignment="1">
      <alignment vertical="center" wrapText="1"/>
    </xf>
    <xf numFmtId="0" fontId="20" fillId="0" borderId="0" xfId="0" applyFont="1" applyAlignment="1">
      <alignment vertical="center"/>
    </xf>
    <xf numFmtId="0" fontId="17" fillId="0" borderId="0" xfId="17" applyFont="1" applyAlignment="1">
      <alignment horizontal="left"/>
    </xf>
    <xf numFmtId="0" fontId="18" fillId="0" borderId="0" xfId="17" applyFont="1" applyAlignment="1">
      <alignment horizontal="left"/>
    </xf>
    <xf numFmtId="0" fontId="19" fillId="0" borderId="0" xfId="17" applyFont="1" applyAlignment="1">
      <alignment horizontal="left"/>
    </xf>
    <xf numFmtId="0" fontId="19" fillId="0" borderId="69" xfId="17" applyFont="1" applyBorder="1" applyAlignment="1">
      <alignment horizontal="left"/>
    </xf>
    <xf numFmtId="168" fontId="8" fillId="0" borderId="0" xfId="0" applyNumberFormat="1" applyFont="1"/>
    <xf numFmtId="0" fontId="0" fillId="0" borderId="0" xfId="0" applyAlignment="1">
      <alignment horizontal="center"/>
    </xf>
    <xf numFmtId="168" fontId="18" fillId="0" borderId="0" xfId="28" applyNumberFormat="1" applyFont="1" applyFill="1" applyBorder="1" applyAlignment="1">
      <alignment horizontal="left" indent="2"/>
    </xf>
    <xf numFmtId="169" fontId="19" fillId="0" borderId="0" xfId="28" applyNumberFormat="1" applyFont="1" applyFill="1" applyBorder="1" applyAlignment="1">
      <alignment horizontal="left" indent="2"/>
    </xf>
    <xf numFmtId="0" fontId="0" fillId="0" borderId="0" xfId="0" applyAlignment="1">
      <alignment horizontal="center" vertical="center"/>
    </xf>
    <xf numFmtId="0" fontId="154" fillId="0" borderId="0" xfId="2109" applyFont="1"/>
    <xf numFmtId="0" fontId="154" fillId="0" borderId="0" xfId="2109" applyFont="1" applyAlignment="1">
      <alignment horizontal="center"/>
    </xf>
    <xf numFmtId="0" fontId="154" fillId="0" borderId="0" xfId="2109" applyFont="1" applyAlignment="1">
      <alignment horizontal="center" vertical="center"/>
    </xf>
    <xf numFmtId="0" fontId="156" fillId="0" borderId="0" xfId="0" applyFont="1" applyAlignment="1">
      <alignment horizontal="center" vertical="center"/>
    </xf>
    <xf numFmtId="0" fontId="157" fillId="0" borderId="0" xfId="0" applyFont="1" applyAlignment="1">
      <alignment vertical="center"/>
    </xf>
    <xf numFmtId="0" fontId="157" fillId="0" borderId="0" xfId="0" applyFont="1" applyAlignment="1">
      <alignment horizontal="center" vertical="center"/>
    </xf>
    <xf numFmtId="0" fontId="158" fillId="0" borderId="0" xfId="0" applyFont="1" applyAlignment="1">
      <alignment horizontal="left"/>
    </xf>
    <xf numFmtId="169" fontId="17" fillId="0" borderId="0" xfId="17" applyNumberFormat="1" applyFont="1" applyFill="1" applyBorder="1" applyAlignment="1">
      <alignment horizontal="center"/>
    </xf>
    <xf numFmtId="0" fontId="159" fillId="0" borderId="0" xfId="0" applyFont="1" applyAlignment="1">
      <alignment vertical="center"/>
    </xf>
    <xf numFmtId="0" fontId="11" fillId="99" borderId="97" xfId="0" applyFont="1" applyFill="1" applyBorder="1" applyAlignment="1">
      <alignment vertical="center"/>
    </xf>
    <xf numFmtId="0" fontId="11" fillId="99" borderId="96" xfId="0" applyFont="1" applyFill="1" applyBorder="1" applyAlignment="1">
      <alignment vertical="center"/>
    </xf>
    <xf numFmtId="0" fontId="12" fillId="100" borderId="0" xfId="0" applyFont="1" applyFill="1" applyBorder="1" applyAlignment="1">
      <alignment vertical="center" wrapText="1"/>
    </xf>
    <xf numFmtId="0" fontId="23" fillId="100" borderId="0" xfId="0" applyFont="1" applyFill="1" applyBorder="1" applyAlignment="1">
      <alignment horizontal="right" vertical="center" wrapText="1"/>
    </xf>
    <xf numFmtId="0" fontId="9" fillId="101" borderId="0" xfId="0" applyFont="1" applyFill="1" applyBorder="1" applyAlignment="1">
      <alignment horizontal="left" vertical="center" wrapText="1" indent="1"/>
    </xf>
    <xf numFmtId="0" fontId="11" fillId="102" borderId="0" xfId="0" applyFont="1" applyFill="1" applyBorder="1" applyAlignment="1">
      <alignment vertical="center"/>
    </xf>
    <xf numFmtId="169" fontId="11" fillId="102" borderId="0" xfId="16" applyNumberFormat="1" applyFont="1" applyFill="1" applyBorder="1" applyAlignment="1">
      <alignment horizontal="right" vertical="center" wrapText="1"/>
    </xf>
    <xf numFmtId="169" fontId="12" fillId="100" borderId="0" xfId="16" applyNumberFormat="1" applyFont="1" applyFill="1" applyBorder="1" applyAlignment="1">
      <alignment horizontal="right" vertical="center" wrapText="1"/>
    </xf>
    <xf numFmtId="0" fontId="11" fillId="99" borderId="0" xfId="0" applyFont="1" applyFill="1" applyBorder="1" applyAlignment="1">
      <alignment vertical="center"/>
    </xf>
    <xf numFmtId="0" fontId="11" fillId="99" borderId="0" xfId="0" applyFont="1" applyFill="1" applyBorder="1" applyAlignment="1">
      <alignment horizontal="right" vertical="center"/>
    </xf>
    <xf numFmtId="0" fontId="9" fillId="100" borderId="0" xfId="0" applyFont="1" applyFill="1" applyBorder="1" applyAlignment="1">
      <alignment horizontal="right" vertical="center" wrapText="1"/>
    </xf>
    <xf numFmtId="0" fontId="12" fillId="104" borderId="0" xfId="0" applyFont="1" applyFill="1" applyBorder="1" applyAlignment="1">
      <alignment vertical="center" wrapText="1"/>
    </xf>
    <xf numFmtId="0" fontId="9" fillId="104" borderId="0" xfId="0" applyFont="1" applyFill="1" applyBorder="1" applyAlignment="1">
      <alignment horizontal="right" vertical="center" wrapText="1"/>
    </xf>
    <xf numFmtId="0" fontId="9" fillId="103" borderId="0" xfId="0" applyFont="1" applyFill="1" applyBorder="1" applyAlignment="1">
      <alignment horizontal="left" vertical="center" wrapText="1" indent="1"/>
    </xf>
    <xf numFmtId="0" fontId="9" fillId="103" borderId="72" xfId="0" applyFont="1" applyFill="1" applyBorder="1" applyAlignment="1">
      <alignment horizontal="left" vertical="center" wrapText="1" indent="1"/>
    </xf>
    <xf numFmtId="168" fontId="9" fillId="103" borderId="78" xfId="16" applyNumberFormat="1" applyFont="1" applyFill="1" applyBorder="1"/>
    <xf numFmtId="0" fontId="10" fillId="0" borderId="0" xfId="0" applyFont="1" applyBorder="1"/>
    <xf numFmtId="0" fontId="8" fillId="0" borderId="0" xfId="0" applyFont="1" applyBorder="1"/>
    <xf numFmtId="0" fontId="9" fillId="103" borderId="80" xfId="0" applyFont="1" applyFill="1" applyBorder="1" applyAlignment="1">
      <alignment horizontal="left" vertical="center" wrapText="1" indent="1"/>
    </xf>
    <xf numFmtId="168" fontId="9" fillId="103" borderId="94" xfId="16" applyNumberFormat="1" applyFont="1" applyFill="1" applyBorder="1"/>
    <xf numFmtId="43" fontId="8" fillId="0" borderId="0" xfId="16" applyFont="1"/>
    <xf numFmtId="43" fontId="8" fillId="0" borderId="0" xfId="16" applyFont="1" applyBorder="1"/>
    <xf numFmtId="0" fontId="25" fillId="98" borderId="0" xfId="0" applyFont="1" applyFill="1"/>
    <xf numFmtId="0" fontId="11" fillId="99" borderId="0" xfId="0" applyFont="1" applyFill="1" applyAlignment="1">
      <alignment vertical="center"/>
    </xf>
    <xf numFmtId="0" fontId="12" fillId="100" borderId="0" xfId="0" applyFont="1" applyFill="1" applyAlignment="1">
      <alignment vertical="center" wrapText="1"/>
    </xf>
    <xf numFmtId="0" fontId="23" fillId="100" borderId="0" xfId="0" applyFont="1" applyFill="1" applyAlignment="1">
      <alignment horizontal="right" vertical="center" wrapText="1"/>
    </xf>
    <xf numFmtId="0" fontId="9" fillId="101" borderId="0" xfId="0" applyFont="1" applyFill="1" applyAlignment="1">
      <alignment horizontal="left" vertical="center" wrapText="1" indent="1"/>
    </xf>
    <xf numFmtId="3" fontId="11" fillId="103" borderId="0" xfId="0" applyNumberFormat="1" applyFont="1" applyFill="1" applyAlignment="1">
      <alignment horizontal="right" vertical="center" wrapText="1"/>
    </xf>
    <xf numFmtId="0" fontId="11" fillId="99" borderId="0" xfId="0" applyFont="1" applyFill="1" applyAlignment="1">
      <alignment horizontal="right" vertical="center"/>
    </xf>
    <xf numFmtId="0" fontId="9" fillId="100" borderId="0" xfId="0" applyFont="1" applyFill="1" applyAlignment="1">
      <alignment horizontal="right" vertical="center" wrapText="1"/>
    </xf>
    <xf numFmtId="0" fontId="12" fillId="104" borderId="0" xfId="0" applyFont="1" applyFill="1" applyAlignment="1">
      <alignment vertical="center" wrapText="1"/>
    </xf>
    <xf numFmtId="0" fontId="9" fillId="104" borderId="0" xfId="0" applyFont="1" applyFill="1" applyAlignment="1">
      <alignment horizontal="right" vertical="center" wrapText="1"/>
    </xf>
    <xf numFmtId="0" fontId="161" fillId="0" borderId="0" xfId="0" applyFont="1" applyAlignment="1">
      <alignment horizontal="center" vertical="center"/>
    </xf>
    <xf numFmtId="0" fontId="161" fillId="0" borderId="0" xfId="0" applyFont="1" applyAlignment="1">
      <alignment horizontal="left" vertical="center"/>
    </xf>
    <xf numFmtId="3" fontId="161" fillId="0" borderId="0" xfId="0" applyNumberFormat="1" applyFont="1" applyAlignment="1">
      <alignment horizontal="center" vertical="center"/>
    </xf>
    <xf numFmtId="174" fontId="161" fillId="0" borderId="0" xfId="0" applyNumberFormat="1" applyFont="1" applyAlignment="1">
      <alignment horizontal="center" vertical="center"/>
    </xf>
    <xf numFmtId="0" fontId="162" fillId="0" borderId="0" xfId="0" applyFont="1" applyAlignment="1">
      <alignment horizontal="left" vertical="center"/>
    </xf>
    <xf numFmtId="168" fontId="19" fillId="0" borderId="69" xfId="18" applyNumberFormat="1" applyFont="1" applyFill="1" applyBorder="1" applyAlignment="1">
      <alignment horizontal="center"/>
    </xf>
    <xf numFmtId="0" fontId="35" fillId="103" borderId="0" xfId="22" applyFont="1" applyFill="1" applyAlignment="1">
      <alignment horizontal="center"/>
    </xf>
    <xf numFmtId="0" fontId="167" fillId="0" borderId="0" xfId="0" applyFont="1"/>
    <xf numFmtId="0" fontId="171" fillId="105" borderId="79" xfId="0" applyFont="1" applyFill="1" applyBorder="1" applyAlignment="1">
      <alignment horizontal="center" vertical="center" wrapText="1"/>
    </xf>
    <xf numFmtId="0" fontId="172" fillId="99" borderId="97" xfId="0" applyFont="1" applyFill="1" applyBorder="1" applyAlignment="1">
      <alignment vertical="center"/>
    </xf>
    <xf numFmtId="0" fontId="173" fillId="100" borderId="0" xfId="0" applyFont="1" applyFill="1" applyAlignment="1">
      <alignment horizontal="right" vertical="center" wrapText="1"/>
    </xf>
    <xf numFmtId="168" fontId="22" fillId="109" borderId="0" xfId="16" applyNumberFormat="1" applyFont="1" applyFill="1" applyBorder="1"/>
    <xf numFmtId="169" fontId="172" fillId="102" borderId="0" xfId="16" applyNumberFormat="1" applyFont="1" applyFill="1" applyBorder="1" applyAlignment="1">
      <alignment horizontal="right" vertical="center" wrapText="1"/>
    </xf>
    <xf numFmtId="169" fontId="174" fillId="100" borderId="0" xfId="16" applyNumberFormat="1" applyFont="1" applyFill="1" applyBorder="1" applyAlignment="1">
      <alignment horizontal="right" vertical="center" wrapText="1"/>
    </xf>
    <xf numFmtId="3" fontId="172" fillId="109" borderId="0" xfId="0" applyNumberFormat="1" applyFont="1" applyFill="1" applyAlignment="1">
      <alignment horizontal="right" vertical="center" wrapText="1"/>
    </xf>
    <xf numFmtId="0" fontId="172"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0" fillId="0" borderId="79" xfId="0" applyBorder="1"/>
    <xf numFmtId="0" fontId="176" fillId="0" borderId="0" xfId="0" applyFont="1"/>
    <xf numFmtId="0" fontId="177" fillId="0" borderId="0" xfId="0" applyFont="1"/>
    <xf numFmtId="0" fontId="0" fillId="109" borderId="0" xfId="0" applyFill="1"/>
    <xf numFmtId="0" fontId="178" fillId="109" borderId="0" xfId="0" applyFont="1" applyFill="1" applyBorder="1"/>
    <xf numFmtId="0" fontId="0" fillId="109" borderId="0" xfId="0" applyFill="1" applyBorder="1"/>
    <xf numFmtId="0" fontId="5" fillId="0" borderId="0" xfId="8" applyFill="1"/>
    <xf numFmtId="1" fontId="32" fillId="111" borderId="0" xfId="0" applyNumberFormat="1" applyFont="1" applyFill="1" applyAlignment="1">
      <alignment horizontal="center" vertical="center" wrapText="1"/>
    </xf>
    <xf numFmtId="0" fontId="32" fillId="111" borderId="0" xfId="0" applyFont="1" applyFill="1" applyAlignment="1">
      <alignment horizontal="center" vertical="center" wrapText="1"/>
    </xf>
    <xf numFmtId="0" fontId="19" fillId="0" borderId="110" xfId="17" applyFont="1" applyFill="1" applyBorder="1" applyAlignment="1">
      <alignment horizontal="left"/>
    </xf>
    <xf numFmtId="169" fontId="19" fillId="0" borderId="110" xfId="28" applyNumberFormat="1" applyFont="1" applyFill="1" applyBorder="1" applyAlignment="1">
      <alignment horizontal="left" indent="2"/>
    </xf>
    <xf numFmtId="0" fontId="155" fillId="109" borderId="0" xfId="7" applyFont="1" applyFill="1" applyAlignment="1">
      <alignment vertical="center"/>
    </xf>
    <xf numFmtId="0" fontId="155" fillId="109" borderId="0" xfId="7" applyFont="1" applyFill="1" applyAlignment="1">
      <alignment horizontal="center" vertical="center"/>
    </xf>
    <xf numFmtId="0" fontId="32" fillId="112" borderId="0" xfId="7868" applyFont="1" applyFill="1" applyAlignment="1">
      <alignment horizontal="left" vertical="center"/>
    </xf>
    <xf numFmtId="169" fontId="32" fillId="112" borderId="0" xfId="16" applyNumberFormat="1" applyFont="1" applyFill="1" applyAlignment="1">
      <alignment horizontal="center" vertical="center"/>
    </xf>
    <xf numFmtId="0" fontId="155" fillId="113" borderId="0" xfId="7" applyFont="1" applyFill="1" applyAlignment="1">
      <alignment vertical="center"/>
    </xf>
    <xf numFmtId="0" fontId="155" fillId="113" borderId="0" xfId="7" applyFont="1" applyFill="1" applyAlignment="1">
      <alignment horizontal="center" vertical="center"/>
    </xf>
    <xf numFmtId="1" fontId="32" fillId="114" borderId="0" xfId="0" applyNumberFormat="1" applyFont="1" applyFill="1" applyAlignment="1">
      <alignment horizontal="center" vertical="center" wrapText="1"/>
    </xf>
    <xf numFmtId="0" fontId="32" fillId="114" borderId="0" xfId="0" applyFont="1" applyFill="1" applyAlignment="1">
      <alignment horizontal="center" vertical="center" wrapText="1"/>
    </xf>
    <xf numFmtId="169" fontId="32" fillId="112" borderId="0" xfId="16" applyNumberFormat="1" applyFont="1" applyFill="1" applyAlignment="1">
      <alignment horizontal="left" vertical="center"/>
    </xf>
    <xf numFmtId="0" fontId="19" fillId="0" borderId="110" xfId="17" applyFont="1" applyFill="1" applyBorder="1" applyAlignment="1">
      <alignment horizontal="left" wrapText="1"/>
    </xf>
    <xf numFmtId="169" fontId="32" fillId="112" borderId="0" xfId="5112" applyNumberFormat="1" applyFont="1" applyFill="1" applyAlignment="1">
      <alignment horizontal="center" vertical="center"/>
    </xf>
    <xf numFmtId="0" fontId="153" fillId="109" borderId="0" xfId="0" applyFont="1" applyFill="1" applyAlignment="1">
      <alignment vertical="center"/>
    </xf>
    <xf numFmtId="217" fontId="157" fillId="109" borderId="0" xfId="7867" applyNumberFormat="1" applyFont="1" applyFill="1" applyBorder="1" applyAlignment="1">
      <alignment horizontal="center" vertical="center"/>
    </xf>
    <xf numFmtId="168" fontId="18" fillId="0" borderId="0" xfId="28" applyNumberFormat="1" applyFont="1" applyFill="1" applyBorder="1" applyAlignment="1">
      <alignment horizontal="right" indent="2"/>
    </xf>
    <xf numFmtId="0" fontId="156" fillId="109" borderId="0" xfId="0" applyFont="1" applyFill="1" applyAlignment="1">
      <alignment vertical="center"/>
    </xf>
    <xf numFmtId="0" fontId="157" fillId="109" borderId="0" xfId="0" applyFont="1" applyFill="1" applyAlignment="1">
      <alignment horizontal="center" vertical="center"/>
    </xf>
    <xf numFmtId="0" fontId="157" fillId="109" borderId="0" xfId="0" applyFont="1" applyFill="1" applyAlignment="1">
      <alignment vertical="center"/>
    </xf>
    <xf numFmtId="0" fontId="153" fillId="109" borderId="0" xfId="7" applyFont="1" applyFill="1" applyAlignment="1">
      <alignment vertical="center"/>
    </xf>
    <xf numFmtId="217" fontId="153" fillId="109" borderId="0" xfId="7867" applyNumberFormat="1" applyFont="1" applyFill="1" applyBorder="1" applyAlignment="1">
      <alignment horizontal="center" vertical="center"/>
    </xf>
    <xf numFmtId="169" fontId="153" fillId="109" borderId="0" xfId="5112" applyNumberFormat="1" applyFont="1" applyFill="1" applyBorder="1" applyAlignment="1">
      <alignment horizontal="center" vertical="center"/>
    </xf>
    <xf numFmtId="0" fontId="32" fillId="109" borderId="0" xfId="7868" applyFont="1" applyFill="1" applyAlignment="1">
      <alignment horizontal="left" vertical="center"/>
    </xf>
    <xf numFmtId="217" fontId="32" fillId="109" borderId="0" xfId="7867" applyNumberFormat="1" applyFont="1" applyFill="1" applyBorder="1" applyAlignment="1">
      <alignment horizontal="center" vertical="center"/>
    </xf>
    <xf numFmtId="0" fontId="24" fillId="115" borderId="0" xfId="0" applyFont="1" applyFill="1" applyAlignment="1">
      <alignment horizontal="center" vertical="center"/>
    </xf>
    <xf numFmtId="169" fontId="19" fillId="0" borderId="110" xfId="18" applyNumberFormat="1" applyFont="1" applyFill="1" applyBorder="1" applyAlignment="1">
      <alignment horizontal="center"/>
    </xf>
    <xf numFmtId="168" fontId="19" fillId="0" borderId="110" xfId="18" applyNumberFormat="1" applyFont="1" applyFill="1" applyBorder="1" applyAlignment="1">
      <alignment horizontal="center"/>
    </xf>
    <xf numFmtId="0" fontId="17" fillId="115" borderId="0" xfId="0" applyFont="1" applyFill="1" applyAlignment="1">
      <alignment horizontal="center" vertical="center"/>
    </xf>
    <xf numFmtId="0" fontId="11" fillId="116" borderId="70" xfId="0" applyFont="1" applyFill="1" applyBorder="1" applyAlignment="1">
      <alignment vertical="center"/>
    </xf>
    <xf numFmtId="0" fontId="23" fillId="117" borderId="73" xfId="0" applyFont="1" applyFill="1" applyBorder="1" applyAlignment="1">
      <alignment horizontal="right" vertical="center" wrapText="1"/>
    </xf>
    <xf numFmtId="169" fontId="11" fillId="118" borderId="73" xfId="16" applyNumberFormat="1" applyFont="1" applyFill="1" applyBorder="1" applyAlignment="1">
      <alignment horizontal="right" vertical="center" wrapText="1"/>
    </xf>
    <xf numFmtId="169" fontId="12" fillId="117" borderId="76" xfId="16" applyNumberFormat="1" applyFont="1" applyFill="1" applyBorder="1" applyAlignment="1">
      <alignment horizontal="right" vertical="center" wrapText="1"/>
    </xf>
    <xf numFmtId="169" fontId="11" fillId="118" borderId="76" xfId="16" applyNumberFormat="1" applyFont="1" applyFill="1" applyBorder="1" applyAlignment="1">
      <alignment horizontal="right" vertical="center" wrapText="1"/>
    </xf>
    <xf numFmtId="3" fontId="11" fillId="119" borderId="73" xfId="0" applyNumberFormat="1" applyFont="1" applyFill="1" applyBorder="1" applyAlignment="1">
      <alignment horizontal="right" vertical="center" wrapText="1"/>
    </xf>
    <xf numFmtId="0" fontId="11" fillId="116" borderId="73" xfId="0" applyFont="1" applyFill="1" applyBorder="1" applyAlignment="1">
      <alignment horizontal="right" vertical="center"/>
    </xf>
    <xf numFmtId="0" fontId="9" fillId="117" borderId="73" xfId="0" applyFont="1" applyFill="1" applyBorder="1" applyAlignment="1">
      <alignment horizontal="right" vertical="center" wrapText="1"/>
    </xf>
    <xf numFmtId="0" fontId="9" fillId="120" borderId="73" xfId="0" applyFont="1" applyFill="1" applyBorder="1" applyAlignment="1">
      <alignment horizontal="right" vertical="center" wrapText="1"/>
    </xf>
    <xf numFmtId="169" fontId="12" fillId="121" borderId="76" xfId="16" applyNumberFormat="1" applyFont="1" applyFill="1" applyBorder="1" applyAlignment="1">
      <alignment horizontal="right" vertical="center" wrapText="1"/>
    </xf>
    <xf numFmtId="0" fontId="179" fillId="0" borderId="0" xfId="0" applyFont="1"/>
    <xf numFmtId="0" fontId="171" fillId="115" borderId="0" xfId="0" applyFont="1" applyFill="1" applyAlignment="1">
      <alignment horizontal="center" vertical="center"/>
    </xf>
    <xf numFmtId="0" fontId="182" fillId="0" borderId="0" xfId="0" applyFont="1" applyAlignment="1">
      <alignment vertical="center"/>
    </xf>
    <xf numFmtId="0" fontId="173" fillId="0" borderId="0" xfId="0" applyFont="1" applyAlignment="1">
      <alignment vertical="center"/>
    </xf>
    <xf numFmtId="0" fontId="183" fillId="0" borderId="0" xfId="0" applyFont="1"/>
    <xf numFmtId="0" fontId="16" fillId="115" borderId="0" xfId="0" applyFont="1" applyFill="1" applyAlignment="1">
      <alignment horizontal="center" vertical="center"/>
    </xf>
    <xf numFmtId="0" fontId="172" fillId="116" borderId="70" xfId="0" applyFont="1" applyFill="1" applyBorder="1" applyAlignment="1">
      <alignment vertical="center"/>
    </xf>
    <xf numFmtId="0" fontId="173" fillId="117" borderId="73" xfId="0" applyFont="1" applyFill="1" applyBorder="1" applyAlignment="1">
      <alignment horizontal="right" vertical="center" wrapText="1"/>
    </xf>
    <xf numFmtId="168" fontId="22" fillId="0" borderId="74" xfId="16" applyNumberFormat="1" applyFont="1" applyFill="1" applyBorder="1"/>
    <xf numFmtId="169" fontId="172" fillId="118" borderId="73" xfId="16" applyNumberFormat="1" applyFont="1" applyFill="1" applyBorder="1" applyAlignment="1">
      <alignment horizontal="right" vertical="center" wrapText="1"/>
    </xf>
    <xf numFmtId="169" fontId="174" fillId="117" borderId="76" xfId="16" applyNumberFormat="1" applyFont="1" applyFill="1" applyBorder="1" applyAlignment="1">
      <alignment horizontal="right" vertical="center" wrapText="1"/>
    </xf>
    <xf numFmtId="169" fontId="172" fillId="118" borderId="76" xfId="16" applyNumberFormat="1" applyFont="1" applyFill="1" applyBorder="1" applyAlignment="1">
      <alignment horizontal="right" vertical="center" wrapText="1"/>
    </xf>
    <xf numFmtId="3" fontId="172" fillId="119" borderId="73" xfId="0" applyNumberFormat="1" applyFont="1" applyFill="1" applyBorder="1" applyAlignment="1">
      <alignment horizontal="right" vertical="center" wrapText="1"/>
    </xf>
    <xf numFmtId="0" fontId="172" fillId="116" borderId="73" xfId="0" applyFont="1" applyFill="1" applyBorder="1" applyAlignment="1">
      <alignment horizontal="right" vertical="center"/>
    </xf>
    <xf numFmtId="0" fontId="22" fillId="117" borderId="73" xfId="0" applyFont="1" applyFill="1" applyBorder="1" applyAlignment="1">
      <alignment horizontal="right" vertical="center" wrapText="1"/>
    </xf>
    <xf numFmtId="0" fontId="22" fillId="120" borderId="73" xfId="0" applyFont="1" applyFill="1" applyBorder="1" applyAlignment="1">
      <alignment horizontal="right" vertical="center" wrapText="1"/>
    </xf>
    <xf numFmtId="43" fontId="14" fillId="0" borderId="0" xfId="16" applyFont="1" applyFill="1" applyBorder="1"/>
    <xf numFmtId="168" fontId="179" fillId="0" borderId="0" xfId="0" applyNumberFormat="1" applyFont="1"/>
    <xf numFmtId="168" fontId="22" fillId="0" borderId="78" xfId="16" applyNumberFormat="1" applyFont="1" applyFill="1" applyBorder="1"/>
    <xf numFmtId="0" fontId="14" fillId="0" borderId="0" xfId="0" applyFont="1"/>
    <xf numFmtId="168" fontId="180" fillId="0" borderId="0" xfId="18" applyNumberFormat="1" applyFont="1" applyFill="1" applyBorder="1" applyAlignment="1">
      <alignment horizontal="center"/>
    </xf>
    <xf numFmtId="169" fontId="181" fillId="0" borderId="110" xfId="18" applyNumberFormat="1" applyFont="1" applyFill="1" applyBorder="1" applyAlignment="1">
      <alignment horizontal="center"/>
    </xf>
    <xf numFmtId="168" fontId="181" fillId="0" borderId="110" xfId="18" applyNumberFormat="1" applyFont="1" applyFill="1" applyBorder="1" applyAlignment="1">
      <alignment horizontal="center"/>
    </xf>
    <xf numFmtId="169" fontId="184" fillId="0" borderId="0" xfId="16" applyNumberFormat="1" applyFont="1" applyFill="1" applyBorder="1" applyAlignment="1">
      <alignment vertical="center"/>
    </xf>
    <xf numFmtId="169" fontId="179" fillId="0" borderId="0" xfId="0" applyNumberFormat="1" applyFont="1"/>
    <xf numFmtId="0" fontId="16" fillId="98" borderId="0" xfId="0" applyFont="1" applyFill="1" applyAlignment="1">
      <alignment horizontal="center" vertical="center"/>
    </xf>
    <xf numFmtId="0" fontId="172" fillId="99" borderId="70" xfId="0" applyFont="1" applyFill="1" applyBorder="1" applyAlignment="1">
      <alignment vertical="center"/>
    </xf>
    <xf numFmtId="0" fontId="173" fillId="100" borderId="73" xfId="0" applyFont="1" applyFill="1" applyBorder="1" applyAlignment="1">
      <alignment horizontal="right" vertical="center" wrapText="1"/>
    </xf>
    <xf numFmtId="169" fontId="172" fillId="102" borderId="73" xfId="16" applyNumberFormat="1" applyFont="1" applyFill="1" applyBorder="1" applyAlignment="1">
      <alignment horizontal="right" vertical="center" wrapText="1"/>
    </xf>
    <xf numFmtId="169" fontId="174" fillId="100" borderId="76" xfId="16" applyNumberFormat="1" applyFont="1" applyFill="1" applyBorder="1" applyAlignment="1">
      <alignment horizontal="right" vertical="center" wrapText="1"/>
    </xf>
    <xf numFmtId="169" fontId="172" fillId="102" borderId="76" xfId="16" applyNumberFormat="1" applyFont="1" applyFill="1" applyBorder="1" applyAlignment="1">
      <alignment horizontal="right" vertical="center" wrapText="1"/>
    </xf>
    <xf numFmtId="3" fontId="172" fillId="109" borderId="73" xfId="0" applyNumberFormat="1" applyFont="1" applyFill="1" applyBorder="1" applyAlignment="1">
      <alignment horizontal="right" vertical="center" wrapText="1"/>
    </xf>
    <xf numFmtId="0" fontId="172" fillId="99" borderId="73" xfId="0" applyFont="1" applyFill="1" applyBorder="1" applyAlignment="1">
      <alignment horizontal="right" vertical="center"/>
    </xf>
    <xf numFmtId="0" fontId="22" fillId="100" borderId="73" xfId="0" applyFont="1" applyFill="1" applyBorder="1" applyAlignment="1">
      <alignment horizontal="right" vertical="center" wrapText="1"/>
    </xf>
    <xf numFmtId="168" fontId="22" fillId="0" borderId="0" xfId="16" applyNumberFormat="1" applyFont="1" applyFill="1" applyBorder="1"/>
    <xf numFmtId="0" fontId="22" fillId="104" borderId="73" xfId="0" applyFont="1" applyFill="1" applyBorder="1" applyAlignment="1">
      <alignment horizontal="right" vertical="center" wrapText="1"/>
    </xf>
    <xf numFmtId="168" fontId="181" fillId="0" borderId="0" xfId="18" applyNumberFormat="1" applyFont="1" applyFill="1" applyBorder="1" applyAlignment="1">
      <alignment horizontal="center"/>
    </xf>
    <xf numFmtId="0" fontId="27" fillId="0" borderId="0" xfId="0" applyFont="1"/>
    <xf numFmtId="168" fontId="22" fillId="109" borderId="78" xfId="16" applyNumberFormat="1" applyFont="1" applyFill="1" applyBorder="1"/>
    <xf numFmtId="168" fontId="22" fillId="109" borderId="94" xfId="16" applyNumberFormat="1" applyFont="1" applyFill="1" applyBorder="1"/>
    <xf numFmtId="43" fontId="27" fillId="0" borderId="0" xfId="16" applyFont="1" applyBorder="1"/>
    <xf numFmtId="0" fontId="171" fillId="98" borderId="0" xfId="0" applyFont="1" applyFill="1" applyAlignment="1">
      <alignment horizontal="center" vertical="center"/>
    </xf>
    <xf numFmtId="0" fontId="172" fillId="99" borderId="0" xfId="0" applyFont="1" applyFill="1" applyAlignment="1">
      <alignment vertical="center"/>
    </xf>
    <xf numFmtId="43" fontId="27" fillId="0" borderId="0" xfId="16" applyFont="1"/>
    <xf numFmtId="173" fontId="185" fillId="0" borderId="0" xfId="22" applyNumberFormat="1" applyFont="1" applyAlignment="1">
      <alignment horizontal="left"/>
    </xf>
    <xf numFmtId="171" fontId="185" fillId="109" borderId="0" xfId="26" applyFont="1" applyFill="1" applyBorder="1" applyAlignment="1">
      <alignment horizontal="right" vertical="center" indent="1"/>
    </xf>
    <xf numFmtId="171" fontId="187" fillId="109" borderId="0" xfId="26" applyFont="1" applyFill="1" applyBorder="1" applyAlignment="1">
      <alignment horizontal="right" vertical="center" indent="1"/>
    </xf>
    <xf numFmtId="0" fontId="185" fillId="106" borderId="0" xfId="22" applyFont="1" applyFill="1" applyAlignment="1">
      <alignment horizontal="left" vertical="center" indent="1"/>
    </xf>
    <xf numFmtId="170" fontId="185" fillId="106" borderId="0" xfId="23" applyNumberFormat="1" applyFont="1" applyFill="1" applyBorder="1" applyAlignment="1"/>
    <xf numFmtId="14" fontId="185" fillId="106" borderId="0" xfId="23" applyNumberFormat="1" applyFont="1" applyFill="1" applyBorder="1" applyAlignment="1">
      <alignment horizontal="center"/>
    </xf>
    <xf numFmtId="170" fontId="185" fillId="106" borderId="0" xfId="23" applyNumberFormat="1" applyFont="1" applyFill="1" applyBorder="1" applyAlignment="1">
      <alignment horizontal="center"/>
    </xf>
    <xf numFmtId="9" fontId="185" fillId="106" borderId="0" xfId="24" applyFont="1" applyFill="1" applyBorder="1" applyAlignment="1">
      <alignment horizontal="center"/>
    </xf>
    <xf numFmtId="173" fontId="185" fillId="106" borderId="0" xfId="24" applyNumberFormat="1" applyFont="1" applyFill="1" applyBorder="1" applyAlignment="1">
      <alignment horizontal="center"/>
    </xf>
    <xf numFmtId="173" fontId="185" fillId="0" borderId="0" xfId="24" applyNumberFormat="1" applyFont="1" applyFill="1" applyBorder="1" applyAlignment="1">
      <alignment horizontal="center"/>
    </xf>
    <xf numFmtId="0" fontId="33" fillId="109" borderId="0" xfId="22" applyFont="1" applyFill="1"/>
    <xf numFmtId="1" fontId="185" fillId="109" borderId="0" xfId="22" applyNumberFormat="1" applyFont="1" applyFill="1" applyAlignment="1">
      <alignment horizontal="center"/>
    </xf>
    <xf numFmtId="171" fontId="160" fillId="109" borderId="0" xfId="26" applyFont="1" applyFill="1" applyBorder="1" applyAlignment="1">
      <alignment horizontal="right" vertical="center" indent="1"/>
    </xf>
    <xf numFmtId="171" fontId="188" fillId="109" borderId="0" xfId="26" applyFont="1" applyFill="1" applyBorder="1" applyAlignment="1">
      <alignment horizontal="right" vertical="center" indent="1"/>
    </xf>
    <xf numFmtId="0" fontId="34" fillId="109" borderId="0" xfId="22" applyFont="1" applyFill="1" applyAlignment="1">
      <alignment horizontal="left" vertical="center" wrapText="1"/>
    </xf>
    <xf numFmtId="0" fontId="34" fillId="109" borderId="0" xfId="22" applyFont="1" applyFill="1" applyAlignment="1">
      <alignment horizontal="center" vertical="center" wrapText="1"/>
    </xf>
    <xf numFmtId="172" fontId="34" fillId="109" borderId="0" xfId="22" applyNumberFormat="1" applyFont="1" applyFill="1" applyAlignment="1">
      <alignment horizontal="right" vertical="center" wrapText="1"/>
    </xf>
    <xf numFmtId="173" fontId="171" fillId="112" borderId="84" xfId="22" applyNumberFormat="1" applyFont="1" applyFill="1" applyBorder="1" applyAlignment="1">
      <alignment horizontal="center" vertical="center" wrapText="1"/>
    </xf>
    <xf numFmtId="0" fontId="189" fillId="109" borderId="79" xfId="0" applyFont="1" applyFill="1" applyBorder="1"/>
    <xf numFmtId="0" fontId="190" fillId="109" borderId="79" xfId="0" applyFont="1" applyFill="1" applyBorder="1"/>
    <xf numFmtId="0" fontId="0" fillId="109" borderId="79" xfId="0" applyFill="1" applyBorder="1"/>
    <xf numFmtId="0" fontId="171" fillId="62" borderId="84" xfId="22" applyFont="1" applyFill="1" applyBorder="1" applyAlignment="1">
      <alignment vertical="center" wrapText="1"/>
    </xf>
    <xf numFmtId="0" fontId="171" fillId="62" borderId="84" xfId="22" applyFont="1" applyFill="1" applyBorder="1" applyAlignment="1">
      <alignment horizontal="left" vertical="center" wrapText="1"/>
    </xf>
    <xf numFmtId="0" fontId="186" fillId="109" borderId="0" xfId="22" applyFont="1" applyFill="1" applyAlignment="1">
      <alignment horizontal="left" vertical="center" wrapText="1"/>
    </xf>
    <xf numFmtId="0" fontId="186" fillId="109" borderId="0" xfId="22" applyFont="1" applyFill="1" applyAlignment="1">
      <alignment horizontal="center" vertical="center" wrapText="1"/>
    </xf>
    <xf numFmtId="0" fontId="185" fillId="109" borderId="0" xfId="22" applyFont="1" applyFill="1"/>
    <xf numFmtId="0" fontId="185" fillId="109" borderId="0" xfId="22" applyFont="1" applyFill="1" applyAlignment="1">
      <alignment horizontal="right"/>
    </xf>
    <xf numFmtId="173" fontId="185" fillId="109" borderId="0" xfId="22" applyNumberFormat="1" applyFont="1" applyFill="1" applyAlignment="1">
      <alignment horizontal="left"/>
    </xf>
    <xf numFmtId="10" fontId="185" fillId="106" borderId="0" xfId="24" applyNumberFormat="1" applyFont="1" applyFill="1" applyBorder="1" applyAlignment="1">
      <alignment horizontal="center"/>
    </xf>
    <xf numFmtId="0" fontId="186" fillId="109" borderId="0" xfId="22" applyFont="1" applyFill="1" applyAlignment="1">
      <alignment vertical="center" wrapText="1"/>
    </xf>
    <xf numFmtId="0" fontId="185" fillId="109" borderId="0" xfId="22" applyFont="1" applyFill="1" applyAlignment="1">
      <alignment horizontal="center" vertical="center"/>
    </xf>
    <xf numFmtId="170" fontId="185" fillId="106" borderId="0" xfId="22" applyNumberFormat="1" applyFont="1" applyFill="1" applyAlignment="1">
      <alignment horizontal="left" vertical="center" indent="1"/>
    </xf>
    <xf numFmtId="173" fontId="186" fillId="109" borderId="0" xfId="22" applyNumberFormat="1" applyFont="1" applyFill="1" applyAlignment="1">
      <alignment horizontal="center" vertical="center" wrapText="1"/>
    </xf>
    <xf numFmtId="0" fontId="185" fillId="109" borderId="91" xfId="22" applyFont="1" applyFill="1" applyBorder="1"/>
    <xf numFmtId="0" fontId="185" fillId="109" borderId="0" xfId="22" applyFont="1" applyFill="1" applyAlignment="1">
      <alignment horizontal="center"/>
    </xf>
    <xf numFmtId="173" fontId="185" fillId="109" borderId="0" xfId="22" applyNumberFormat="1" applyFont="1" applyFill="1" applyAlignment="1">
      <alignment horizontal="center"/>
    </xf>
    <xf numFmtId="0" fontId="33" fillId="109" borderId="0" xfId="22" applyFont="1" applyFill="1" applyAlignment="1">
      <alignment horizontal="center"/>
    </xf>
    <xf numFmtId="168" fontId="33" fillId="109" borderId="0" xfId="23" applyNumberFormat="1" applyFont="1" applyFill="1"/>
    <xf numFmtId="0" fontId="35" fillId="109" borderId="0" xfId="22" applyFont="1" applyFill="1" applyAlignment="1">
      <alignment horizontal="center"/>
    </xf>
    <xf numFmtId="168" fontId="34" fillId="109" borderId="0" xfId="23" applyNumberFormat="1" applyFont="1" applyFill="1" applyBorder="1" applyAlignment="1">
      <alignment horizontal="right" vertical="center" wrapText="1"/>
    </xf>
    <xf numFmtId="173" fontId="33" fillId="109" borderId="0" xfId="22" applyNumberFormat="1" applyFont="1" applyFill="1" applyAlignment="1">
      <alignment horizontal="center"/>
    </xf>
    <xf numFmtId="168" fontId="33" fillId="109" borderId="0" xfId="23" applyNumberFormat="1" applyFont="1" applyFill="1" applyBorder="1"/>
    <xf numFmtId="0" fontId="164" fillId="98" borderId="83" xfId="22" applyFont="1" applyFill="1" applyBorder="1" applyAlignment="1">
      <alignment horizontal="center" vertical="center" wrapText="1"/>
    </xf>
    <xf numFmtId="170" fontId="172" fillId="108" borderId="0" xfId="26" applyNumberFormat="1" applyFont="1" applyFill="1" applyBorder="1" applyAlignment="1">
      <alignment vertical="center"/>
    </xf>
    <xf numFmtId="168" fontId="22" fillId="0" borderId="94" xfId="26" applyNumberFormat="1" applyFont="1" applyFill="1" applyBorder="1"/>
    <xf numFmtId="170" fontId="184" fillId="108" borderId="0" xfId="26" applyNumberFormat="1" applyFont="1" applyFill="1" applyBorder="1" applyAlignment="1">
      <alignment vertical="center"/>
    </xf>
    <xf numFmtId="170" fontId="184" fillId="0" borderId="0" xfId="26" applyNumberFormat="1" applyFont="1" applyFill="1" applyBorder="1" applyAlignment="1">
      <alignment vertical="center"/>
    </xf>
    <xf numFmtId="170" fontId="173" fillId="0" borderId="0" xfId="21" applyNumberFormat="1" applyFont="1"/>
    <xf numFmtId="168" fontId="22" fillId="0" borderId="0" xfId="26" applyNumberFormat="1" applyFont="1" applyFill="1" applyBorder="1"/>
    <xf numFmtId="0" fontId="22" fillId="101" borderId="80" xfId="0" applyFont="1" applyFill="1" applyBorder="1" applyAlignment="1">
      <alignment horizontal="left" vertical="center" wrapText="1" indent="1"/>
    </xf>
    <xf numFmtId="0" fontId="173" fillId="0" borderId="0" xfId="21" applyFont="1"/>
    <xf numFmtId="0" fontId="24" fillId="105" borderId="0" xfId="0" applyFont="1" applyFill="1" applyBorder="1" applyAlignment="1">
      <alignment horizontal="center" vertical="center" wrapText="1"/>
    </xf>
    <xf numFmtId="0" fontId="16" fillId="115" borderId="0" xfId="0" applyFont="1" applyFill="1" applyAlignment="1">
      <alignment wrapText="1"/>
    </xf>
    <xf numFmtId="0" fontId="172" fillId="116" borderId="70" xfId="0" applyFont="1" applyFill="1" applyBorder="1" applyAlignment="1">
      <alignment wrapText="1"/>
    </xf>
    <xf numFmtId="0" fontId="173" fillId="117" borderId="73" xfId="0" applyFont="1" applyFill="1" applyBorder="1" applyAlignment="1">
      <alignment wrapText="1"/>
    </xf>
    <xf numFmtId="3" fontId="11" fillId="109" borderId="73" xfId="0" applyNumberFormat="1" applyFont="1" applyFill="1" applyBorder="1" applyAlignment="1">
      <alignment horizontal="right" vertical="center" wrapText="1"/>
    </xf>
    <xf numFmtId="169" fontId="12" fillId="101" borderId="76" xfId="16" applyNumberFormat="1" applyFont="1" applyFill="1" applyBorder="1" applyAlignment="1">
      <alignment horizontal="right" vertical="center" wrapText="1"/>
    </xf>
    <xf numFmtId="170" fontId="92" fillId="109" borderId="0" xfId="20" applyNumberFormat="1" applyFont="1" applyFill="1" applyBorder="1"/>
    <xf numFmtId="0" fontId="191" fillId="123" borderId="79" xfId="0" applyFont="1" applyFill="1" applyBorder="1" applyAlignment="1">
      <alignment horizontal="center" vertical="center" wrapText="1"/>
    </xf>
    <xf numFmtId="1" fontId="32" fillId="124" borderId="0" xfId="0" applyNumberFormat="1" applyFont="1" applyFill="1" applyAlignment="1">
      <alignment horizontal="center" vertical="center" wrapText="1"/>
    </xf>
    <xf numFmtId="1" fontId="32" fillId="111" borderId="0" xfId="0" applyNumberFormat="1" applyFont="1" applyFill="1" applyAlignment="1">
      <alignment vertical="center"/>
    </xf>
    <xf numFmtId="169" fontId="18" fillId="0" borderId="0" xfId="16" applyNumberFormat="1" applyFont="1" applyFill="1" applyBorder="1" applyAlignment="1">
      <alignment horizontal="left" indent="2"/>
    </xf>
    <xf numFmtId="169" fontId="18" fillId="0" borderId="0" xfId="16" applyNumberFormat="1" applyFont="1" applyFill="1" applyBorder="1" applyAlignment="1">
      <alignment horizontal="right" indent="2"/>
    </xf>
    <xf numFmtId="169" fontId="19" fillId="0" borderId="110" xfId="16" applyNumberFormat="1" applyFont="1" applyFill="1" applyBorder="1" applyAlignment="1">
      <alignment horizontal="right" indent="2"/>
    </xf>
    <xf numFmtId="169" fontId="19" fillId="0" borderId="0" xfId="16" applyNumberFormat="1" applyFont="1" applyFill="1" applyBorder="1" applyAlignment="1">
      <alignment horizontal="right" indent="2"/>
    </xf>
    <xf numFmtId="169" fontId="32" fillId="112" borderId="0" xfId="16" applyNumberFormat="1" applyFont="1" applyFill="1" applyAlignment="1">
      <alignment horizontal="right" vertical="center"/>
    </xf>
    <xf numFmtId="169" fontId="155" fillId="113" borderId="0" xfId="16" applyNumberFormat="1" applyFont="1" applyFill="1" applyAlignment="1">
      <alignment horizontal="right" vertical="center"/>
    </xf>
    <xf numFmtId="169" fontId="32" fillId="114" borderId="0" xfId="16" applyNumberFormat="1" applyFont="1" applyFill="1" applyAlignment="1">
      <alignment horizontal="right" vertical="center" wrapText="1"/>
    </xf>
    <xf numFmtId="169" fontId="155" fillId="109" borderId="0" xfId="16" applyNumberFormat="1" applyFont="1" applyFill="1" applyAlignment="1">
      <alignment horizontal="right" vertical="center"/>
    </xf>
    <xf numFmtId="169" fontId="0" fillId="0" borderId="0" xfId="16" applyNumberFormat="1" applyFont="1" applyAlignment="1">
      <alignment horizontal="right"/>
    </xf>
    <xf numFmtId="169" fontId="154" fillId="0" borderId="0" xfId="16" applyNumberFormat="1" applyFont="1" applyAlignment="1">
      <alignment horizontal="right"/>
    </xf>
    <xf numFmtId="169" fontId="157" fillId="109" borderId="0" xfId="16" applyNumberFormat="1" applyFont="1" applyFill="1" applyBorder="1" applyAlignment="1">
      <alignment horizontal="right" vertical="center"/>
    </xf>
    <xf numFmtId="169" fontId="32" fillId="109" borderId="0" xfId="16" applyNumberFormat="1" applyFont="1" applyFill="1" applyBorder="1" applyAlignment="1">
      <alignment horizontal="right" vertical="center"/>
    </xf>
    <xf numFmtId="169" fontId="157" fillId="0" borderId="0" xfId="16" applyNumberFormat="1" applyFont="1" applyAlignment="1">
      <alignment horizontal="right" vertical="center"/>
    </xf>
    <xf numFmtId="0" fontId="0" fillId="0" borderId="0" xfId="0" applyAlignment="1">
      <alignment wrapText="1"/>
    </xf>
    <xf numFmtId="0" fontId="192" fillId="0" borderId="0" xfId="0" applyFont="1" applyAlignment="1">
      <alignment vertical="center"/>
    </xf>
    <xf numFmtId="169" fontId="19" fillId="0" borderId="110" xfId="28" applyNumberFormat="1" applyFont="1" applyFill="1" applyBorder="1" applyAlignment="1">
      <alignment horizontal="center"/>
    </xf>
    <xf numFmtId="168" fontId="19" fillId="0" borderId="110" xfId="28" applyNumberFormat="1" applyFont="1" applyFill="1" applyBorder="1" applyAlignment="1">
      <alignment horizontal="center"/>
    </xf>
    <xf numFmtId="0" fontId="171" fillId="105" borderId="0" xfId="0" applyFont="1" applyFill="1" applyAlignment="1">
      <alignment horizontal="center" vertical="center" wrapText="1"/>
    </xf>
    <xf numFmtId="0" fontId="172" fillId="99" borderId="96" xfId="0" applyFont="1" applyFill="1" applyBorder="1" applyAlignment="1">
      <alignment vertical="center"/>
    </xf>
    <xf numFmtId="0" fontId="193" fillId="0" borderId="0" xfId="8" applyFont="1" applyBorder="1"/>
    <xf numFmtId="8" fontId="27" fillId="0" borderId="0" xfId="0" applyNumberFormat="1" applyFont="1"/>
    <xf numFmtId="0" fontId="8" fillId="125" borderId="0" xfId="0" applyFont="1" applyFill="1"/>
    <xf numFmtId="0" fontId="25" fillId="125" borderId="0" xfId="0" applyFont="1" applyFill="1"/>
    <xf numFmtId="0" fontId="194" fillId="125" borderId="0" xfId="0" applyFont="1" applyFill="1"/>
    <xf numFmtId="8" fontId="194" fillId="125" borderId="0" xfId="0" applyNumberFormat="1" applyFont="1" applyFill="1"/>
    <xf numFmtId="0" fontId="195" fillId="125" borderId="0" xfId="0" applyFont="1" applyFill="1"/>
    <xf numFmtId="0" fontId="196" fillId="0" borderId="0" xfId="0" applyFont="1"/>
    <xf numFmtId="0" fontId="165" fillId="0" borderId="0" xfId="0" applyFont="1"/>
    <xf numFmtId="0" fontId="171" fillId="112" borderId="84" xfId="22" applyFont="1" applyFill="1" applyBorder="1" applyAlignment="1">
      <alignment horizontal="center" vertical="center" wrapText="1"/>
    </xf>
    <xf numFmtId="0" fontId="32" fillId="98" borderId="98" xfId="22" applyFont="1" applyFill="1" applyBorder="1" applyAlignment="1">
      <alignment horizontal="center"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168" fontId="33" fillId="109" borderId="0" xfId="22" applyNumberFormat="1" applyFont="1" applyFill="1"/>
    <xf numFmtId="1" fontId="33" fillId="109" borderId="0" xfId="22" applyNumberFormat="1" applyFont="1" applyFill="1"/>
    <xf numFmtId="0" fontId="33" fillId="0" borderId="0" xfId="27" applyFont="1"/>
    <xf numFmtId="14" fontId="197" fillId="109" borderId="0" xfId="22" applyNumberFormat="1" applyFont="1" applyFill="1" applyAlignment="1">
      <alignment horizontal="right"/>
    </xf>
    <xf numFmtId="0" fontId="198" fillId="109" borderId="0" xfId="22" applyFont="1" applyFill="1"/>
    <xf numFmtId="171" fontId="197" fillId="109" borderId="0" xfId="26" applyFont="1" applyFill="1" applyAlignment="1"/>
    <xf numFmtId="170" fontId="160" fillId="109" borderId="0" xfId="26" applyNumberFormat="1" applyFont="1" applyFill="1" applyBorder="1" applyAlignment="1">
      <alignment horizontal="left" vertical="center"/>
    </xf>
    <xf numFmtId="0" fontId="199" fillId="109" borderId="0" xfId="22" applyFont="1" applyFill="1" applyAlignment="1">
      <alignment horizontal="center"/>
    </xf>
    <xf numFmtId="0" fontId="200" fillId="109" borderId="112" xfId="22" applyFont="1" applyFill="1" applyBorder="1" applyAlignment="1">
      <alignment horizontal="center" vertical="center" wrapText="1"/>
    </xf>
    <xf numFmtId="0" fontId="160" fillId="109" borderId="113" xfId="22" applyFont="1" applyFill="1" applyBorder="1"/>
    <xf numFmtId="0" fontId="160" fillId="109" borderId="0" xfId="22" applyFont="1" applyFill="1"/>
    <xf numFmtId="0" fontId="198" fillId="109" borderId="0" xfId="22" applyFont="1" applyFill="1" applyAlignment="1">
      <alignment horizontal="center" vertical="center"/>
    </xf>
    <xf numFmtId="172" fontId="198" fillId="109" borderId="0" xfId="22" applyNumberFormat="1" applyFont="1" applyFill="1"/>
    <xf numFmtId="172" fontId="34" fillId="109" borderId="114" xfId="22" applyNumberFormat="1" applyFont="1" applyFill="1" applyBorder="1" applyAlignment="1">
      <alignment horizontal="right" vertical="center" wrapText="1"/>
    </xf>
    <xf numFmtId="168" fontId="198" fillId="109" borderId="0" xfId="23" applyNumberFormat="1" applyFont="1" applyFill="1" applyBorder="1"/>
    <xf numFmtId="168" fontId="198" fillId="109" borderId="0" xfId="22" applyNumberFormat="1" applyFont="1" applyFill="1"/>
    <xf numFmtId="43" fontId="33" fillId="109" borderId="0" xfId="22" applyNumberFormat="1" applyFont="1" applyFill="1"/>
    <xf numFmtId="172" fontId="201" fillId="109" borderId="0" xfId="22" applyNumberFormat="1" applyFont="1" applyFill="1" applyAlignment="1">
      <alignment horizontal="right" vertical="center" wrapText="1"/>
    </xf>
    <xf numFmtId="10" fontId="185" fillId="109" borderId="0" xfId="22" applyNumberFormat="1" applyFont="1" applyFill="1" applyAlignment="1">
      <alignment horizontal="center"/>
    </xf>
    <xf numFmtId="168" fontId="201" fillId="109" borderId="0" xfId="23" applyNumberFormat="1" applyFont="1" applyFill="1" applyBorder="1" applyAlignment="1">
      <alignment horizontal="right" vertical="center" wrapText="1"/>
    </xf>
    <xf numFmtId="168" fontId="34" fillId="109" borderId="0" xfId="23" applyNumberFormat="1" applyFont="1" applyFill="1" applyBorder="1" applyAlignment="1">
      <alignment horizontal="center" vertical="center" wrapText="1"/>
    </xf>
    <xf numFmtId="168" fontId="33" fillId="109" borderId="0" xfId="23" applyNumberFormat="1" applyFont="1" applyFill="1" applyAlignment="1">
      <alignment horizontal="center"/>
    </xf>
    <xf numFmtId="3" fontId="185" fillId="0" borderId="0" xfId="27" applyNumberFormat="1" applyFont="1" applyAlignment="1">
      <alignment vertical="center"/>
    </xf>
    <xf numFmtId="4" fontId="185" fillId="109" borderId="0" xfId="22" applyNumberFormat="1" applyFont="1" applyFill="1" applyAlignment="1">
      <alignment horizontal="center"/>
    </xf>
    <xf numFmtId="4" fontId="33" fillId="109" borderId="0" xfId="22" applyNumberFormat="1" applyFont="1" applyFill="1" applyAlignment="1">
      <alignment horizontal="center"/>
    </xf>
    <xf numFmtId="43" fontId="33" fillId="109" borderId="0" xfId="22" applyNumberFormat="1" applyFont="1" applyFill="1" applyAlignment="1">
      <alignment horizontal="center"/>
    </xf>
    <xf numFmtId="14" fontId="33" fillId="109" borderId="0" xfId="22" applyNumberFormat="1" applyFont="1" applyFill="1" applyAlignment="1">
      <alignment horizontal="right"/>
    </xf>
    <xf numFmtId="41" fontId="33" fillId="109" borderId="0" xfId="25" applyFont="1" applyFill="1"/>
    <xf numFmtId="167" fontId="33" fillId="109" borderId="0" xfId="22" applyNumberFormat="1" applyFont="1" applyFill="1"/>
    <xf numFmtId="168" fontId="33" fillId="109" borderId="0" xfId="23" applyNumberFormat="1" applyFont="1" applyFill="1" applyBorder="1" applyAlignment="1">
      <alignment horizontal="center" vertical="center"/>
    </xf>
    <xf numFmtId="168" fontId="33" fillId="109" borderId="0" xfId="23" applyNumberFormat="1" applyFont="1" applyFill="1" applyBorder="1" applyAlignment="1">
      <alignment vertical="center"/>
    </xf>
    <xf numFmtId="172" fontId="34" fillId="109" borderId="85" xfId="22" applyNumberFormat="1" applyFont="1" applyFill="1" applyBorder="1" applyAlignment="1">
      <alignment horizontal="right" vertical="center" wrapText="1"/>
    </xf>
    <xf numFmtId="0" fontId="24" fillId="105" borderId="0" xfId="0" applyFont="1" applyFill="1" applyAlignment="1">
      <alignment horizontal="center" vertical="center" wrapText="1"/>
    </xf>
    <xf numFmtId="0" fontId="0" fillId="0" borderId="0" xfId="0" applyFont="1"/>
    <xf numFmtId="169" fontId="18" fillId="109" borderId="0" xfId="16" applyNumberFormat="1" applyFont="1" applyFill="1" applyBorder="1" applyAlignment="1">
      <alignment horizontal="right" indent="2"/>
    </xf>
    <xf numFmtId="1" fontId="32" fillId="111" borderId="0" xfId="0" applyNumberFormat="1" applyFont="1" applyFill="1" applyAlignment="1">
      <alignment horizontal="center" vertical="center"/>
    </xf>
    <xf numFmtId="169" fontId="32" fillId="111" borderId="0" xfId="16" applyNumberFormat="1" applyFont="1" applyFill="1" applyAlignment="1">
      <alignment horizontal="right" vertical="center" wrapText="1"/>
    </xf>
    <xf numFmtId="169" fontId="153" fillId="109" borderId="0" xfId="16" applyNumberFormat="1" applyFont="1" applyFill="1" applyBorder="1" applyAlignment="1">
      <alignment horizontal="right" vertical="center"/>
    </xf>
    <xf numFmtId="168" fontId="180" fillId="0" borderId="0" xfId="18" applyNumberFormat="1" applyFont="1" applyAlignment="1">
      <alignment horizontal="center"/>
    </xf>
    <xf numFmtId="168" fontId="181" fillId="0" borderId="0" xfId="18" applyNumberFormat="1" applyFont="1" applyAlignment="1">
      <alignment horizontal="center"/>
    </xf>
    <xf numFmtId="0" fontId="16" fillId="0" borderId="0" xfId="17" applyFont="1" applyAlignment="1">
      <alignment horizontal="center"/>
    </xf>
    <xf numFmtId="169" fontId="181" fillId="0" borderId="110" xfId="18" applyNumberFormat="1" applyFont="1" applyBorder="1" applyAlignment="1">
      <alignment horizontal="center"/>
    </xf>
    <xf numFmtId="168" fontId="181" fillId="0" borderId="110" xfId="18" applyNumberFormat="1" applyFont="1" applyBorder="1" applyAlignment="1">
      <alignment horizontal="center"/>
    </xf>
    <xf numFmtId="0" fontId="172" fillId="99" borderId="71" xfId="0" applyFont="1" applyFill="1" applyBorder="1" applyAlignment="1">
      <alignment vertical="center"/>
    </xf>
    <xf numFmtId="0" fontId="173" fillId="100" borderId="77" xfId="0" applyFont="1" applyFill="1" applyBorder="1" applyAlignment="1">
      <alignment horizontal="right" vertical="center" wrapText="1"/>
    </xf>
    <xf numFmtId="169" fontId="172" fillId="102" borderId="77" xfId="16" applyNumberFormat="1" applyFont="1" applyFill="1" applyBorder="1" applyAlignment="1">
      <alignment horizontal="right" vertical="center" wrapText="1"/>
    </xf>
    <xf numFmtId="169" fontId="174" fillId="100" borderId="72" xfId="16" applyNumberFormat="1" applyFont="1" applyFill="1" applyBorder="1" applyAlignment="1">
      <alignment horizontal="right" vertical="center" wrapText="1"/>
    </xf>
    <xf numFmtId="169" fontId="172" fillId="102" borderId="72" xfId="16" applyNumberFormat="1" applyFont="1" applyFill="1" applyBorder="1" applyAlignment="1">
      <alignment horizontal="right" vertical="center" wrapText="1"/>
    </xf>
    <xf numFmtId="3" fontId="172" fillId="109" borderId="77" xfId="0" applyNumberFormat="1" applyFont="1" applyFill="1" applyBorder="1" applyAlignment="1">
      <alignment horizontal="right" vertical="center" wrapText="1"/>
    </xf>
    <xf numFmtId="0" fontId="22" fillId="104" borderId="77" xfId="0" applyFont="1" applyFill="1" applyBorder="1" applyAlignment="1">
      <alignment horizontal="right" vertical="center" wrapText="1"/>
    </xf>
    <xf numFmtId="168" fontId="16" fillId="0" borderId="0" xfId="17" applyNumberFormat="1" applyFont="1" applyAlignment="1">
      <alignment horizontal="center"/>
    </xf>
    <xf numFmtId="168" fontId="22" fillId="0" borderId="78" xfId="16" applyNumberFormat="1" applyFont="1" applyBorder="1"/>
    <xf numFmtId="168" fontId="22" fillId="0" borderId="0" xfId="16" applyNumberFormat="1" applyFont="1"/>
    <xf numFmtId="168" fontId="22" fillId="0" borderId="95" xfId="16" applyNumberFormat="1" applyFont="1" applyBorder="1"/>
    <xf numFmtId="0" fontId="171" fillId="123" borderId="0" xfId="0" applyFont="1" applyFill="1" applyAlignment="1">
      <alignment horizontal="center"/>
    </xf>
    <xf numFmtId="0" fontId="171" fillId="123" borderId="0" xfId="0" applyFont="1" applyFill="1" applyAlignment="1">
      <alignment horizontal="center" vertical="center"/>
    </xf>
    <xf numFmtId="0" fontId="202" fillId="0" borderId="110" xfId="0" applyFont="1" applyBorder="1"/>
    <xf numFmtId="38" fontId="203" fillId="0" borderId="110" xfId="0" applyNumberFormat="1" applyFont="1" applyBorder="1" applyAlignment="1">
      <alignment horizontal="center" vertical="center"/>
    </xf>
    <xf numFmtId="168" fontId="180" fillId="0" borderId="0" xfId="18" applyNumberFormat="1" applyFont="1" applyFill="1" applyBorder="1" applyAlignment="1">
      <alignment horizontal="right"/>
    </xf>
    <xf numFmtId="168" fontId="9" fillId="0" borderId="74" xfId="16" applyNumberFormat="1" applyFont="1" applyFill="1" applyBorder="1" applyAlignment="1">
      <alignment horizontal="right"/>
    </xf>
    <xf numFmtId="0" fontId="204" fillId="0" borderId="79" xfId="17" quotePrefix="1" applyFont="1" applyFill="1" applyBorder="1" applyAlignment="1">
      <alignment horizontal="left" vertical="center" wrapText="1"/>
    </xf>
    <xf numFmtId="0" fontId="171" fillId="105" borderId="79" xfId="0" applyFont="1" applyFill="1" applyBorder="1" applyAlignment="1">
      <alignment horizontal="left" vertical="center" wrapText="1"/>
    </xf>
    <xf numFmtId="0" fontId="11" fillId="109" borderId="0" xfId="0" applyFont="1" applyFill="1" applyAlignment="1">
      <alignment vertical="center"/>
    </xf>
    <xf numFmtId="0" fontId="168" fillId="0" borderId="0" xfId="0" applyFont="1" applyAlignment="1">
      <alignment horizontal="left"/>
    </xf>
    <xf numFmtId="0" fontId="33" fillId="106" borderId="85" xfId="7870" applyFont="1" applyFill="1" applyBorder="1" applyAlignment="1">
      <alignment horizontal="left" vertical="center" indent="1"/>
    </xf>
    <xf numFmtId="170" fontId="33" fillId="106" borderId="85" xfId="7871" applyNumberFormat="1" applyFont="1" applyFill="1" applyBorder="1" applyAlignment="1">
      <alignment horizontal="center"/>
    </xf>
    <xf numFmtId="14" fontId="33" fillId="106" borderId="85" xfId="7871" applyNumberFormat="1" applyFont="1" applyFill="1" applyBorder="1" applyAlignment="1">
      <alignment horizontal="center"/>
    </xf>
    <xf numFmtId="14" fontId="33" fillId="0" borderId="85" xfId="7871" applyNumberFormat="1" applyFont="1" applyFill="1" applyBorder="1" applyAlignment="1">
      <alignment horizontal="center"/>
    </xf>
    <xf numFmtId="1" fontId="33" fillId="109" borderId="85" xfId="7870" applyNumberFormat="1" applyFont="1" applyFill="1" applyBorder="1" applyAlignment="1">
      <alignment horizontal="center"/>
    </xf>
    <xf numFmtId="9" fontId="33" fillId="106" borderId="86" xfId="7872" applyFont="1" applyFill="1" applyBorder="1" applyAlignment="1">
      <alignment horizontal="right"/>
    </xf>
    <xf numFmtId="0" fontId="33" fillId="106" borderId="87" xfId="7872" applyNumberFormat="1" applyFont="1" applyFill="1" applyBorder="1" applyAlignment="1">
      <alignment horizontal="center" vertical="center" wrapText="1"/>
    </xf>
    <xf numFmtId="173" fontId="33" fillId="0" borderId="88" xfId="7872" applyNumberFormat="1" applyFont="1" applyFill="1" applyBorder="1" applyAlignment="1">
      <alignment horizontal="left"/>
    </xf>
    <xf numFmtId="168" fontId="33" fillId="0" borderId="85" xfId="7871" applyNumberFormat="1" applyFont="1" applyFill="1" applyBorder="1"/>
    <xf numFmtId="172" fontId="33" fillId="109" borderId="85" xfId="7871" applyNumberFormat="1" applyFont="1" applyFill="1" applyBorder="1"/>
    <xf numFmtId="168" fontId="33" fillId="109" borderId="85" xfId="7871" applyNumberFormat="1" applyFont="1" applyFill="1" applyBorder="1"/>
    <xf numFmtId="173" fontId="33" fillId="106" borderId="88" xfId="7872" applyNumberFormat="1" applyFont="1" applyFill="1" applyBorder="1" applyAlignment="1">
      <alignment horizontal="left"/>
    </xf>
    <xf numFmtId="0" fontId="4" fillId="0" borderId="0" xfId="27"/>
    <xf numFmtId="0" fontId="33" fillId="109" borderId="0" xfId="7870" applyFont="1" applyFill="1" applyAlignment="1">
      <alignment horizontal="right"/>
    </xf>
    <xf numFmtId="173" fontId="33" fillId="109" borderId="0" xfId="7870" applyNumberFormat="1" applyFont="1" applyFill="1" applyAlignment="1">
      <alignment horizontal="left"/>
    </xf>
    <xf numFmtId="173" fontId="33" fillId="0" borderId="0" xfId="7870" applyNumberFormat="1" applyFont="1" applyAlignment="1">
      <alignment horizontal="left"/>
    </xf>
    <xf numFmtId="172" fontId="34" fillId="107" borderId="85" xfId="7870" applyNumberFormat="1" applyFont="1" applyFill="1" applyBorder="1" applyAlignment="1">
      <alignment horizontal="right" vertical="center" wrapText="1"/>
    </xf>
    <xf numFmtId="168" fontId="34" fillId="107" borderId="85" xfId="7871" applyNumberFormat="1" applyFont="1" applyFill="1" applyBorder="1" applyAlignment="1">
      <alignment horizontal="right" vertical="center" wrapText="1"/>
    </xf>
    <xf numFmtId="172" fontId="34" fillId="109" borderId="0" xfId="22" applyNumberFormat="1" applyFont="1" applyFill="1" applyBorder="1" applyAlignment="1">
      <alignment horizontal="right" vertical="center" wrapText="1"/>
    </xf>
    <xf numFmtId="0" fontId="33" fillId="109" borderId="85" xfId="7870" applyFont="1" applyFill="1" applyBorder="1" applyAlignment="1">
      <alignment vertical="center"/>
    </xf>
    <xf numFmtId="14" fontId="33" fillId="0" borderId="86" xfId="7871" applyNumberFormat="1" applyFont="1" applyFill="1" applyBorder="1" applyAlignment="1">
      <alignment horizontal="center"/>
    </xf>
    <xf numFmtId="175" fontId="33" fillId="109" borderId="88" xfId="3729" applyNumberFormat="1" applyFont="1" applyFill="1" applyBorder="1" applyAlignment="1">
      <alignment horizontal="center"/>
    </xf>
    <xf numFmtId="14" fontId="33" fillId="106" borderId="86" xfId="7871" applyNumberFormat="1" applyFont="1" applyFill="1" applyBorder="1" applyAlignment="1">
      <alignment horizontal="center"/>
    </xf>
    <xf numFmtId="0" fontId="33" fillId="109" borderId="89" xfId="7870" applyFont="1" applyFill="1" applyBorder="1"/>
    <xf numFmtId="0" fontId="33" fillId="106" borderId="0" xfId="7870" applyFont="1" applyFill="1" applyAlignment="1">
      <alignment horizontal="left" vertical="center" indent="1"/>
    </xf>
    <xf numFmtId="14" fontId="33" fillId="106" borderId="0" xfId="7871" applyNumberFormat="1" applyFont="1" applyFill="1" applyBorder="1" applyAlignment="1">
      <alignment horizontal="center"/>
    </xf>
    <xf numFmtId="1" fontId="33" fillId="109" borderId="0" xfId="7870" applyNumberFormat="1" applyFont="1" applyFill="1" applyAlignment="1">
      <alignment horizontal="center"/>
    </xf>
    <xf numFmtId="9" fontId="33" fillId="106" borderId="0" xfId="7872" applyFont="1" applyFill="1" applyBorder="1" applyAlignment="1">
      <alignment horizontal="right"/>
    </xf>
    <xf numFmtId="9" fontId="33" fillId="106" borderId="0" xfId="7872" applyFont="1" applyFill="1" applyBorder="1" applyAlignment="1">
      <alignment horizontal="center"/>
    </xf>
    <xf numFmtId="173" fontId="33" fillId="106" borderId="0" xfId="7872" applyNumberFormat="1" applyFont="1" applyFill="1" applyBorder="1" applyAlignment="1">
      <alignment horizontal="left"/>
    </xf>
    <xf numFmtId="173" fontId="33" fillId="0" borderId="0" xfId="7872" applyNumberFormat="1" applyFont="1" applyFill="1" applyBorder="1" applyAlignment="1">
      <alignment horizontal="left"/>
    </xf>
    <xf numFmtId="174" fontId="33" fillId="109" borderId="85" xfId="7870" applyNumberFormat="1" applyFont="1" applyFill="1" applyBorder="1" applyAlignment="1">
      <alignment horizontal="center"/>
    </xf>
    <xf numFmtId="0" fontId="33" fillId="109" borderId="0" xfId="22" applyFont="1" applyFill="1" applyBorder="1"/>
    <xf numFmtId="0" fontId="4" fillId="109" borderId="0" xfId="27" applyFill="1" applyBorder="1"/>
    <xf numFmtId="0" fontId="33" fillId="106" borderId="0" xfId="7870" applyFont="1" applyFill="1" applyBorder="1" applyAlignment="1">
      <alignment horizontal="left" vertical="center" indent="1"/>
    </xf>
    <xf numFmtId="1" fontId="33" fillId="109" borderId="0" xfId="7870" applyNumberFormat="1" applyFont="1" applyFill="1" applyBorder="1" applyAlignment="1">
      <alignment horizontal="center"/>
    </xf>
    <xf numFmtId="172" fontId="34" fillId="109" borderId="0" xfId="7870" applyNumberFormat="1" applyFont="1" applyFill="1" applyBorder="1" applyAlignment="1">
      <alignment horizontal="right" vertical="center" wrapText="1"/>
    </xf>
    <xf numFmtId="168" fontId="34" fillId="109" borderId="0" xfId="7871" applyNumberFormat="1" applyFont="1" applyFill="1" applyBorder="1" applyAlignment="1">
      <alignment horizontal="right" vertical="center" wrapText="1"/>
    </xf>
    <xf numFmtId="0" fontId="198" fillId="109" borderId="0" xfId="22" applyFont="1" applyFill="1" applyBorder="1"/>
    <xf numFmtId="0" fontId="24" fillId="62" borderId="84" xfId="7870" applyFont="1" applyFill="1" applyBorder="1" applyAlignment="1">
      <alignment vertical="center" wrapText="1"/>
    </xf>
    <xf numFmtId="0" fontId="24" fillId="62" borderId="84" xfId="7870" applyFont="1" applyFill="1" applyBorder="1" applyAlignment="1">
      <alignment horizontal="left" vertical="center" wrapText="1"/>
    </xf>
    <xf numFmtId="172" fontId="24" fillId="62" borderId="84" xfId="7870" applyNumberFormat="1" applyFont="1" applyFill="1" applyBorder="1" applyAlignment="1">
      <alignment horizontal="right" vertical="center" wrapText="1"/>
    </xf>
    <xf numFmtId="0" fontId="34" fillId="109" borderId="0" xfId="7870" applyFont="1" applyFill="1" applyAlignment="1">
      <alignment horizontal="left" vertical="center" wrapText="1"/>
    </xf>
    <xf numFmtId="0" fontId="34" fillId="109" borderId="0" xfId="7870" applyFont="1" applyFill="1" applyAlignment="1">
      <alignment horizontal="center" vertical="center" wrapText="1"/>
    </xf>
    <xf numFmtId="0" fontId="34" fillId="109" borderId="0" xfId="7870" applyFont="1" applyFill="1" applyAlignment="1">
      <alignment vertical="center" wrapText="1"/>
    </xf>
    <xf numFmtId="172" fontId="34" fillId="109" borderId="0" xfId="7870" applyNumberFormat="1" applyFont="1" applyFill="1" applyAlignment="1">
      <alignment horizontal="right" vertical="center" wrapText="1"/>
    </xf>
    <xf numFmtId="0" fontId="33" fillId="0" borderId="85" xfId="7870" applyFont="1" applyBorder="1" applyAlignment="1">
      <alignment horizontal="left" vertical="center" indent="1"/>
    </xf>
    <xf numFmtId="1" fontId="33" fillId="0" borderId="85" xfId="7870" applyNumberFormat="1" applyFont="1" applyBorder="1" applyAlignment="1">
      <alignment horizontal="center"/>
    </xf>
    <xf numFmtId="9" fontId="33" fillId="0" borderId="86" xfId="7872" applyFont="1" applyFill="1" applyBorder="1" applyAlignment="1">
      <alignment horizontal="right"/>
    </xf>
    <xf numFmtId="0" fontId="33" fillId="0" borderId="87" xfId="7872" applyNumberFormat="1" applyFont="1" applyFill="1" applyBorder="1" applyAlignment="1">
      <alignment horizontal="center" vertical="center" wrapText="1"/>
    </xf>
    <xf numFmtId="0" fontId="33" fillId="109" borderId="89" xfId="7870" applyFont="1" applyFill="1" applyBorder="1" applyAlignment="1">
      <alignment horizontal="center" vertical="center"/>
    </xf>
    <xf numFmtId="170" fontId="33" fillId="106" borderId="0" xfId="7871" applyNumberFormat="1" applyFont="1" applyFill="1" applyBorder="1" applyAlignment="1"/>
    <xf numFmtId="170" fontId="33" fillId="106" borderId="0" xfId="7871" applyNumberFormat="1" applyFont="1" applyFill="1" applyBorder="1" applyAlignment="1">
      <alignment horizontal="center"/>
    </xf>
    <xf numFmtId="173" fontId="33" fillId="106" borderId="0" xfId="7872" applyNumberFormat="1" applyFont="1" applyFill="1" applyBorder="1" applyAlignment="1">
      <alignment horizontal="center"/>
    </xf>
    <xf numFmtId="173" fontId="33" fillId="0" borderId="0" xfId="7872" applyNumberFormat="1" applyFont="1" applyFill="1" applyBorder="1" applyAlignment="1">
      <alignment horizontal="center"/>
    </xf>
    <xf numFmtId="0" fontId="34" fillId="0" borderId="0" xfId="7870" applyFont="1" applyAlignment="1">
      <alignment horizontal="center" vertical="center" wrapText="1"/>
    </xf>
    <xf numFmtId="0" fontId="33" fillId="106" borderId="0" xfId="7870" applyFont="1" applyFill="1" applyAlignment="1">
      <alignment horizontal="left" vertical="center" wrapText="1"/>
    </xf>
    <xf numFmtId="170" fontId="33" fillId="106" borderId="0" xfId="7871" applyNumberFormat="1" applyFont="1" applyFill="1" applyBorder="1" applyAlignment="1">
      <alignment vertical="center" wrapText="1"/>
    </xf>
    <xf numFmtId="14" fontId="33" fillId="106" borderId="0" xfId="7871" applyNumberFormat="1" applyFont="1" applyFill="1" applyBorder="1" applyAlignment="1">
      <alignment horizontal="center" vertical="center" wrapText="1"/>
    </xf>
    <xf numFmtId="170" fontId="33" fillId="106" borderId="0" xfId="7871" applyNumberFormat="1" applyFont="1" applyFill="1" applyBorder="1" applyAlignment="1">
      <alignment horizontal="center" vertical="center" wrapText="1"/>
    </xf>
    <xf numFmtId="9" fontId="33" fillId="106" borderId="0" xfId="7872" applyFont="1" applyFill="1" applyBorder="1" applyAlignment="1">
      <alignment horizontal="right" vertical="center" wrapText="1"/>
    </xf>
    <xf numFmtId="9" fontId="33" fillId="106" borderId="0" xfId="7872" applyFont="1" applyFill="1" applyBorder="1" applyAlignment="1">
      <alignment horizontal="center" vertical="center" wrapText="1"/>
    </xf>
    <xf numFmtId="173" fontId="33" fillId="106" borderId="0" xfId="7872" applyNumberFormat="1" applyFont="1" applyFill="1" applyBorder="1" applyAlignment="1">
      <alignment horizontal="left" vertical="center" wrapText="1"/>
    </xf>
    <xf numFmtId="173" fontId="33" fillId="0" borderId="0" xfId="7872" applyNumberFormat="1" applyFont="1" applyFill="1" applyBorder="1" applyAlignment="1">
      <alignment horizontal="left" vertical="center" wrapText="1"/>
    </xf>
    <xf numFmtId="0" fontId="33" fillId="0" borderId="85" xfId="7870" applyFont="1" applyBorder="1" applyAlignment="1">
      <alignment horizontal="center" vertical="center"/>
    </xf>
    <xf numFmtId="170" fontId="33" fillId="106" borderId="0" xfId="7870" applyNumberFormat="1" applyFont="1" applyFill="1" applyAlignment="1">
      <alignment horizontal="left" vertical="center" indent="1"/>
    </xf>
    <xf numFmtId="172" fontId="34" fillId="109" borderId="0" xfId="7870" applyNumberFormat="1" applyFont="1" applyFill="1" applyAlignment="1">
      <alignment horizontal="center" vertical="center" wrapText="1"/>
    </xf>
    <xf numFmtId="168" fontId="9" fillId="0" borderId="85" xfId="7871" applyNumberFormat="1" applyFont="1" applyFill="1" applyBorder="1"/>
    <xf numFmtId="0" fontId="33" fillId="109" borderId="85" xfId="7870" applyFont="1" applyFill="1" applyBorder="1" applyAlignment="1">
      <alignment horizontal="center" vertical="center"/>
    </xf>
    <xf numFmtId="0" fontId="33" fillId="109" borderId="102" xfId="7870" applyFont="1" applyFill="1" applyBorder="1" applyAlignment="1">
      <alignment horizontal="center" vertical="center"/>
    </xf>
    <xf numFmtId="0" fontId="33" fillId="109" borderId="103" xfId="7870" applyFont="1" applyFill="1" applyBorder="1" applyAlignment="1">
      <alignment horizontal="center" vertical="center"/>
    </xf>
    <xf numFmtId="0" fontId="33" fillId="109" borderId="104" xfId="7870" applyFont="1" applyFill="1" applyBorder="1" applyAlignment="1">
      <alignment horizontal="center" vertical="center"/>
    </xf>
    <xf numFmtId="0" fontId="33" fillId="109" borderId="0" xfId="7870" applyFont="1" applyFill="1" applyAlignment="1">
      <alignment horizontal="center" vertical="center"/>
    </xf>
    <xf numFmtId="0" fontId="33" fillId="109" borderId="85" xfId="7870" applyFont="1" applyFill="1" applyBorder="1" applyAlignment="1">
      <alignment horizontal="center" vertical="center" wrapText="1"/>
    </xf>
    <xf numFmtId="0" fontId="33" fillId="109" borderId="118" xfId="7870" applyFont="1" applyFill="1" applyBorder="1"/>
    <xf numFmtId="9" fontId="33" fillId="0" borderId="87" xfId="7872" applyFont="1" applyFill="1" applyBorder="1" applyAlignment="1">
      <alignment horizontal="right"/>
    </xf>
    <xf numFmtId="0" fontId="33" fillId="0" borderId="0" xfId="7870" applyFont="1" applyAlignment="1">
      <alignment horizontal="left" vertical="center" indent="1"/>
    </xf>
    <xf numFmtId="14" fontId="33" fillId="0" borderId="0" xfId="7871" applyNumberFormat="1" applyFont="1" applyFill="1" applyBorder="1" applyAlignment="1">
      <alignment horizontal="center"/>
    </xf>
    <xf numFmtId="1" fontId="33" fillId="0" borderId="0" xfId="7870" applyNumberFormat="1" applyFont="1" applyAlignment="1">
      <alignment horizontal="center"/>
    </xf>
    <xf numFmtId="9" fontId="33" fillId="0" borderId="0" xfId="7872" applyFont="1" applyFill="1" applyBorder="1" applyAlignment="1">
      <alignment horizontal="right"/>
    </xf>
    <xf numFmtId="0" fontId="33" fillId="0" borderId="0" xfId="7872" applyNumberFormat="1" applyFont="1" applyFill="1" applyBorder="1" applyAlignment="1">
      <alignment horizontal="center" vertical="center" wrapText="1"/>
    </xf>
    <xf numFmtId="168" fontId="33" fillId="0" borderId="0" xfId="7871" applyNumberFormat="1" applyFont="1" applyFill="1" applyBorder="1"/>
    <xf numFmtId="0" fontId="33" fillId="109" borderId="85" xfId="7870" applyFont="1" applyFill="1" applyBorder="1" applyAlignment="1">
      <alignment horizontal="left" vertical="center" indent="1"/>
    </xf>
    <xf numFmtId="14" fontId="33" fillId="109" borderId="85" xfId="7871" applyNumberFormat="1" applyFont="1" applyFill="1" applyBorder="1" applyAlignment="1">
      <alignment horizontal="center"/>
    </xf>
    <xf numFmtId="9" fontId="33" fillId="109" borderId="86" xfId="7872" applyFont="1" applyFill="1" applyBorder="1" applyAlignment="1">
      <alignment horizontal="right"/>
    </xf>
    <xf numFmtId="0" fontId="33" fillId="109" borderId="87" xfId="7872" applyNumberFormat="1" applyFont="1" applyFill="1" applyBorder="1" applyAlignment="1">
      <alignment horizontal="center" vertical="center" wrapText="1"/>
    </xf>
    <xf numFmtId="173" fontId="33" fillId="109" borderId="88" xfId="7872" applyNumberFormat="1" applyFont="1" applyFill="1" applyBorder="1" applyAlignment="1">
      <alignment horizontal="left"/>
    </xf>
    <xf numFmtId="0" fontId="33" fillId="0" borderId="0" xfId="7870" applyFont="1"/>
    <xf numFmtId="10" fontId="33" fillId="106" borderId="88" xfId="7872" applyNumberFormat="1" applyFont="1" applyFill="1" applyBorder="1" applyAlignment="1">
      <alignment horizontal="left"/>
    </xf>
    <xf numFmtId="10" fontId="33" fillId="106" borderId="0" xfId="7872" applyNumberFormat="1" applyFont="1" applyFill="1" applyBorder="1" applyAlignment="1">
      <alignment horizontal="center"/>
    </xf>
    <xf numFmtId="14" fontId="33" fillId="106" borderId="90" xfId="7871" applyNumberFormat="1" applyFont="1" applyFill="1" applyBorder="1" applyAlignment="1">
      <alignment horizontal="center"/>
    </xf>
    <xf numFmtId="0" fontId="33" fillId="106" borderId="90" xfId="7872" applyNumberFormat="1" applyFont="1" applyFill="1" applyBorder="1" applyAlignment="1">
      <alignment horizontal="center" vertical="center" wrapText="1"/>
    </xf>
    <xf numFmtId="0" fontId="33" fillId="109" borderId="0" xfId="7870" applyFont="1" applyFill="1" applyAlignment="1">
      <alignment horizontal="center"/>
    </xf>
    <xf numFmtId="173" fontId="33" fillId="109" borderId="0" xfId="7870" applyNumberFormat="1" applyFont="1" applyFill="1" applyAlignment="1">
      <alignment horizontal="center"/>
    </xf>
    <xf numFmtId="0" fontId="33" fillId="0" borderId="90" xfId="7872" applyNumberFormat="1" applyFont="1" applyFill="1" applyBorder="1" applyAlignment="1">
      <alignment horizontal="center" vertical="center" wrapText="1"/>
    </xf>
    <xf numFmtId="10" fontId="33" fillId="0" borderId="88" xfId="7872" applyNumberFormat="1" applyFont="1" applyFill="1" applyBorder="1" applyAlignment="1">
      <alignment horizontal="left"/>
    </xf>
    <xf numFmtId="172" fontId="24" fillId="112" borderId="92" xfId="7870" applyNumberFormat="1" applyFont="1" applyFill="1" applyBorder="1" applyAlignment="1">
      <alignment horizontal="right" vertical="center" wrapText="1"/>
    </xf>
    <xf numFmtId="0" fontId="35" fillId="109" borderId="0" xfId="7870" applyFont="1" applyFill="1" applyAlignment="1">
      <alignment horizontal="center"/>
    </xf>
    <xf numFmtId="0" fontId="34" fillId="109" borderId="91" xfId="7870" applyFont="1" applyFill="1" applyBorder="1" applyAlignment="1">
      <alignment horizontal="left" vertical="center" wrapText="1"/>
    </xf>
    <xf numFmtId="9" fontId="33" fillId="106" borderId="87" xfId="7872" applyFont="1" applyFill="1" applyBorder="1" applyAlignment="1">
      <alignment horizontal="center"/>
    </xf>
    <xf numFmtId="172" fontId="33" fillId="109" borderId="88" xfId="7871" applyNumberFormat="1" applyFont="1" applyFill="1" applyBorder="1"/>
    <xf numFmtId="3" fontId="33" fillId="109" borderId="88" xfId="7871" applyNumberFormat="1" applyFont="1" applyFill="1" applyBorder="1"/>
    <xf numFmtId="0" fontId="23" fillId="109" borderId="85" xfId="7870" applyFont="1" applyFill="1" applyBorder="1" applyAlignment="1">
      <alignment horizontal="center" vertical="center"/>
    </xf>
    <xf numFmtId="0" fontId="33" fillId="106" borderId="0" xfId="7872" applyNumberFormat="1" applyFont="1" applyFill="1" applyBorder="1" applyAlignment="1">
      <alignment horizontal="center" vertical="center" wrapText="1"/>
    </xf>
    <xf numFmtId="168" fontId="33" fillId="109" borderId="0" xfId="7871" applyNumberFormat="1" applyFont="1" applyFill="1" applyBorder="1"/>
    <xf numFmtId="0" fontId="33" fillId="109" borderId="85" xfId="7870" applyFont="1" applyFill="1" applyBorder="1" applyAlignment="1">
      <alignment horizontal="left" vertical="center"/>
    </xf>
    <xf numFmtId="170" fontId="33" fillId="0" borderId="85" xfId="7871" applyNumberFormat="1" applyFont="1" applyFill="1" applyBorder="1" applyAlignment="1">
      <alignment horizontal="center"/>
    </xf>
    <xf numFmtId="0" fontId="33" fillId="106" borderId="87" xfId="24" applyNumberFormat="1" applyFont="1" applyFill="1" applyBorder="1" applyAlignment="1">
      <alignment horizontal="center" vertical="center" wrapText="1"/>
    </xf>
    <xf numFmtId="172" fontId="33" fillId="0" borderId="85" xfId="7871" applyNumberFormat="1" applyFont="1" applyFill="1" applyBorder="1"/>
    <xf numFmtId="173" fontId="33" fillId="106" borderId="0" xfId="7871" applyNumberFormat="1" applyFont="1" applyFill="1" applyBorder="1" applyAlignment="1">
      <alignment horizontal="center"/>
    </xf>
    <xf numFmtId="0" fontId="33" fillId="109" borderId="93" xfId="7870" applyFont="1" applyFill="1" applyBorder="1" applyAlignment="1">
      <alignment horizontal="center" vertical="center"/>
    </xf>
    <xf numFmtId="10" fontId="33" fillId="106" borderId="86" xfId="7872" applyNumberFormat="1" applyFont="1" applyFill="1" applyBorder="1" applyAlignment="1">
      <alignment horizontal="left"/>
    </xf>
    <xf numFmtId="0" fontId="35" fillId="109" borderId="0" xfId="7870" applyFont="1" applyFill="1" applyBorder="1" applyAlignment="1">
      <alignment horizontal="center"/>
    </xf>
    <xf numFmtId="173" fontId="34" fillId="109" borderId="0" xfId="7870" applyNumberFormat="1" applyFont="1" applyFill="1" applyAlignment="1">
      <alignment horizontal="center" vertical="center" wrapText="1"/>
    </xf>
    <xf numFmtId="10" fontId="33" fillId="109" borderId="0" xfId="7870" applyNumberFormat="1" applyFont="1" applyFill="1" applyAlignment="1">
      <alignment horizontal="right"/>
    </xf>
    <xf numFmtId="10" fontId="33" fillId="109" borderId="0" xfId="7870" applyNumberFormat="1" applyFont="1" applyFill="1" applyAlignment="1">
      <alignment horizontal="center"/>
    </xf>
    <xf numFmtId="170" fontId="33" fillId="0" borderId="116" xfId="26" applyNumberFormat="1" applyFont="1" applyFill="1" applyBorder="1" applyAlignment="1">
      <alignment horizontal="center"/>
    </xf>
    <xf numFmtId="9" fontId="33" fillId="106" borderId="87" xfId="7872" applyFont="1" applyFill="1" applyBorder="1" applyAlignment="1">
      <alignment horizontal="right"/>
    </xf>
    <xf numFmtId="172" fontId="24" fillId="112" borderId="84" xfId="7870" applyNumberFormat="1" applyFont="1" applyFill="1" applyBorder="1" applyAlignment="1">
      <alignment horizontal="right" vertical="center" wrapText="1"/>
    </xf>
    <xf numFmtId="0" fontId="172" fillId="99" borderId="77" xfId="0" applyFont="1" applyFill="1" applyBorder="1" applyAlignment="1">
      <alignment horizontal="right" vertical="center"/>
    </xf>
    <xf numFmtId="0" fontId="22" fillId="100" borderId="77" xfId="0" applyFont="1" applyFill="1" applyBorder="1" applyAlignment="1">
      <alignment horizontal="right" vertical="center" wrapText="1"/>
    </xf>
    <xf numFmtId="169" fontId="179" fillId="0" borderId="0" xfId="16" applyNumberFormat="1" applyFont="1"/>
    <xf numFmtId="169" fontId="180" fillId="0" borderId="0" xfId="16" applyNumberFormat="1" applyFont="1" applyAlignment="1">
      <alignment horizontal="center"/>
    </xf>
    <xf numFmtId="168" fontId="12" fillId="109" borderId="76" xfId="16" applyNumberFormat="1" applyFont="1" applyFill="1" applyBorder="1" applyAlignment="1">
      <alignment horizontal="right" vertical="center" wrapText="1"/>
    </xf>
    <xf numFmtId="0" fontId="27" fillId="109" borderId="0" xfId="0" applyFont="1" applyFill="1" applyAlignment="1">
      <alignment horizontal="center"/>
    </xf>
    <xf numFmtId="168" fontId="180" fillId="0" borderId="0" xfId="18" applyNumberFormat="1" applyFont="1" applyFill="1" applyAlignment="1">
      <alignment horizontal="center"/>
    </xf>
    <xf numFmtId="169" fontId="180" fillId="0" borderId="0" xfId="16" applyNumberFormat="1" applyFont="1" applyFill="1" applyBorder="1" applyAlignment="1">
      <alignment horizontal="center"/>
    </xf>
    <xf numFmtId="168" fontId="16" fillId="0" borderId="0" xfId="17" applyNumberFormat="1" applyFont="1" applyFill="1" applyBorder="1" applyAlignment="1">
      <alignment horizontal="center"/>
    </xf>
    <xf numFmtId="168" fontId="27" fillId="0" borderId="0" xfId="0" applyNumberFormat="1" applyFont="1"/>
    <xf numFmtId="168" fontId="22" fillId="0" borderId="95" xfId="16" applyNumberFormat="1" applyFont="1" applyFill="1" applyBorder="1"/>
    <xf numFmtId="168" fontId="18" fillId="109" borderId="0" xfId="18" applyNumberFormat="1" applyFont="1" applyFill="1" applyBorder="1" applyAlignment="1">
      <alignment horizontal="center"/>
    </xf>
    <xf numFmtId="168" fontId="18" fillId="109" borderId="0" xfId="18" applyNumberFormat="1" applyFont="1" applyFill="1" applyAlignment="1">
      <alignment horizontal="center"/>
    </xf>
    <xf numFmtId="169" fontId="12" fillId="109" borderId="76" xfId="16" applyNumberFormat="1" applyFont="1" applyFill="1" applyBorder="1" applyAlignment="1">
      <alignment horizontal="right" vertical="center" wrapText="1"/>
    </xf>
    <xf numFmtId="169" fontId="0" fillId="0" borderId="0" xfId="16" applyNumberFormat="1" applyFont="1"/>
    <xf numFmtId="169" fontId="27" fillId="0" borderId="0" xfId="16" applyNumberFormat="1" applyFont="1" applyAlignment="1">
      <alignment horizontal="center"/>
    </xf>
    <xf numFmtId="169" fontId="8" fillId="0" borderId="0" xfId="16" applyNumberFormat="1" applyFont="1"/>
    <xf numFmtId="169" fontId="16" fillId="0" borderId="0" xfId="16" applyNumberFormat="1" applyFont="1" applyBorder="1" applyAlignment="1">
      <alignment horizontal="center"/>
    </xf>
    <xf numFmtId="169" fontId="24" fillId="105" borderId="79" xfId="16" applyNumberFormat="1" applyFont="1" applyFill="1" applyBorder="1" applyAlignment="1">
      <alignment horizontal="center" vertical="center" wrapText="1"/>
    </xf>
    <xf numFmtId="169" fontId="17" fillId="0" borderId="0" xfId="16" applyNumberFormat="1" applyFont="1" applyBorder="1" applyAlignment="1">
      <alignment horizontal="center"/>
    </xf>
    <xf numFmtId="169" fontId="18" fillId="0" borderId="0" xfId="16" applyNumberFormat="1" applyFont="1" applyFill="1" applyBorder="1" applyAlignment="1">
      <alignment horizontal="center"/>
    </xf>
    <xf numFmtId="169" fontId="19" fillId="0" borderId="0" xfId="16" applyNumberFormat="1" applyFont="1" applyFill="1" applyBorder="1" applyAlignment="1">
      <alignment horizontal="center"/>
    </xf>
    <xf numFmtId="169" fontId="19" fillId="0" borderId="110" xfId="16" applyNumberFormat="1" applyFont="1" applyFill="1" applyBorder="1" applyAlignment="1">
      <alignment horizontal="center"/>
    </xf>
    <xf numFmtId="169" fontId="17" fillId="0" borderId="0" xfId="16" applyNumberFormat="1" applyFont="1" applyFill="1" applyBorder="1" applyAlignment="1">
      <alignment horizontal="center"/>
    </xf>
    <xf numFmtId="169" fontId="27" fillId="0" borderId="0" xfId="16" applyNumberFormat="1" applyFont="1"/>
    <xf numFmtId="169" fontId="172" fillId="99" borderId="96" xfId="16" applyNumberFormat="1" applyFont="1" applyFill="1" applyBorder="1" applyAlignment="1">
      <alignment vertical="center"/>
    </xf>
    <xf numFmtId="169" fontId="12" fillId="100" borderId="72" xfId="16" applyNumberFormat="1" applyFont="1" applyFill="1" applyBorder="1" applyAlignment="1">
      <alignment vertical="center" wrapText="1"/>
    </xf>
    <xf numFmtId="169" fontId="9" fillId="0" borderId="78" xfId="16" applyNumberFormat="1" applyFont="1" applyFill="1" applyBorder="1"/>
    <xf numFmtId="169" fontId="11" fillId="102" borderId="0" xfId="16" applyNumberFormat="1" applyFont="1" applyFill="1" applyBorder="1" applyAlignment="1">
      <alignment vertical="center"/>
    </xf>
    <xf numFmtId="169" fontId="12" fillId="100" borderId="0" xfId="16" applyNumberFormat="1" applyFont="1" applyFill="1" applyBorder="1" applyAlignment="1">
      <alignment vertical="center" wrapText="1"/>
    </xf>
    <xf numFmtId="169" fontId="11" fillId="109" borderId="73" xfId="16" applyNumberFormat="1" applyFont="1" applyFill="1" applyBorder="1" applyAlignment="1">
      <alignment horizontal="right" vertical="center" wrapText="1"/>
    </xf>
    <xf numFmtId="169" fontId="11" fillId="99" borderId="73" xfId="16" applyNumberFormat="1" applyFont="1" applyFill="1" applyBorder="1" applyAlignment="1">
      <alignment horizontal="right" vertical="center"/>
    </xf>
    <xf numFmtId="169" fontId="9" fillId="100" borderId="73" xfId="16" applyNumberFormat="1" applyFont="1" applyFill="1" applyBorder="1" applyAlignment="1">
      <alignment horizontal="right" vertical="center" wrapText="1"/>
    </xf>
    <xf numFmtId="169" fontId="9" fillId="0" borderId="0" xfId="16" applyNumberFormat="1" applyFont="1" applyFill="1" applyBorder="1"/>
    <xf numFmtId="169" fontId="9" fillId="104" borderId="73" xfId="16" applyNumberFormat="1" applyFont="1" applyFill="1" applyBorder="1" applyAlignment="1">
      <alignment horizontal="right" vertical="center" wrapText="1"/>
    </xf>
    <xf numFmtId="169" fontId="12" fillId="104" borderId="0" xfId="16" applyNumberFormat="1" applyFont="1" applyFill="1" applyBorder="1" applyAlignment="1">
      <alignment vertical="center" wrapText="1"/>
    </xf>
    <xf numFmtId="169" fontId="32" fillId="111" borderId="0" xfId="16" applyNumberFormat="1" applyFont="1" applyFill="1" applyAlignment="1">
      <alignment vertical="center"/>
    </xf>
    <xf numFmtId="169" fontId="32" fillId="111" borderId="0" xfId="16" applyNumberFormat="1" applyFont="1" applyFill="1" applyAlignment="1">
      <alignment horizontal="right" vertical="center"/>
    </xf>
    <xf numFmtId="169" fontId="32" fillId="111" borderId="0" xfId="16" applyNumberFormat="1" applyFont="1" applyFill="1" applyAlignment="1">
      <alignment horizontal="center" vertical="center" wrapText="1"/>
    </xf>
    <xf numFmtId="169" fontId="19" fillId="0" borderId="110" xfId="16" applyNumberFormat="1" applyFont="1" applyFill="1" applyBorder="1" applyAlignment="1">
      <alignment horizontal="left" indent="2"/>
    </xf>
    <xf numFmtId="169" fontId="19" fillId="0" borderId="110" xfId="7869" applyNumberFormat="1" applyFont="1" applyFill="1" applyBorder="1" applyAlignment="1">
      <alignment horizontal="left" indent="2"/>
    </xf>
    <xf numFmtId="169" fontId="19" fillId="0" borderId="0" xfId="16" applyNumberFormat="1" applyFont="1" applyFill="1" applyBorder="1" applyAlignment="1">
      <alignment horizontal="left" indent="2"/>
    </xf>
    <xf numFmtId="169" fontId="155" fillId="109" borderId="0" xfId="16" applyNumberFormat="1" applyFont="1" applyFill="1" applyAlignment="1">
      <alignment horizontal="center" vertical="center"/>
    </xf>
    <xf numFmtId="169" fontId="155" fillId="113" borderId="0" xfId="16" applyNumberFormat="1" applyFont="1" applyFill="1" applyAlignment="1">
      <alignment horizontal="center" vertical="center"/>
    </xf>
    <xf numFmtId="169" fontId="0" fillId="0" borderId="0" xfId="16" applyNumberFormat="1" applyFont="1" applyAlignment="1">
      <alignment horizontal="center"/>
    </xf>
    <xf numFmtId="0" fontId="32" fillId="123" borderId="0" xfId="5265" applyFont="1" applyFill="1" applyAlignment="1">
      <alignment vertical="center" wrapText="1"/>
    </xf>
    <xf numFmtId="169" fontId="32" fillId="114" borderId="0" xfId="16" applyNumberFormat="1" applyFont="1" applyFill="1" applyAlignment="1">
      <alignment horizontal="center" vertical="center" wrapText="1"/>
    </xf>
    <xf numFmtId="169" fontId="155" fillId="109" borderId="0" xfId="16" applyNumberFormat="1" applyFont="1" applyFill="1" applyAlignment="1">
      <alignment vertical="center"/>
    </xf>
    <xf numFmtId="169" fontId="155" fillId="113" borderId="0" xfId="16" applyNumberFormat="1" applyFont="1" applyFill="1" applyAlignment="1">
      <alignment vertical="center"/>
    </xf>
    <xf numFmtId="169" fontId="154" fillId="0" borderId="0" xfId="16" applyNumberFormat="1" applyFont="1" applyAlignment="1">
      <alignment horizontal="center"/>
    </xf>
    <xf numFmtId="217" fontId="32" fillId="112" borderId="0" xfId="7868" applyNumberFormat="1" applyFont="1" applyFill="1" applyAlignment="1">
      <alignment horizontal="right" vertical="center"/>
    </xf>
    <xf numFmtId="217" fontId="32" fillId="109" borderId="0" xfId="7868" applyNumberFormat="1" applyFont="1" applyFill="1" applyAlignment="1">
      <alignment horizontal="right" vertical="center"/>
    </xf>
    <xf numFmtId="169" fontId="157" fillId="109" borderId="0" xfId="16" applyNumberFormat="1" applyFont="1" applyFill="1" applyBorder="1" applyAlignment="1">
      <alignment horizontal="center" vertical="center"/>
    </xf>
    <xf numFmtId="169" fontId="32" fillId="112" borderId="0" xfId="5112" applyNumberFormat="1" applyFont="1" applyFill="1" applyAlignment="1">
      <alignment horizontal="right" vertical="center"/>
    </xf>
    <xf numFmtId="169" fontId="157" fillId="109" borderId="0" xfId="16" applyNumberFormat="1" applyFont="1" applyFill="1" applyAlignment="1">
      <alignment horizontal="center" vertical="center"/>
    </xf>
    <xf numFmtId="169" fontId="157" fillId="109" borderId="0" xfId="16" applyNumberFormat="1" applyFont="1" applyFill="1" applyAlignment="1">
      <alignment horizontal="right" vertical="center"/>
    </xf>
    <xf numFmtId="1" fontId="32" fillId="114" borderId="0" xfId="0" applyNumberFormat="1" applyFont="1" applyFill="1" applyAlignment="1">
      <alignment horizontal="center" vertical="center"/>
    </xf>
    <xf numFmtId="169" fontId="153" fillId="109" borderId="0" xfId="16" applyNumberFormat="1" applyFont="1" applyFill="1" applyBorder="1" applyAlignment="1">
      <alignment horizontal="center" vertical="center"/>
    </xf>
    <xf numFmtId="169" fontId="32" fillId="109" borderId="0" xfId="16" applyNumberFormat="1" applyFont="1" applyFill="1" applyBorder="1" applyAlignment="1">
      <alignment horizontal="center" vertical="center"/>
    </xf>
    <xf numFmtId="169" fontId="157" fillId="0" borderId="0" xfId="16" applyNumberFormat="1" applyFont="1" applyAlignment="1">
      <alignment horizontal="center" vertical="center"/>
    </xf>
    <xf numFmtId="0" fontId="9" fillId="109" borderId="72" xfId="0" applyFont="1" applyFill="1" applyBorder="1" applyAlignment="1">
      <alignment horizontal="left" vertical="center" wrapText="1" indent="1"/>
    </xf>
    <xf numFmtId="0" fontId="205" fillId="109" borderId="0" xfId="0" applyFont="1" applyFill="1" applyAlignment="1">
      <alignment horizontal="left" vertical="center" wrapText="1"/>
    </xf>
    <xf numFmtId="0" fontId="171" fillId="109" borderId="0" xfId="0" applyFont="1" applyFill="1" applyAlignment="1">
      <alignment horizontal="center" vertical="center" wrapText="1"/>
    </xf>
    <xf numFmtId="0" fontId="171" fillId="108" borderId="119" xfId="0" applyFont="1" applyFill="1" applyBorder="1" applyAlignment="1">
      <alignment horizontal="center" vertical="center" wrapText="1"/>
    </xf>
    <xf numFmtId="0" fontId="171" fillId="108" borderId="120" xfId="0" applyFont="1" applyFill="1" applyBorder="1" applyAlignment="1">
      <alignment horizontal="center" vertical="center" wrapText="1"/>
    </xf>
    <xf numFmtId="0" fontId="8" fillId="0" borderId="121" xfId="0" applyFont="1" applyBorder="1"/>
    <xf numFmtId="0" fontId="8" fillId="0" borderId="121" xfId="0" applyFont="1" applyBorder="1" applyAlignment="1">
      <alignment horizontal="center"/>
    </xf>
    <xf numFmtId="0" fontId="8" fillId="0" borderId="121" xfId="0" applyFont="1" applyBorder="1" applyAlignment="1">
      <alignment horizontal="center" wrapText="1"/>
    </xf>
    <xf numFmtId="0" fontId="8" fillId="0" borderId="121" xfId="0" applyFont="1" applyBorder="1" applyAlignment="1">
      <alignment vertical="center"/>
    </xf>
    <xf numFmtId="0" fontId="8" fillId="0" borderId="0" xfId="0" applyFont="1" applyAlignment="1">
      <alignment vertical="center"/>
    </xf>
    <xf numFmtId="0" fontId="8" fillId="0" borderId="0" xfId="0" applyFont="1" applyAlignment="1">
      <alignment horizontal="center" wrapText="1"/>
    </xf>
    <xf numFmtId="0" fontId="8" fillId="0" borderId="121" xfId="0" applyFont="1" applyBorder="1" applyAlignment="1">
      <alignment horizontal="left"/>
    </xf>
    <xf numFmtId="0" fontId="0" fillId="109" borderId="0" xfId="0" applyFill="1" applyAlignment="1">
      <alignment horizontal="center"/>
    </xf>
    <xf numFmtId="0" fontId="43" fillId="109" borderId="123" xfId="7" applyFont="1" applyFill="1" applyBorder="1" applyAlignment="1">
      <alignment horizontal="left"/>
    </xf>
    <xf numFmtId="0" fontId="43" fillId="0" borderId="123" xfId="70" applyFont="1" applyBorder="1" applyAlignment="1">
      <alignment horizontal="left" vertical="center" wrapText="1"/>
    </xf>
    <xf numFmtId="0" fontId="43" fillId="0" borderId="123" xfId="70" applyFont="1" applyBorder="1" applyAlignment="1">
      <alignment horizontal="left" vertical="center"/>
    </xf>
    <xf numFmtId="0" fontId="206" fillId="126" borderId="122" xfId="70" applyFont="1" applyFill="1" applyBorder="1" applyAlignment="1">
      <alignment horizontal="center" wrapText="1"/>
    </xf>
    <xf numFmtId="0" fontId="206" fillId="126" borderId="122" xfId="70" applyFont="1" applyFill="1" applyBorder="1" applyAlignment="1">
      <alignment horizontal="center"/>
    </xf>
    <xf numFmtId="0" fontId="207" fillId="0" borderId="123" xfId="0" applyFont="1" applyBorder="1" applyAlignment="1">
      <alignment horizontal="left" vertical="center"/>
    </xf>
    <xf numFmtId="0" fontId="173" fillId="77" borderId="0" xfId="5270" applyFont="1" applyFill="1" applyAlignment="1">
      <alignment wrapText="1"/>
    </xf>
    <xf numFmtId="0" fontId="171" fillId="127" borderId="126" xfId="5270" applyFont="1" applyFill="1" applyBorder="1" applyAlignment="1">
      <alignment horizontal="center" vertical="center" wrapText="1"/>
    </xf>
    <xf numFmtId="0" fontId="171" fillId="125" borderId="0" xfId="0" applyFont="1" applyFill="1"/>
    <xf numFmtId="169" fontId="171" fillId="125" borderId="0" xfId="16" applyNumberFormat="1" applyFont="1" applyFill="1"/>
    <xf numFmtId="0" fontId="173" fillId="77" borderId="126" xfId="5270" applyFont="1" applyFill="1" applyBorder="1" applyAlignment="1">
      <alignment horizontal="left" vertical="center"/>
    </xf>
    <xf numFmtId="3" fontId="173" fillId="77" borderId="126" xfId="5270" applyNumberFormat="1" applyFont="1" applyFill="1" applyBorder="1" applyAlignment="1">
      <alignment vertical="center"/>
    </xf>
    <xf numFmtId="0" fontId="173" fillId="77" borderId="0" xfId="5270" applyFont="1" applyFill="1" applyAlignment="1">
      <alignment horizontal="left"/>
    </xf>
    <xf numFmtId="0" fontId="173" fillId="77" borderId="0" xfId="5270" applyFont="1" applyFill="1" applyAlignment="1">
      <alignment vertical="center"/>
    </xf>
    <xf numFmtId="3" fontId="173" fillId="0" borderId="126" xfId="5270" applyNumberFormat="1" applyFont="1" applyBorder="1" applyAlignment="1">
      <alignment vertical="center"/>
    </xf>
    <xf numFmtId="0" fontId="5" fillId="109" borderId="0" xfId="8" applyFill="1"/>
    <xf numFmtId="170" fontId="16" fillId="122" borderId="0" xfId="26" applyNumberFormat="1" applyFont="1" applyFill="1" applyBorder="1" applyAlignment="1">
      <alignment vertical="center"/>
    </xf>
    <xf numFmtId="0" fontId="0" fillId="0" borderId="0" xfId="0" applyAlignment="1">
      <alignment horizontal="center" vertical="center" wrapText="1"/>
    </xf>
    <xf numFmtId="0" fontId="161" fillId="0" borderId="100" xfId="0" applyFont="1" applyBorder="1" applyAlignment="1">
      <alignment horizontal="left" vertical="center"/>
    </xf>
    <xf numFmtId="3" fontId="161" fillId="0" borderId="100" xfId="0" applyNumberFormat="1" applyFont="1" applyBorder="1" applyAlignment="1">
      <alignment horizontal="center" vertical="center"/>
    </xf>
    <xf numFmtId="14" fontId="161" fillId="0" borderId="100" xfId="0" applyNumberFormat="1" applyFont="1" applyBorder="1" applyAlignment="1">
      <alignment horizontal="center" vertical="center"/>
    </xf>
    <xf numFmtId="9" fontId="161" fillId="0" borderId="101" xfId="0" applyNumberFormat="1" applyFont="1" applyBorder="1" applyAlignment="1">
      <alignment horizontal="center" vertical="center"/>
    </xf>
    <xf numFmtId="174" fontId="161" fillId="0" borderId="100" xfId="0" applyNumberFormat="1" applyFont="1" applyBorder="1" applyAlignment="1">
      <alignment horizontal="center" vertical="center"/>
    </xf>
    <xf numFmtId="0" fontId="161" fillId="0" borderId="100" xfId="0" applyFont="1" applyBorder="1" applyAlignment="1">
      <alignment horizontal="center" vertical="center"/>
    </xf>
    <xf numFmtId="14" fontId="161" fillId="0" borderId="0" xfId="0" applyNumberFormat="1" applyFont="1" applyAlignment="1">
      <alignment horizontal="center" vertical="center"/>
    </xf>
    <xf numFmtId="0" fontId="208" fillId="109" borderId="109" xfId="0" applyFont="1" applyFill="1" applyBorder="1" applyAlignment="1">
      <alignment horizontal="left" vertical="center"/>
    </xf>
    <xf numFmtId="0" fontId="32" fillId="109" borderId="127" xfId="0" applyFont="1" applyFill="1" applyBorder="1" applyAlignment="1">
      <alignment horizontal="center" vertical="center" wrapText="1"/>
    </xf>
    <xf numFmtId="0" fontId="209" fillId="0" borderId="0" xfId="0" applyFont="1" applyAlignment="1">
      <alignment horizontal="left" vertical="center"/>
    </xf>
    <xf numFmtId="0" fontId="211" fillId="0" borderId="100" xfId="0" applyFont="1" applyBorder="1" applyAlignment="1">
      <alignment horizontal="left" vertical="center"/>
    </xf>
    <xf numFmtId="3" fontId="211" fillId="0" borderId="129" xfId="0" applyNumberFormat="1" applyFont="1" applyBorder="1" applyAlignment="1">
      <alignment horizontal="center" vertical="center"/>
    </xf>
    <xf numFmtId="14" fontId="211" fillId="0" borderId="129" xfId="0" applyNumberFormat="1" applyFont="1" applyBorder="1" applyAlignment="1">
      <alignment horizontal="center" vertical="center"/>
    </xf>
    <xf numFmtId="174" fontId="211" fillId="0" borderId="129" xfId="0" applyNumberFormat="1" applyFont="1" applyBorder="1" applyAlignment="1">
      <alignment horizontal="center" vertical="center"/>
    </xf>
    <xf numFmtId="0" fontId="212" fillId="0" borderId="128" xfId="0" applyFont="1" applyBorder="1" applyAlignment="1">
      <alignment horizontal="left" vertical="center"/>
    </xf>
    <xf numFmtId="0" fontId="213" fillId="108" borderId="0" xfId="0" applyFont="1" applyFill="1" applyAlignment="1">
      <alignment horizontal="left" vertical="center"/>
    </xf>
    <xf numFmtId="0" fontId="214" fillId="108" borderId="99" xfId="0" applyFont="1" applyFill="1" applyBorder="1" applyAlignment="1">
      <alignment horizontal="center" vertical="center" wrapText="1"/>
    </xf>
    <xf numFmtId="168" fontId="19" fillId="0" borderId="110" xfId="28" applyNumberFormat="1" applyFont="1" applyFill="1" applyBorder="1" applyAlignment="1">
      <alignment horizontal="right" indent="2"/>
    </xf>
    <xf numFmtId="169" fontId="19" fillId="0" borderId="110" xfId="7869" applyNumberFormat="1" applyFont="1" applyFill="1" applyBorder="1" applyAlignment="1">
      <alignment horizontal="right" indent="2"/>
    </xf>
    <xf numFmtId="1" fontId="32" fillId="111" borderId="0" xfId="0" applyNumberFormat="1" applyFont="1" applyFill="1" applyAlignment="1">
      <alignment horizontal="right" vertical="center"/>
    </xf>
    <xf numFmtId="169" fontId="19" fillId="0" borderId="110" xfId="28" applyNumberFormat="1" applyFont="1" applyFill="1" applyBorder="1" applyAlignment="1">
      <alignment horizontal="right" indent="2"/>
    </xf>
    <xf numFmtId="1" fontId="32" fillId="114" borderId="0" xfId="0" applyNumberFormat="1" applyFont="1" applyFill="1" applyAlignment="1">
      <alignment horizontal="right" vertical="center"/>
    </xf>
    <xf numFmtId="0" fontId="206" fillId="126" borderId="122" xfId="70" applyFont="1" applyFill="1" applyBorder="1" applyAlignment="1">
      <alignment horizontal="center" vertical="center"/>
    </xf>
    <xf numFmtId="0" fontId="207" fillId="109" borderId="0" xfId="0" applyFont="1" applyFill="1"/>
    <xf numFmtId="168" fontId="23" fillId="0" borderId="78" xfId="16" applyNumberFormat="1" applyFont="1" applyFill="1" applyBorder="1"/>
    <xf numFmtId="172" fontId="34" fillId="0" borderId="0" xfId="7870" applyNumberFormat="1" applyFont="1" applyAlignment="1">
      <alignment horizontal="right" vertical="center" wrapText="1"/>
    </xf>
    <xf numFmtId="172" fontId="34" fillId="0" borderId="0" xfId="7870" applyNumberFormat="1" applyFont="1" applyFill="1" applyBorder="1" applyAlignment="1">
      <alignment horizontal="right" vertical="center" wrapText="1"/>
    </xf>
    <xf numFmtId="1" fontId="33" fillId="106" borderId="0" xfId="7871" applyNumberFormat="1" applyFont="1" applyFill="1" applyBorder="1" applyAlignment="1">
      <alignment horizontal="center"/>
    </xf>
    <xf numFmtId="10" fontId="33" fillId="106" borderId="0" xfId="7872" applyNumberFormat="1" applyFont="1" applyFill="1" applyBorder="1" applyAlignment="1">
      <alignment horizontal="right"/>
    </xf>
    <xf numFmtId="173" fontId="34" fillId="0" borderId="0" xfId="7870" applyNumberFormat="1" applyFont="1" applyAlignment="1">
      <alignment horizontal="center" vertical="center" wrapText="1"/>
    </xf>
    <xf numFmtId="0" fontId="0" fillId="0" borderId="0" xfId="0" applyAlignment="1">
      <alignment horizontal="center" vertical="center"/>
    </xf>
    <xf numFmtId="0" fontId="161" fillId="0" borderId="100" xfId="0" applyFont="1" applyBorder="1" applyAlignment="1">
      <alignment horizontal="center" vertical="center"/>
    </xf>
    <xf numFmtId="0" fontId="173" fillId="119" borderId="126" xfId="0" applyFont="1" applyFill="1" applyBorder="1"/>
    <xf numFmtId="0" fontId="173" fillId="119" borderId="10" xfId="0" applyFont="1" applyFill="1" applyBorder="1"/>
    <xf numFmtId="0" fontId="173" fillId="0" borderId="126" xfId="0" applyFont="1" applyBorder="1"/>
    <xf numFmtId="0" fontId="173" fillId="0" borderId="10" xfId="0" applyFont="1" applyBorder="1"/>
    <xf numFmtId="0" fontId="33" fillId="109" borderId="88" xfId="7870" applyFont="1" applyFill="1" applyBorder="1" applyAlignment="1">
      <alignment horizontal="left" vertical="center" indent="1"/>
    </xf>
    <xf numFmtId="0" fontId="33" fillId="0" borderId="88" xfId="7870" applyFont="1" applyBorder="1" applyAlignment="1">
      <alignment horizontal="left" vertical="center" indent="1"/>
    </xf>
    <xf numFmtId="169" fontId="22" fillId="0" borderId="78" xfId="16" applyNumberFormat="1" applyFont="1" applyBorder="1"/>
    <xf numFmtId="41" fontId="216" fillId="0" borderId="123" xfId="16" applyNumberFormat="1" applyFont="1" applyBorder="1" applyAlignment="1">
      <alignment vertical="center"/>
    </xf>
    <xf numFmtId="0" fontId="43" fillId="0" borderId="123" xfId="70" applyFont="1" applyBorder="1" applyAlignment="1">
      <alignment horizontal="center" vertical="center"/>
    </xf>
    <xf numFmtId="0" fontId="43" fillId="109" borderId="123" xfId="7" applyFont="1" applyFill="1" applyBorder="1" applyAlignment="1">
      <alignment horizontal="right"/>
    </xf>
    <xf numFmtId="0" fontId="43" fillId="0" borderId="123" xfId="70" applyFont="1" applyBorder="1" applyAlignment="1">
      <alignment horizontal="right" vertical="center"/>
    </xf>
    <xf numFmtId="41" fontId="207" fillId="0" borderId="123" xfId="16" applyNumberFormat="1" applyFont="1" applyBorder="1" applyAlignment="1">
      <alignment horizontal="right" vertical="center"/>
    </xf>
    <xf numFmtId="218" fontId="207" fillId="0" borderId="123" xfId="0" applyNumberFormat="1" applyFont="1" applyBorder="1" applyAlignment="1">
      <alignment horizontal="center" vertical="center"/>
    </xf>
    <xf numFmtId="0" fontId="207" fillId="0" borderId="123" xfId="0" applyFont="1" applyBorder="1" applyAlignment="1">
      <alignment horizontal="center" vertical="center"/>
    </xf>
    <xf numFmtId="0" fontId="0" fillId="0" borderId="0" xfId="0"/>
    <xf numFmtId="0" fontId="8" fillId="0" borderId="0" xfId="0" applyFont="1"/>
    <xf numFmtId="168" fontId="18" fillId="0" borderId="0" xfId="6898" applyNumberFormat="1" applyFont="1" applyFill="1" applyBorder="1" applyAlignment="1">
      <alignment horizontal="center"/>
    </xf>
    <xf numFmtId="168" fontId="19" fillId="0" borderId="0" xfId="6898" applyNumberFormat="1" applyFont="1" applyFill="1" applyBorder="1" applyAlignment="1">
      <alignment horizontal="center"/>
    </xf>
    <xf numFmtId="0" fontId="17" fillId="0" borderId="0" xfId="17" applyFont="1" applyFill="1" applyBorder="1" applyAlignment="1">
      <alignment horizontal="center"/>
    </xf>
    <xf numFmtId="169" fontId="19" fillId="0" borderId="110" xfId="6898" applyNumberFormat="1" applyFont="1" applyFill="1" applyBorder="1" applyAlignment="1">
      <alignment horizontal="center"/>
    </xf>
    <xf numFmtId="168" fontId="19" fillId="0" borderId="110" xfId="6898" applyNumberFormat="1" applyFont="1" applyFill="1" applyBorder="1" applyAlignment="1">
      <alignment horizontal="center"/>
    </xf>
    <xf numFmtId="0" fontId="172" fillId="99" borderId="96" xfId="0" applyFont="1" applyFill="1" applyBorder="1" applyAlignment="1">
      <alignment vertical="center"/>
    </xf>
    <xf numFmtId="0" fontId="173" fillId="100" borderId="0" xfId="0" applyFont="1" applyFill="1" applyAlignment="1">
      <alignment horizontal="right" vertical="center" wrapText="1"/>
    </xf>
    <xf numFmtId="168" fontId="9" fillId="0" borderId="78" xfId="7881" applyNumberFormat="1" applyFont="1" applyFill="1" applyBorder="1"/>
    <xf numFmtId="169" fontId="11" fillId="102" borderId="73" xfId="7881" applyNumberFormat="1" applyFont="1" applyFill="1" applyBorder="1" applyAlignment="1">
      <alignment horizontal="right" vertical="center" wrapText="1"/>
    </xf>
    <xf numFmtId="0" fontId="23" fillId="100" borderId="73" xfId="0" applyFont="1" applyFill="1" applyBorder="1" applyAlignment="1">
      <alignment horizontal="right" vertical="center" wrapText="1"/>
    </xf>
    <xf numFmtId="169" fontId="12" fillId="100" borderId="76" xfId="7881" applyNumberFormat="1" applyFont="1" applyFill="1" applyBorder="1" applyAlignment="1">
      <alignment horizontal="right" vertical="center" wrapText="1"/>
    </xf>
    <xf numFmtId="169" fontId="11" fillId="102" borderId="76" xfId="7881"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9" fillId="104" borderId="73" xfId="0" applyFont="1" applyFill="1" applyBorder="1" applyAlignment="1">
      <alignment horizontal="right" vertical="center" wrapText="1"/>
    </xf>
    <xf numFmtId="3" fontId="11" fillId="109" borderId="73" xfId="0" applyNumberFormat="1" applyFont="1" applyFill="1" applyBorder="1" applyAlignment="1">
      <alignment horizontal="right" vertical="center" wrapText="1"/>
    </xf>
    <xf numFmtId="168" fontId="9" fillId="0" borderId="0" xfId="7881" applyNumberFormat="1" applyFont="1" applyFill="1" applyBorder="1"/>
    <xf numFmtId="0" fontId="24" fillId="105" borderId="79" xfId="0" applyFont="1" applyFill="1" applyBorder="1" applyAlignment="1">
      <alignment horizontal="center" vertical="center" wrapText="1"/>
    </xf>
    <xf numFmtId="0" fontId="17" fillId="0" borderId="0" xfId="17" applyFont="1" applyBorder="1" applyAlignment="1">
      <alignment horizontal="center"/>
    </xf>
    <xf numFmtId="168" fontId="23" fillId="0" borderId="78" xfId="7881" applyNumberFormat="1" applyFont="1" applyFill="1" applyBorder="1"/>
    <xf numFmtId="0" fontId="0" fillId="0" borderId="0" xfId="0"/>
    <xf numFmtId="0" fontId="16" fillId="0" borderId="0" xfId="17" applyFont="1" applyFill="1" applyBorder="1" applyAlignment="1">
      <alignment horizontal="center"/>
    </xf>
    <xf numFmtId="0" fontId="173" fillId="100" borderId="73" xfId="0" applyFont="1" applyFill="1" applyBorder="1" applyAlignment="1">
      <alignment horizontal="right" vertical="center" wrapText="1"/>
    </xf>
    <xf numFmtId="0" fontId="172" fillId="99" borderId="96" xfId="0" applyFont="1" applyFill="1" applyBorder="1" applyAlignment="1">
      <alignment vertical="center"/>
    </xf>
    <xf numFmtId="0" fontId="173" fillId="100" borderId="0" xfId="0" applyFont="1" applyFill="1" applyAlignment="1">
      <alignment horizontal="right" vertical="center" wrapText="1"/>
    </xf>
    <xf numFmtId="3" fontId="172" fillId="109" borderId="0" xfId="0" applyNumberFormat="1" applyFont="1" applyFill="1" applyAlignment="1">
      <alignment horizontal="right" vertical="center" wrapText="1"/>
    </xf>
    <xf numFmtId="0" fontId="172" fillId="99" borderId="0" xfId="0" applyFont="1" applyFill="1" applyAlignment="1">
      <alignment vertical="center"/>
    </xf>
    <xf numFmtId="0" fontId="172"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171" fillId="105" borderId="0" xfId="0" applyFont="1" applyFill="1" applyAlignment="1">
      <alignment horizontal="center" vertical="center" wrapText="1"/>
    </xf>
    <xf numFmtId="0" fontId="23" fillId="0" borderId="121" xfId="0" applyFont="1" applyBorder="1" applyAlignment="1">
      <alignment horizontal="center"/>
    </xf>
    <xf numFmtId="168" fontId="201" fillId="109" borderId="114" xfId="23" applyNumberFormat="1" applyFont="1" applyFill="1" applyBorder="1" applyAlignment="1">
      <alignment horizontal="right" vertical="center" wrapText="1"/>
    </xf>
    <xf numFmtId="168" fontId="201" fillId="109" borderId="115" xfId="23" applyNumberFormat="1" applyFont="1" applyFill="1" applyBorder="1" applyAlignment="1">
      <alignment horizontal="right" vertical="center" wrapText="1"/>
    </xf>
    <xf numFmtId="0" fontId="4" fillId="109" borderId="0" xfId="27" applyFill="1"/>
    <xf numFmtId="0" fontId="172" fillId="105" borderId="79" xfId="0" applyFont="1" applyFill="1" applyBorder="1" applyAlignment="1">
      <alignment horizontal="center" vertical="center" wrapText="1"/>
    </xf>
    <xf numFmtId="0" fontId="171" fillId="105" borderId="0" xfId="0" applyFont="1" applyFill="1" applyBorder="1" applyAlignment="1">
      <alignment horizontal="center" vertical="center" wrapText="1"/>
    </xf>
    <xf numFmtId="169" fontId="181" fillId="0" borderId="69" xfId="18" applyNumberFormat="1" applyFont="1" applyFill="1" applyBorder="1" applyAlignment="1">
      <alignment horizontal="center"/>
    </xf>
    <xf numFmtId="168" fontId="181" fillId="0" borderId="69" xfId="18" applyNumberFormat="1" applyFont="1" applyFill="1" applyBorder="1" applyAlignment="1">
      <alignment horizontal="center"/>
    </xf>
    <xf numFmtId="0" fontId="173" fillId="100" borderId="0" xfId="0" applyFont="1" applyFill="1" applyBorder="1" applyAlignment="1">
      <alignment horizontal="right" vertical="center" wrapText="1"/>
    </xf>
    <xf numFmtId="168" fontId="22" fillId="103" borderId="0" xfId="16" applyNumberFormat="1" applyFont="1" applyFill="1" applyBorder="1"/>
    <xf numFmtId="3" fontId="172" fillId="103" borderId="0" xfId="0" applyNumberFormat="1" applyFont="1" applyFill="1" applyBorder="1" applyAlignment="1">
      <alignment horizontal="right" vertical="center" wrapText="1"/>
    </xf>
    <xf numFmtId="0" fontId="172" fillId="99" borderId="0" xfId="0" applyFont="1" applyFill="1" applyBorder="1" applyAlignment="1">
      <alignment horizontal="right" vertical="center"/>
    </xf>
    <xf numFmtId="0" fontId="22" fillId="100" borderId="0" xfId="0" applyFont="1" applyFill="1" applyBorder="1" applyAlignment="1">
      <alignment horizontal="right" vertical="center" wrapText="1"/>
    </xf>
    <xf numFmtId="0" fontId="22" fillId="104" borderId="0" xfId="0" applyFont="1" applyFill="1" applyBorder="1" applyAlignment="1">
      <alignment horizontal="right" vertical="center" wrapText="1"/>
    </xf>
    <xf numFmtId="0" fontId="33" fillId="109" borderId="102" xfId="7870" applyFont="1" applyFill="1" applyBorder="1" applyAlignment="1">
      <alignment horizontal="center" vertical="center"/>
    </xf>
    <xf numFmtId="0" fontId="33" fillId="109" borderId="104" xfId="7870" applyFont="1" applyFill="1" applyBorder="1" applyAlignment="1">
      <alignment horizontal="center" vertical="center"/>
    </xf>
    <xf numFmtId="0" fontId="0" fillId="0" borderId="0" xfId="0" applyAlignment="1">
      <alignment horizontal="center" vertical="center"/>
    </xf>
    <xf numFmtId="0" fontId="161" fillId="0" borderId="100" xfId="0" applyFont="1" applyBorder="1" applyAlignment="1">
      <alignment horizontal="center" vertical="center"/>
    </xf>
    <xf numFmtId="0" fontId="33" fillId="106" borderId="88" xfId="7870" applyFont="1" applyFill="1" applyBorder="1" applyAlignment="1">
      <alignment horizontal="left" vertical="center" indent="1"/>
    </xf>
    <xf numFmtId="0" fontId="33" fillId="109" borderId="0" xfId="7870" applyFont="1" applyFill="1" applyBorder="1" applyAlignment="1">
      <alignment horizontal="center" vertical="center"/>
    </xf>
    <xf numFmtId="0" fontId="33" fillId="109" borderId="88" xfId="7870" applyFont="1" applyFill="1" applyBorder="1" applyAlignment="1">
      <alignment horizontal="left" vertical="center"/>
    </xf>
    <xf numFmtId="0" fontId="33" fillId="109" borderId="126" xfId="7870" applyFont="1" applyFill="1" applyBorder="1" applyAlignment="1">
      <alignment horizontal="center" vertical="center"/>
    </xf>
    <xf numFmtId="0" fontId="33" fillId="109" borderId="86" xfId="7870" applyFont="1" applyFill="1" applyBorder="1" applyAlignment="1">
      <alignment horizontal="left" vertical="center"/>
    </xf>
    <xf numFmtId="14" fontId="33" fillId="106" borderId="88" xfId="7871" applyNumberFormat="1" applyFont="1" applyFill="1" applyBorder="1" applyAlignment="1">
      <alignment horizontal="center"/>
    </xf>
    <xf numFmtId="0" fontId="156" fillId="108" borderId="99" xfId="0" applyFont="1" applyFill="1" applyBorder="1" applyAlignment="1">
      <alignment horizontal="center" vertical="center" wrapText="1"/>
    </xf>
    <xf numFmtId="0" fontId="224" fillId="0" borderId="0" xfId="0" applyFont="1" applyAlignment="1">
      <alignment horizontal="center" vertical="center" wrapText="1"/>
    </xf>
    <xf numFmtId="0" fontId="209" fillId="0" borderId="128" xfId="0" applyFont="1" applyBorder="1" applyAlignment="1">
      <alignment horizontal="left" vertical="center"/>
    </xf>
    <xf numFmtId="0" fontId="156" fillId="108" borderId="99" xfId="0" applyFont="1" applyFill="1" applyBorder="1" applyAlignment="1">
      <alignment horizontal="left" vertical="center" wrapText="1"/>
    </xf>
    <xf numFmtId="0" fontId="223" fillId="108" borderId="99" xfId="0" applyFont="1" applyFill="1" applyBorder="1" applyAlignment="1">
      <alignment horizontal="center" vertical="center" wrapText="1"/>
    </xf>
    <xf numFmtId="175" fontId="207" fillId="0" borderId="123" xfId="0" applyNumberFormat="1" applyFont="1" applyBorder="1" applyAlignment="1">
      <alignment vertical="center"/>
    </xf>
    <xf numFmtId="175" fontId="43" fillId="0" borderId="123" xfId="7873" applyNumberFormat="1" applyFont="1" applyBorder="1" applyAlignment="1">
      <alignment horizontal="right" vertical="center"/>
    </xf>
    <xf numFmtId="175" fontId="207" fillId="0" borderId="123" xfId="0" applyNumberFormat="1" applyFont="1" applyBorder="1" applyAlignment="1">
      <alignment horizontal="right" vertical="center"/>
    </xf>
    <xf numFmtId="0" fontId="191" fillId="115" borderId="0" xfId="0" applyFont="1" applyFill="1"/>
    <xf numFmtId="3" fontId="180" fillId="0" borderId="0" xfId="0" applyNumberFormat="1" applyFont="1" applyAlignment="1">
      <alignment wrapText="1"/>
    </xf>
    <xf numFmtId="3" fontId="181" fillId="0" borderId="110" xfId="0" applyNumberFormat="1" applyFont="1" applyBorder="1" applyAlignment="1">
      <alignment wrapText="1"/>
    </xf>
    <xf numFmtId="0" fontId="170" fillId="0" borderId="0" xfId="0" applyFont="1"/>
    <xf numFmtId="0" fontId="19" fillId="0" borderId="110" xfId="18" applyNumberFormat="1" applyFont="1" applyFill="1" applyBorder="1" applyAlignment="1">
      <alignment horizontal="left"/>
    </xf>
    <xf numFmtId="3" fontId="22" fillId="0" borderId="74" xfId="0" applyNumberFormat="1" applyFont="1" applyBorder="1" applyAlignment="1">
      <alignment horizontal="right" wrapText="1"/>
    </xf>
    <xf numFmtId="3" fontId="22" fillId="0" borderId="149" xfId="0" applyNumberFormat="1" applyFont="1" applyBorder="1" applyAlignment="1">
      <alignment horizontal="right" wrapText="1"/>
    </xf>
    <xf numFmtId="169" fontId="22" fillId="0" borderId="149" xfId="16" applyNumberFormat="1" applyFont="1" applyBorder="1" applyAlignment="1">
      <alignment horizontal="right" wrapText="1"/>
    </xf>
    <xf numFmtId="43" fontId="22" fillId="0" borderId="74" xfId="16" applyFont="1" applyBorder="1" applyAlignment="1">
      <alignment horizontal="right" wrapText="1"/>
    </xf>
    <xf numFmtId="3" fontId="172" fillId="118" borderId="73" xfId="0" applyNumberFormat="1" applyFont="1" applyFill="1" applyBorder="1" applyAlignment="1">
      <alignment horizontal="right" wrapText="1"/>
    </xf>
    <xf numFmtId="0" fontId="173" fillId="117" borderId="73" xfId="0" applyFont="1" applyFill="1" applyBorder="1" applyAlignment="1">
      <alignment horizontal="right" wrapText="1"/>
    </xf>
    <xf numFmtId="169" fontId="22" fillId="0" borderId="74" xfId="16" applyNumberFormat="1" applyFont="1" applyBorder="1" applyAlignment="1">
      <alignment horizontal="right" wrapText="1"/>
    </xf>
    <xf numFmtId="3" fontId="174" fillId="117" borderId="76" xfId="0" applyNumberFormat="1" applyFont="1" applyFill="1" applyBorder="1" applyAlignment="1">
      <alignment horizontal="right" wrapText="1"/>
    </xf>
    <xf numFmtId="169" fontId="172" fillId="118" borderId="76" xfId="16" applyNumberFormat="1" applyFont="1" applyFill="1" applyBorder="1" applyAlignment="1">
      <alignment horizontal="right" wrapText="1"/>
    </xf>
    <xf numFmtId="0" fontId="172" fillId="116" borderId="73" xfId="0" applyFont="1" applyFill="1" applyBorder="1" applyAlignment="1">
      <alignment horizontal="right" wrapText="1"/>
    </xf>
    <xf numFmtId="0" fontId="22" fillId="117" borderId="73" xfId="0" applyFont="1" applyFill="1" applyBorder="1" applyAlignment="1">
      <alignment horizontal="right" wrapText="1"/>
    </xf>
    <xf numFmtId="168" fontId="22" fillId="0" borderId="74" xfId="16" applyNumberFormat="1" applyFont="1" applyFill="1" applyBorder="1" applyAlignment="1">
      <alignment horizontal="right"/>
    </xf>
    <xf numFmtId="0" fontId="171" fillId="115" borderId="0" xfId="0" applyFont="1" applyFill="1" applyAlignment="1">
      <alignment horizontal="right" vertical="center" indent="1"/>
    </xf>
    <xf numFmtId="0" fontId="173" fillId="117" borderId="0" xfId="0" applyFont="1" applyFill="1" applyAlignment="1">
      <alignment horizontal="right" vertical="center" wrapText="1"/>
    </xf>
    <xf numFmtId="0" fontId="0" fillId="0" borderId="110" xfId="0" applyBorder="1"/>
    <xf numFmtId="169" fontId="180" fillId="0" borderId="0" xfId="16" applyNumberFormat="1" applyFont="1" applyFill="1" applyBorder="1" applyAlignment="1">
      <alignment horizontal="left"/>
    </xf>
    <xf numFmtId="169" fontId="181" fillId="0" borderId="110" xfId="16" applyNumberFormat="1" applyFont="1" applyFill="1" applyBorder="1" applyAlignment="1">
      <alignment horizontal="left"/>
    </xf>
    <xf numFmtId="169" fontId="16" fillId="0" borderId="0" xfId="16" applyNumberFormat="1" applyFont="1" applyFill="1" applyBorder="1" applyAlignment="1">
      <alignment horizontal="left"/>
    </xf>
    <xf numFmtId="0" fontId="181" fillId="0" borderId="110" xfId="17" applyFont="1" applyFill="1" applyBorder="1" applyAlignment="1">
      <alignment horizontal="left"/>
    </xf>
    <xf numFmtId="0" fontId="16" fillId="0" borderId="0" xfId="17" applyFont="1" applyFill="1" applyBorder="1" applyAlignment="1">
      <alignment horizontal="left"/>
    </xf>
    <xf numFmtId="0" fontId="225" fillId="0" borderId="0" xfId="0" applyFont="1"/>
    <xf numFmtId="168" fontId="22" fillId="119" borderId="150" xfId="16" applyNumberFormat="1" applyFont="1" applyFill="1" applyBorder="1"/>
    <xf numFmtId="168" fontId="22" fillId="119" borderId="151" xfId="16" applyNumberFormat="1" applyFont="1" applyFill="1" applyBorder="1"/>
    <xf numFmtId="169" fontId="172" fillId="118" borderId="0" xfId="16" applyNumberFormat="1" applyFont="1" applyFill="1" applyBorder="1" applyAlignment="1">
      <alignment horizontal="right" vertical="center" wrapText="1"/>
    </xf>
    <xf numFmtId="168" fontId="22" fillId="119" borderId="0" xfId="16" applyNumberFormat="1" applyFont="1" applyFill="1" applyBorder="1"/>
    <xf numFmtId="169" fontId="174" fillId="117" borderId="0" xfId="16" applyNumberFormat="1" applyFont="1" applyFill="1" applyBorder="1" applyAlignment="1">
      <alignment horizontal="right" vertical="center" wrapText="1"/>
    </xf>
    <xf numFmtId="0" fontId="172" fillId="116" borderId="96" xfId="0" applyFont="1" applyFill="1" applyBorder="1" applyAlignment="1">
      <alignment vertical="center"/>
    </xf>
    <xf numFmtId="0" fontId="173" fillId="117" borderId="77" xfId="0" applyFont="1" applyFill="1" applyBorder="1" applyAlignment="1">
      <alignment horizontal="right" vertical="center" wrapText="1"/>
    </xf>
    <xf numFmtId="0" fontId="22" fillId="120" borderId="0" xfId="0" applyFont="1" applyFill="1" applyAlignment="1">
      <alignment horizontal="right" vertical="center" wrapText="1"/>
    </xf>
    <xf numFmtId="3" fontId="172" fillId="119" borderId="0" xfId="0" applyNumberFormat="1" applyFont="1" applyFill="1" applyAlignment="1">
      <alignment horizontal="right" vertical="center" wrapText="1"/>
    </xf>
    <xf numFmtId="0" fontId="172" fillId="211" borderId="0" xfId="0" applyFont="1" applyFill="1" applyAlignment="1">
      <alignment horizontal="center" vertical="center" wrapText="1"/>
    </xf>
    <xf numFmtId="0" fontId="172" fillId="116" borderId="0" xfId="0" applyFont="1" applyFill="1" applyAlignment="1">
      <alignment horizontal="right" vertical="center"/>
    </xf>
    <xf numFmtId="0" fontId="22" fillId="117" borderId="0" xfId="0" applyFont="1" applyFill="1" applyAlignment="1">
      <alignment horizontal="right" vertical="center" wrapText="1"/>
    </xf>
    <xf numFmtId="0" fontId="172" fillId="119" borderId="0" xfId="0" applyFont="1" applyFill="1" applyAlignment="1">
      <alignment horizontal="right" vertical="center" wrapText="1"/>
    </xf>
    <xf numFmtId="0" fontId="172" fillId="115" borderId="0" xfId="0" applyFont="1" applyFill="1" applyAlignment="1">
      <alignment horizontal="center" vertical="center"/>
    </xf>
    <xf numFmtId="0" fontId="172" fillId="116" borderId="0" xfId="0" applyFont="1" applyFill="1" applyAlignment="1">
      <alignment vertical="center"/>
    </xf>
    <xf numFmtId="0" fontId="171" fillId="0" borderId="0" xfId="0" applyFont="1" applyAlignment="1">
      <alignment horizontal="center" vertical="center"/>
    </xf>
    <xf numFmtId="0" fontId="226" fillId="0" borderId="0" xfId="21" applyFont="1"/>
    <xf numFmtId="0" fontId="191" fillId="98" borderId="0" xfId="0" applyFont="1" applyFill="1" applyAlignment="1">
      <alignment horizontal="center" vertical="center"/>
    </xf>
    <xf numFmtId="1" fontId="32" fillId="111" borderId="0" xfId="0" applyNumberFormat="1" applyFont="1" applyFill="1" applyAlignment="1">
      <alignment horizontal="center" vertical="center"/>
    </xf>
    <xf numFmtId="1" fontId="32" fillId="114" borderId="0" xfId="0" applyNumberFormat="1" applyFont="1" applyFill="1" applyAlignment="1">
      <alignment horizontal="center" vertical="center"/>
    </xf>
    <xf numFmtId="1" fontId="32" fillId="111" borderId="0" xfId="0" applyNumberFormat="1" applyFont="1" applyFill="1" applyAlignment="1">
      <alignment vertical="center" wrapText="1"/>
    </xf>
    <xf numFmtId="39" fontId="32" fillId="111" borderId="0" xfId="0" applyNumberFormat="1" applyFont="1" applyFill="1" applyAlignment="1">
      <alignment horizontal="left" vertical="center" wrapText="1"/>
    </xf>
    <xf numFmtId="39" fontId="32" fillId="114" borderId="0" xfId="0" applyNumberFormat="1" applyFont="1" applyFill="1" applyAlignment="1">
      <alignment horizontal="left" vertical="center" wrapText="1"/>
    </xf>
    <xf numFmtId="0" fontId="171" fillId="112" borderId="84" xfId="22" applyFont="1" applyFill="1" applyBorder="1" applyAlignment="1">
      <alignment horizontal="left" vertical="center" wrapText="1"/>
    </xf>
    <xf numFmtId="0" fontId="33" fillId="109" borderId="102" xfId="7870" applyFont="1" applyFill="1" applyBorder="1" applyAlignment="1">
      <alignment horizontal="center" vertical="center" wrapText="1"/>
    </xf>
    <xf numFmtId="0" fontId="33" fillId="109" borderId="104" xfId="7870" applyFont="1" applyFill="1" applyBorder="1" applyAlignment="1">
      <alignment horizontal="center" vertical="center" wrapText="1"/>
    </xf>
    <xf numFmtId="0" fontId="33" fillId="109" borderId="102" xfId="7870" applyFont="1" applyFill="1" applyBorder="1" applyAlignment="1">
      <alignment horizontal="center" vertical="center"/>
    </xf>
    <xf numFmtId="0" fontId="33" fillId="109" borderId="103" xfId="7870" applyFont="1" applyFill="1" applyBorder="1" applyAlignment="1">
      <alignment horizontal="center" vertical="center"/>
    </xf>
    <xf numFmtId="0" fontId="33" fillId="109" borderId="107" xfId="7870" applyFont="1" applyFill="1" applyBorder="1" applyAlignment="1">
      <alignment horizontal="center" vertical="center"/>
    </xf>
    <xf numFmtId="0" fontId="33" fillId="109" borderId="104" xfId="7870" applyFont="1" applyFill="1" applyBorder="1" applyAlignment="1">
      <alignment horizontal="center" vertical="center"/>
    </xf>
    <xf numFmtId="0" fontId="33" fillId="109" borderId="103" xfId="7870" applyFont="1" applyFill="1" applyBorder="1" applyAlignment="1">
      <alignment horizontal="center" vertical="center" wrapText="1"/>
    </xf>
    <xf numFmtId="0" fontId="33" fillId="109" borderId="133" xfId="7870" applyFont="1" applyFill="1" applyBorder="1" applyAlignment="1">
      <alignment horizontal="center" vertical="center"/>
    </xf>
    <xf numFmtId="0" fontId="33" fillId="109" borderId="134" xfId="7870" applyFont="1" applyFill="1" applyBorder="1" applyAlignment="1">
      <alignment horizontal="center" vertical="center"/>
    </xf>
    <xf numFmtId="0" fontId="33" fillId="109" borderId="10" xfId="7870" applyFont="1" applyFill="1" applyBorder="1" applyAlignment="1">
      <alignment horizontal="center" vertical="center"/>
    </xf>
    <xf numFmtId="0" fontId="33" fillId="109" borderId="0" xfId="22" applyFont="1" applyFill="1" applyAlignment="1">
      <alignment horizontal="left"/>
    </xf>
    <xf numFmtId="170" fontId="160" fillId="109" borderId="0" xfId="26" applyNumberFormat="1" applyFont="1" applyFill="1" applyBorder="1" applyAlignment="1">
      <alignment horizontal="left" vertical="center"/>
    </xf>
    <xf numFmtId="0" fontId="32" fillId="98" borderId="98" xfId="22" applyFont="1" applyFill="1" applyBorder="1" applyAlignment="1">
      <alignment horizontal="center" vertical="center" wrapText="1"/>
    </xf>
    <xf numFmtId="0" fontId="32" fillId="98" borderId="105" xfId="22" applyFont="1" applyFill="1" applyBorder="1" applyAlignment="1">
      <alignment horizontal="center" vertical="center" wrapText="1"/>
    </xf>
    <xf numFmtId="0" fontId="32" fillId="98" borderId="106" xfId="22" applyFont="1" applyFill="1" applyBorder="1" applyAlignment="1">
      <alignment horizontal="center" vertical="center" wrapText="1"/>
    </xf>
    <xf numFmtId="0" fontId="33" fillId="0" borderId="102" xfId="7870" applyFont="1" applyBorder="1" applyAlignment="1">
      <alignment horizontal="center" vertical="center"/>
    </xf>
    <xf numFmtId="0" fontId="33" fillId="0" borderId="103" xfId="7870" applyFont="1" applyBorder="1" applyAlignment="1">
      <alignment horizontal="center" vertical="center"/>
    </xf>
    <xf numFmtId="0" fontId="33" fillId="0" borderId="107" xfId="7870" applyFont="1" applyBorder="1" applyAlignment="1">
      <alignment horizontal="center" vertical="center"/>
    </xf>
    <xf numFmtId="0" fontId="33" fillId="0" borderId="104" xfId="7870" applyFont="1" applyBorder="1" applyAlignment="1">
      <alignment horizontal="center" vertical="center"/>
    </xf>
    <xf numFmtId="0" fontId="33" fillId="0" borderId="130" xfId="7870" applyFont="1" applyBorder="1" applyAlignment="1">
      <alignment horizontal="center" vertical="center"/>
    </xf>
    <xf numFmtId="0" fontId="33" fillId="0" borderId="131" xfId="7870" applyFont="1" applyBorder="1" applyAlignment="1">
      <alignment horizontal="center" vertical="center"/>
    </xf>
    <xf numFmtId="0" fontId="33" fillId="0" borderId="132" xfId="7870" applyFont="1" applyBorder="1" applyAlignment="1">
      <alignment horizontal="center" vertical="center"/>
    </xf>
    <xf numFmtId="0" fontId="33" fillId="0" borderId="133" xfId="7870" applyFont="1" applyBorder="1" applyAlignment="1">
      <alignment horizontal="center" vertical="center"/>
    </xf>
    <xf numFmtId="0" fontId="33" fillId="0" borderId="134" xfId="7870" applyFont="1" applyBorder="1" applyAlignment="1">
      <alignment horizontal="center" vertical="center"/>
    </xf>
    <xf numFmtId="0" fontId="33" fillId="0" borderId="148" xfId="7870" applyFont="1" applyBorder="1" applyAlignment="1">
      <alignment horizontal="center" vertical="center"/>
    </xf>
    <xf numFmtId="0" fontId="33" fillId="109" borderId="85" xfId="7870" applyFont="1" applyFill="1" applyBorder="1" applyAlignment="1">
      <alignment horizontal="center" vertical="center" wrapText="1"/>
    </xf>
    <xf numFmtId="0" fontId="24" fillId="112" borderId="84" xfId="22" applyFont="1" applyFill="1" applyBorder="1" applyAlignment="1">
      <alignment horizontal="center" vertical="center" wrapText="1"/>
    </xf>
    <xf numFmtId="0" fontId="33" fillId="109" borderId="130" xfId="7870" applyFont="1" applyFill="1" applyBorder="1" applyAlignment="1">
      <alignment horizontal="center" vertical="center"/>
    </xf>
    <xf numFmtId="0" fontId="33" fillId="109" borderId="131" xfId="7870" applyFont="1" applyFill="1" applyBorder="1" applyAlignment="1">
      <alignment horizontal="center" vertical="center"/>
    </xf>
    <xf numFmtId="0" fontId="33" fillId="109" borderId="132" xfId="7870" applyFont="1" applyFill="1" applyBorder="1" applyAlignment="1">
      <alignment horizontal="center" vertical="center"/>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0" fontId="32" fillId="98" borderId="108" xfId="22" applyFont="1" applyFill="1" applyBorder="1" applyAlignment="1">
      <alignment horizontal="center" vertical="center" wrapText="1"/>
    </xf>
    <xf numFmtId="0" fontId="171" fillId="110" borderId="109" xfId="0" applyFont="1" applyFill="1" applyBorder="1" applyAlignment="1">
      <alignment horizontal="center" vertical="center"/>
    </xf>
    <xf numFmtId="0" fontId="208" fillId="110" borderId="109" xfId="0" applyFont="1" applyFill="1" applyBorder="1" applyAlignment="1">
      <alignment horizontal="center" vertical="center"/>
    </xf>
    <xf numFmtId="0" fontId="161" fillId="0" borderId="0" xfId="0" applyFont="1" applyAlignment="1">
      <alignment horizontal="center" vertical="center"/>
    </xf>
    <xf numFmtId="0" fontId="161" fillId="0" borderId="111" xfId="0" applyFont="1" applyBorder="1" applyAlignment="1">
      <alignment horizontal="center" vertical="center"/>
    </xf>
    <xf numFmtId="0" fontId="161" fillId="0" borderId="117" xfId="0" applyFont="1" applyBorder="1" applyAlignment="1">
      <alignment horizontal="center" vertical="center"/>
    </xf>
    <xf numFmtId="0" fontId="161" fillId="0" borderId="100" xfId="0" applyFont="1" applyBorder="1" applyAlignment="1">
      <alignment horizontal="center" vertical="center"/>
    </xf>
    <xf numFmtId="175" fontId="43" fillId="0" borderId="122" xfId="7873" applyNumberFormat="1" applyFont="1" applyBorder="1" applyAlignment="1">
      <alignment horizontal="right" vertical="center"/>
    </xf>
    <xf numFmtId="175" fontId="43" fillId="0" borderId="125" xfId="7873" applyNumberFormat="1" applyFont="1" applyBorder="1" applyAlignment="1">
      <alignment horizontal="right" vertical="center"/>
    </xf>
    <xf numFmtId="175" fontId="43" fillId="0" borderId="124" xfId="7873" applyNumberFormat="1" applyFont="1" applyBorder="1" applyAlignment="1">
      <alignment horizontal="right" vertical="center"/>
    </xf>
    <xf numFmtId="0" fontId="43" fillId="0" borderId="122" xfId="70" applyFont="1" applyBorder="1" applyAlignment="1">
      <alignment horizontal="center" vertical="center"/>
    </xf>
    <xf numFmtId="0" fontId="43" fillId="0" borderId="124" xfId="70" applyFont="1" applyBorder="1" applyAlignment="1">
      <alignment horizontal="center" vertical="center"/>
    </xf>
    <xf numFmtId="0" fontId="43" fillId="0" borderId="125" xfId="70" applyFont="1" applyBorder="1" applyAlignment="1">
      <alignment horizontal="center" vertical="center"/>
    </xf>
    <xf numFmtId="0" fontId="43" fillId="0" borderId="122" xfId="70" applyFont="1" applyBorder="1" applyAlignment="1">
      <alignment horizontal="left" vertical="center"/>
    </xf>
    <xf numFmtId="0" fontId="0" fillId="0" borderId="125" xfId="0" applyBorder="1" applyAlignment="1">
      <alignment horizontal="left" vertical="center"/>
    </xf>
    <xf numFmtId="0" fontId="0" fillId="0" borderId="124" xfId="0" applyBorder="1" applyAlignment="1">
      <alignment horizontal="left" vertical="center"/>
    </xf>
    <xf numFmtId="0" fontId="43" fillId="0" borderId="124" xfId="70" applyFont="1" applyBorder="1" applyAlignment="1">
      <alignment horizontal="left" vertical="center"/>
    </xf>
    <xf numFmtId="0" fontId="207" fillId="0" borderId="122" xfId="0" applyFont="1" applyBorder="1" applyAlignment="1">
      <alignment horizontal="center" vertical="center"/>
    </xf>
    <xf numFmtId="0" fontId="207" fillId="0" borderId="125" xfId="0" applyFont="1" applyBorder="1" applyAlignment="1">
      <alignment horizontal="center" vertical="center"/>
    </xf>
    <xf numFmtId="0" fontId="207" fillId="0" borderId="124" xfId="0" applyFont="1" applyBorder="1" applyAlignment="1">
      <alignment horizontal="center" vertical="center"/>
    </xf>
    <xf numFmtId="0" fontId="207" fillId="0" borderId="122" xfId="0" applyFont="1" applyBorder="1" applyAlignment="1">
      <alignment horizontal="left" vertical="center"/>
    </xf>
    <xf numFmtId="175" fontId="207" fillId="0" borderId="122" xfId="0" applyNumberFormat="1" applyFont="1" applyBorder="1" applyAlignment="1">
      <alignment horizontal="right" vertical="center"/>
    </xf>
    <xf numFmtId="175" fontId="207" fillId="0" borderId="125" xfId="0" applyNumberFormat="1" applyFont="1" applyBorder="1" applyAlignment="1">
      <alignment horizontal="right" vertical="center"/>
    </xf>
    <xf numFmtId="175" fontId="207" fillId="0" borderId="124" xfId="0" applyNumberFormat="1" applyFont="1" applyBorder="1" applyAlignment="1">
      <alignment horizontal="right" vertical="center"/>
    </xf>
    <xf numFmtId="175" fontId="0" fillId="0" borderId="125" xfId="0" applyNumberFormat="1" applyBorder="1" applyAlignment="1">
      <alignment horizontal="right" vertical="center"/>
    </xf>
    <xf numFmtId="175" fontId="0" fillId="0" borderId="124" xfId="0" applyNumberFormat="1" applyBorder="1" applyAlignment="1">
      <alignment horizontal="right" vertical="center"/>
    </xf>
    <xf numFmtId="218" fontId="207" fillId="0" borderId="135" xfId="0" applyNumberFormat="1" applyFont="1" applyBorder="1" applyAlignment="1">
      <alignment horizontal="center" vertical="center"/>
    </xf>
    <xf numFmtId="218" fontId="207" fillId="0" borderId="136" xfId="0" applyNumberFormat="1" applyFont="1" applyBorder="1" applyAlignment="1">
      <alignment horizontal="center" vertical="center"/>
    </xf>
    <xf numFmtId="218" fontId="216" fillId="0" borderId="135" xfId="0" applyNumberFormat="1" applyFont="1" applyBorder="1" applyAlignment="1">
      <alignment horizontal="center" vertical="center"/>
    </xf>
    <xf numFmtId="218" fontId="216" fillId="0" borderId="136" xfId="0" applyNumberFormat="1" applyFont="1" applyBorder="1" applyAlignment="1">
      <alignment horizontal="center" vertical="center"/>
    </xf>
  </cellXfs>
  <cellStyles count="11714">
    <cellStyle name="_x000a_386grabber=M" xfId="95" xr:uid="{00000000-0005-0000-0000-00005F000000}"/>
    <cellStyle name="_x000a_386grabber=M 2" xfId="96" xr:uid="{00000000-0005-0000-0000-000060000000}"/>
    <cellStyle name="_x000a_386grabber=M 2 2" xfId="97" xr:uid="{00000000-0005-0000-0000-000061000000}"/>
    <cellStyle name="_x000a_386grabber=M 2 2 2" xfId="3823" xr:uid="{00000000-0005-0000-0000-0000EF0E0000}"/>
    <cellStyle name="_x000a_386grabber=M 2 3" xfId="98" xr:uid="{00000000-0005-0000-0000-000062000000}"/>
    <cellStyle name="_x000a_386grabber=M 2 3 2" xfId="3824" xr:uid="{00000000-0005-0000-0000-0000F00E0000}"/>
    <cellStyle name="_x000a_386grabber=M 2 4" xfId="99" xr:uid="{00000000-0005-0000-0000-000063000000}"/>
    <cellStyle name="_x000a_386grabber=M 2 4 2" xfId="3825" xr:uid="{00000000-0005-0000-0000-0000F10E0000}"/>
    <cellStyle name="_x000a_386grabber=M 2 5" xfId="100" xr:uid="{00000000-0005-0000-0000-000064000000}"/>
    <cellStyle name="_x000a_386grabber=M 2 5 2" xfId="3826" xr:uid="{00000000-0005-0000-0000-0000F20E0000}"/>
    <cellStyle name="_x000a_386grabber=M 2 6" xfId="101" xr:uid="{00000000-0005-0000-0000-000065000000}"/>
    <cellStyle name="_x000a_386grabber=M 2 6 2" xfId="3827" xr:uid="{00000000-0005-0000-0000-0000F30E0000}"/>
    <cellStyle name="_x000a_386grabber=M 2 7" xfId="102" xr:uid="{00000000-0005-0000-0000-000066000000}"/>
    <cellStyle name="_x000a_386grabber=M 2 8" xfId="103" xr:uid="{00000000-0005-0000-0000-000067000000}"/>
    <cellStyle name="_x000a_386grabber=M 2_ActiFijos" xfId="104" xr:uid="{00000000-0005-0000-0000-000068000000}"/>
    <cellStyle name="_x000a_386grabber=M 3" xfId="105" xr:uid="{00000000-0005-0000-0000-000069000000}"/>
    <cellStyle name="_x000a_386grabber=M 3 2" xfId="106" xr:uid="{00000000-0005-0000-0000-00006A000000}"/>
    <cellStyle name="_x000a_386grabber=M 3 2 2" xfId="3828" xr:uid="{00000000-0005-0000-0000-0000F40E0000}"/>
    <cellStyle name="_x000a_386grabber=M 3 3" xfId="107" xr:uid="{00000000-0005-0000-0000-00006B000000}"/>
    <cellStyle name="_x000a_386grabber=M 3 3 2" xfId="3829" xr:uid="{00000000-0005-0000-0000-0000F50E0000}"/>
    <cellStyle name="_x000a_386grabber=M 3 4" xfId="108" xr:uid="{00000000-0005-0000-0000-00006C000000}"/>
    <cellStyle name="_x000a_386grabber=M 3 4 2" xfId="3830" xr:uid="{00000000-0005-0000-0000-0000F60E0000}"/>
    <cellStyle name="_x000a_386grabber=M 3 5" xfId="109" xr:uid="{00000000-0005-0000-0000-00006D000000}"/>
    <cellStyle name="_x000a_386grabber=M 3 5 2" xfId="3831" xr:uid="{00000000-0005-0000-0000-0000F70E0000}"/>
    <cellStyle name="_x000a_386grabber=M 3 6" xfId="110" xr:uid="{00000000-0005-0000-0000-00006E000000}"/>
    <cellStyle name="_x000a_386grabber=M 3 6 2" xfId="3832" xr:uid="{00000000-0005-0000-0000-0000F80E0000}"/>
    <cellStyle name="_x000a_386grabber=M 3 7" xfId="111" xr:uid="{00000000-0005-0000-0000-00006F000000}"/>
    <cellStyle name="_x000a_386grabber=M 3 8" xfId="112" xr:uid="{00000000-0005-0000-0000-000070000000}"/>
    <cellStyle name="_x000a_386grabber=M 3_ActiFijos" xfId="113" xr:uid="{00000000-0005-0000-0000-000071000000}"/>
    <cellStyle name="_x000a_386grabber=M 4" xfId="114" xr:uid="{00000000-0005-0000-0000-000072000000}"/>
    <cellStyle name="_x000a_386grabber=M 4 2" xfId="115" xr:uid="{00000000-0005-0000-0000-000073000000}"/>
    <cellStyle name="_x000a_386grabber=M 4 2 2" xfId="3833" xr:uid="{00000000-0005-0000-0000-0000F90E0000}"/>
    <cellStyle name="_x000a_386grabber=M 4 3" xfId="116" xr:uid="{00000000-0005-0000-0000-000074000000}"/>
    <cellStyle name="_x000a_386grabber=M 4 3 2" xfId="3834" xr:uid="{00000000-0005-0000-0000-0000FA0E0000}"/>
    <cellStyle name="_x000a_386grabber=M 4 4" xfId="117" xr:uid="{00000000-0005-0000-0000-000075000000}"/>
    <cellStyle name="_x000a_386grabber=M 4 4 2" xfId="3835" xr:uid="{00000000-0005-0000-0000-0000FB0E0000}"/>
    <cellStyle name="_x000a_386grabber=M 4 5" xfId="118" xr:uid="{00000000-0005-0000-0000-000076000000}"/>
    <cellStyle name="_x000a_386grabber=M 4 5 2" xfId="3836" xr:uid="{00000000-0005-0000-0000-0000FC0E0000}"/>
    <cellStyle name="_x000a_386grabber=M 4 6" xfId="119" xr:uid="{00000000-0005-0000-0000-000077000000}"/>
    <cellStyle name="_x000a_386grabber=M 4 6 2" xfId="3837" xr:uid="{00000000-0005-0000-0000-0000FD0E0000}"/>
    <cellStyle name="_x000a_386grabber=M 4 7" xfId="120" xr:uid="{00000000-0005-0000-0000-000078000000}"/>
    <cellStyle name="_x000a_386grabber=M 4 8" xfId="121" xr:uid="{00000000-0005-0000-0000-000079000000}"/>
    <cellStyle name="_x000a_386grabber=M 4_ActiFijos" xfId="122" xr:uid="{00000000-0005-0000-0000-00007A000000}"/>
    <cellStyle name="_x000a_386grabber=M 5" xfId="3838" xr:uid="{00000000-0005-0000-0000-0000FE0E0000}"/>
    <cellStyle name="_x000a_386grabber=M_Bases_Generales" xfId="123" xr:uid="{00000000-0005-0000-0000-00007B000000}"/>
    <cellStyle name="$0,000" xfId="124" xr:uid="{00000000-0005-0000-0000-00007C000000}"/>
    <cellStyle name="$0,000 2" xfId="125" xr:uid="{00000000-0005-0000-0000-00007D000000}"/>
    <cellStyle name="$0,000 2 2" xfId="126" xr:uid="{00000000-0005-0000-0000-00007E000000}"/>
    <cellStyle name="$0,000 2 2 2" xfId="3747" xr:uid="{00000000-0005-0000-0000-0000A30E0000}"/>
    <cellStyle name="$0,000 2 3" xfId="127" xr:uid="{00000000-0005-0000-0000-00007F000000}"/>
    <cellStyle name="$0,000 2 3 2" xfId="3748" xr:uid="{00000000-0005-0000-0000-0000A40E0000}"/>
    <cellStyle name="$0,000 2 4" xfId="128" xr:uid="{00000000-0005-0000-0000-000080000000}"/>
    <cellStyle name="$0,000 2 4 2" xfId="3749" xr:uid="{00000000-0005-0000-0000-0000A50E0000}"/>
    <cellStyle name="$0,000 2 5" xfId="129" xr:uid="{00000000-0005-0000-0000-000081000000}"/>
    <cellStyle name="$0,000 2 5 2" xfId="3750" xr:uid="{00000000-0005-0000-0000-0000A60E0000}"/>
    <cellStyle name="$0,000 2 6" xfId="130" xr:uid="{00000000-0005-0000-0000-000082000000}"/>
    <cellStyle name="$0,000 2 6 2" xfId="3751" xr:uid="{00000000-0005-0000-0000-0000A70E0000}"/>
    <cellStyle name="$0,000 2 7" xfId="131" xr:uid="{00000000-0005-0000-0000-000083000000}"/>
    <cellStyle name="$0,000 2 7 2" xfId="3752" xr:uid="{00000000-0005-0000-0000-0000A80E0000}"/>
    <cellStyle name="$0,000 2 8" xfId="132" xr:uid="{00000000-0005-0000-0000-000084000000}"/>
    <cellStyle name="$0,000 2 8 2" xfId="3753" xr:uid="{00000000-0005-0000-0000-0000A90E0000}"/>
    <cellStyle name="$0,000 2 9" xfId="3746" xr:uid="{00000000-0005-0000-0000-0000A20E0000}"/>
    <cellStyle name="$0,000 3" xfId="133" xr:uid="{00000000-0005-0000-0000-000085000000}"/>
    <cellStyle name="$0,000 3 2" xfId="134" xr:uid="{00000000-0005-0000-0000-000086000000}"/>
    <cellStyle name="$0,000 3 2 2" xfId="3755" xr:uid="{00000000-0005-0000-0000-0000AB0E0000}"/>
    <cellStyle name="$0,000 3 3" xfId="135" xr:uid="{00000000-0005-0000-0000-000087000000}"/>
    <cellStyle name="$0,000 3 3 2" xfId="3756" xr:uid="{00000000-0005-0000-0000-0000AC0E0000}"/>
    <cellStyle name="$0,000 3 4" xfId="136" xr:uid="{00000000-0005-0000-0000-000088000000}"/>
    <cellStyle name="$0,000 3 4 2" xfId="3757" xr:uid="{00000000-0005-0000-0000-0000AD0E0000}"/>
    <cellStyle name="$0,000 3 5" xfId="137" xr:uid="{00000000-0005-0000-0000-000089000000}"/>
    <cellStyle name="$0,000 3 5 2" xfId="3758" xr:uid="{00000000-0005-0000-0000-0000AE0E0000}"/>
    <cellStyle name="$0,000 3 6" xfId="138" xr:uid="{00000000-0005-0000-0000-00008A000000}"/>
    <cellStyle name="$0,000 3 6 2" xfId="3759" xr:uid="{00000000-0005-0000-0000-0000AF0E0000}"/>
    <cellStyle name="$0,000 3 7" xfId="139" xr:uid="{00000000-0005-0000-0000-00008B000000}"/>
    <cellStyle name="$0,000 3 7 2" xfId="3760" xr:uid="{00000000-0005-0000-0000-0000B00E0000}"/>
    <cellStyle name="$0,000 3 8" xfId="140" xr:uid="{00000000-0005-0000-0000-00008C000000}"/>
    <cellStyle name="$0,000 3 8 2" xfId="3761" xr:uid="{00000000-0005-0000-0000-0000B10E0000}"/>
    <cellStyle name="$0,000 3 9" xfId="3754" xr:uid="{00000000-0005-0000-0000-0000AA0E0000}"/>
    <cellStyle name="$0,000 4" xfId="141" xr:uid="{00000000-0005-0000-0000-00008D000000}"/>
    <cellStyle name="$0,000 4 2" xfId="142" xr:uid="{00000000-0005-0000-0000-00008E000000}"/>
    <cellStyle name="$0,000 4 2 2" xfId="3763" xr:uid="{00000000-0005-0000-0000-0000B30E0000}"/>
    <cellStyle name="$0,000 4 3" xfId="143" xr:uid="{00000000-0005-0000-0000-00008F000000}"/>
    <cellStyle name="$0,000 4 3 2" xfId="3764" xr:uid="{00000000-0005-0000-0000-0000B40E0000}"/>
    <cellStyle name="$0,000 4 4" xfId="144" xr:uid="{00000000-0005-0000-0000-000090000000}"/>
    <cellStyle name="$0,000 4 4 2" xfId="3765" xr:uid="{00000000-0005-0000-0000-0000B50E0000}"/>
    <cellStyle name="$0,000 4 5" xfId="145" xr:uid="{00000000-0005-0000-0000-000091000000}"/>
    <cellStyle name="$0,000 4 5 2" xfId="3766" xr:uid="{00000000-0005-0000-0000-0000B60E0000}"/>
    <cellStyle name="$0,000 4 6" xfId="146" xr:uid="{00000000-0005-0000-0000-000092000000}"/>
    <cellStyle name="$0,000 4 6 2" xfId="3767" xr:uid="{00000000-0005-0000-0000-0000B70E0000}"/>
    <cellStyle name="$0,000 4 7" xfId="147" xr:uid="{00000000-0005-0000-0000-000093000000}"/>
    <cellStyle name="$0,000 4 7 2" xfId="3768" xr:uid="{00000000-0005-0000-0000-0000B80E0000}"/>
    <cellStyle name="$0,000 4 8" xfId="148" xr:uid="{00000000-0005-0000-0000-000094000000}"/>
    <cellStyle name="$0,000 4 8 2" xfId="3769" xr:uid="{00000000-0005-0000-0000-0000B90E0000}"/>
    <cellStyle name="$0,000 4 9" xfId="3762" xr:uid="{00000000-0005-0000-0000-0000B20E0000}"/>
    <cellStyle name="$0,000 5" xfId="3745" xr:uid="{00000000-0005-0000-0000-0000A10E0000}"/>
    <cellStyle name="$0." xfId="149" xr:uid="{00000000-0005-0000-0000-000095000000}"/>
    <cellStyle name="$0.00" xfId="150" xr:uid="{00000000-0005-0000-0000-000096000000}"/>
    <cellStyle name="%" xfId="17" xr:uid="{00000000-0005-0000-0000-000011000000}"/>
    <cellStyle name="% 2" xfId="152" xr:uid="{00000000-0005-0000-0000-000098000000}"/>
    <cellStyle name="% 2 2" xfId="153" xr:uid="{00000000-0005-0000-0000-000099000000}"/>
    <cellStyle name="% 2 2 2" xfId="3839" xr:uid="{00000000-0005-0000-0000-0000FF0E0000}"/>
    <cellStyle name="% 2 3" xfId="154" xr:uid="{00000000-0005-0000-0000-00009A000000}"/>
    <cellStyle name="% 2 3 2" xfId="3840" xr:uid="{00000000-0005-0000-0000-0000000F0000}"/>
    <cellStyle name="% 2 4" xfId="155" xr:uid="{00000000-0005-0000-0000-00009B000000}"/>
    <cellStyle name="% 2 4 2" xfId="3841" xr:uid="{00000000-0005-0000-0000-0000010F0000}"/>
    <cellStyle name="% 2 5" xfId="156" xr:uid="{00000000-0005-0000-0000-00009C000000}"/>
    <cellStyle name="% 2 5 2" xfId="3842" xr:uid="{00000000-0005-0000-0000-0000020F0000}"/>
    <cellStyle name="% 2 6" xfId="157" xr:uid="{00000000-0005-0000-0000-00009D000000}"/>
    <cellStyle name="% 2 6 2" xfId="3843" xr:uid="{00000000-0005-0000-0000-0000030F0000}"/>
    <cellStyle name="% 2 7" xfId="158" xr:uid="{00000000-0005-0000-0000-00009E000000}"/>
    <cellStyle name="% 2 8" xfId="159" xr:uid="{00000000-0005-0000-0000-00009F000000}"/>
    <cellStyle name="% 2_ActiFijos" xfId="160" xr:uid="{00000000-0005-0000-0000-0000A0000000}"/>
    <cellStyle name="% 3" xfId="161" xr:uid="{00000000-0005-0000-0000-0000A1000000}"/>
    <cellStyle name="% 3 2" xfId="162" xr:uid="{00000000-0005-0000-0000-0000A2000000}"/>
    <cellStyle name="% 3 2 2" xfId="3844" xr:uid="{00000000-0005-0000-0000-0000040F0000}"/>
    <cellStyle name="% 3 3" xfId="163" xr:uid="{00000000-0005-0000-0000-0000A3000000}"/>
    <cellStyle name="% 3 3 2" xfId="3845" xr:uid="{00000000-0005-0000-0000-0000050F0000}"/>
    <cellStyle name="% 3 4" xfId="164" xr:uid="{00000000-0005-0000-0000-0000A4000000}"/>
    <cellStyle name="% 3 4 2" xfId="3846" xr:uid="{00000000-0005-0000-0000-0000060F0000}"/>
    <cellStyle name="% 3 5" xfId="165" xr:uid="{00000000-0005-0000-0000-0000A5000000}"/>
    <cellStyle name="% 3 5 2" xfId="3847" xr:uid="{00000000-0005-0000-0000-0000070F0000}"/>
    <cellStyle name="% 3 6" xfId="166" xr:uid="{00000000-0005-0000-0000-0000A6000000}"/>
    <cellStyle name="% 3 6 2" xfId="3848" xr:uid="{00000000-0005-0000-0000-0000080F0000}"/>
    <cellStyle name="% 3 7" xfId="167" xr:uid="{00000000-0005-0000-0000-0000A7000000}"/>
    <cellStyle name="% 3 8" xfId="168" xr:uid="{00000000-0005-0000-0000-0000A8000000}"/>
    <cellStyle name="% 3_ActiFijos" xfId="169" xr:uid="{00000000-0005-0000-0000-0000A9000000}"/>
    <cellStyle name="% 4" xfId="170" xr:uid="{00000000-0005-0000-0000-0000AA000000}"/>
    <cellStyle name="% 4 2" xfId="171" xr:uid="{00000000-0005-0000-0000-0000AB000000}"/>
    <cellStyle name="% 4 2 2" xfId="3849" xr:uid="{00000000-0005-0000-0000-0000090F0000}"/>
    <cellStyle name="% 4 3" xfId="172" xr:uid="{00000000-0005-0000-0000-0000AC000000}"/>
    <cellStyle name="% 4 3 2" xfId="3850" xr:uid="{00000000-0005-0000-0000-00000A0F0000}"/>
    <cellStyle name="% 4 4" xfId="173" xr:uid="{00000000-0005-0000-0000-0000AD000000}"/>
    <cellStyle name="% 4 4 2" xfId="3851" xr:uid="{00000000-0005-0000-0000-00000B0F0000}"/>
    <cellStyle name="% 4 5" xfId="174" xr:uid="{00000000-0005-0000-0000-0000AE000000}"/>
    <cellStyle name="% 4 5 2" xfId="3852" xr:uid="{00000000-0005-0000-0000-00000C0F0000}"/>
    <cellStyle name="% 4 6" xfId="175" xr:uid="{00000000-0005-0000-0000-0000AF000000}"/>
    <cellStyle name="% 4 6 2" xfId="3853" xr:uid="{00000000-0005-0000-0000-00000D0F0000}"/>
    <cellStyle name="% 4 7" xfId="176" xr:uid="{00000000-0005-0000-0000-0000B0000000}"/>
    <cellStyle name="% 4 8" xfId="177" xr:uid="{00000000-0005-0000-0000-0000B1000000}"/>
    <cellStyle name="% 4_ActiFijos" xfId="178" xr:uid="{00000000-0005-0000-0000-0000B2000000}"/>
    <cellStyle name="% 5" xfId="3854" xr:uid="{00000000-0005-0000-0000-00000E0F0000}"/>
    <cellStyle name="% 6" xfId="151" xr:uid="{00000000-0005-0000-0000-000097000000}"/>
    <cellStyle name="%_Balanc" xfId="179" xr:uid="{00000000-0005-0000-0000-0000B3000000}"/>
    <cellStyle name="%_Balanc 2" xfId="180" xr:uid="{00000000-0005-0000-0000-0000B4000000}"/>
    <cellStyle name="%_Balanc 2 2" xfId="3855" xr:uid="{00000000-0005-0000-0000-00000F0F0000}"/>
    <cellStyle name="%_Balanc 3" xfId="181" xr:uid="{00000000-0005-0000-0000-0000B5000000}"/>
    <cellStyle name="%_Balanc 3 2" xfId="3856" xr:uid="{00000000-0005-0000-0000-0000100F0000}"/>
    <cellStyle name="%_Balanc 4" xfId="182" xr:uid="{00000000-0005-0000-0000-0000B6000000}"/>
    <cellStyle name="%_Balanc 4 2" xfId="3857" xr:uid="{00000000-0005-0000-0000-0000110F0000}"/>
    <cellStyle name="%_Balanc 5" xfId="183" xr:uid="{00000000-0005-0000-0000-0000B7000000}"/>
    <cellStyle name="%_Balanc 5 2" xfId="3858" xr:uid="{00000000-0005-0000-0000-0000120F0000}"/>
    <cellStyle name="%_Balanc 6" xfId="184" xr:uid="{00000000-0005-0000-0000-0000B8000000}"/>
    <cellStyle name="%_Balanc 6 2" xfId="3859" xr:uid="{00000000-0005-0000-0000-0000130F0000}"/>
    <cellStyle name="%_Balanc 7" xfId="185" xr:uid="{00000000-0005-0000-0000-0000B9000000}"/>
    <cellStyle name="%_Balanc 8" xfId="186" xr:uid="{00000000-0005-0000-0000-0000BA000000}"/>
    <cellStyle name="%_Balanc_ActiFijos" xfId="187" xr:uid="{00000000-0005-0000-0000-0000BB000000}"/>
    <cellStyle name="%_Balanc_ActiFijos 2" xfId="3860" xr:uid="{00000000-0005-0000-0000-0000140F0000}"/>
    <cellStyle name="%_Balanc_C.M.E." xfId="188" xr:uid="{00000000-0005-0000-0000-0000BC000000}"/>
    <cellStyle name="%_Balanc_C.M.E. 2" xfId="3861" xr:uid="{00000000-0005-0000-0000-0000150F0000}"/>
    <cellStyle name="%_Balanc_C.M.L." xfId="189" xr:uid="{00000000-0005-0000-0000-0000BD000000}"/>
    <cellStyle name="%_Balanc_C.M.L. 2" xfId="3862" xr:uid="{00000000-0005-0000-0000-0000160F0000}"/>
    <cellStyle name="%_Balanc_Esc.Macro" xfId="190" xr:uid="{00000000-0005-0000-0000-0000BE000000}"/>
    <cellStyle name="%_Balanc_Esc.Macro 2" xfId="3863" xr:uid="{00000000-0005-0000-0000-0000170F0000}"/>
    <cellStyle name="%_Balance" xfId="191" xr:uid="{00000000-0005-0000-0000-0000BF000000}"/>
    <cellStyle name="%_Balance 2" xfId="192" xr:uid="{00000000-0005-0000-0000-0000C0000000}"/>
    <cellStyle name="%_Balance 2 2" xfId="3864" xr:uid="{00000000-0005-0000-0000-0000180F0000}"/>
    <cellStyle name="%_Balance 3" xfId="193" xr:uid="{00000000-0005-0000-0000-0000C1000000}"/>
    <cellStyle name="%_Balance 3 2" xfId="3865" xr:uid="{00000000-0005-0000-0000-0000190F0000}"/>
    <cellStyle name="%_Balance 4" xfId="194" xr:uid="{00000000-0005-0000-0000-0000C2000000}"/>
    <cellStyle name="%_Balance 4 2" xfId="3866" xr:uid="{00000000-0005-0000-0000-00001A0F0000}"/>
    <cellStyle name="%_Balance 5" xfId="195" xr:uid="{00000000-0005-0000-0000-0000C3000000}"/>
    <cellStyle name="%_Balance 5 2" xfId="3867" xr:uid="{00000000-0005-0000-0000-00001B0F0000}"/>
    <cellStyle name="%_Balance 6" xfId="196" xr:uid="{00000000-0005-0000-0000-0000C4000000}"/>
    <cellStyle name="%_Balance 6 2" xfId="3868" xr:uid="{00000000-0005-0000-0000-00001C0F0000}"/>
    <cellStyle name="%_Balance 7" xfId="197" xr:uid="{00000000-0005-0000-0000-0000C5000000}"/>
    <cellStyle name="%_Balance 8" xfId="198" xr:uid="{00000000-0005-0000-0000-0000C6000000}"/>
    <cellStyle name="%_Balance_ActiFijos" xfId="199" xr:uid="{00000000-0005-0000-0000-0000C7000000}"/>
    <cellStyle name="%_Balance_ActiFijos 2" xfId="3869" xr:uid="{00000000-0005-0000-0000-00001D0F0000}"/>
    <cellStyle name="%_Balance_C.M.E." xfId="200" xr:uid="{00000000-0005-0000-0000-0000C8000000}"/>
    <cellStyle name="%_Balance_C.M.E. 2" xfId="3870" xr:uid="{00000000-0005-0000-0000-00001E0F0000}"/>
    <cellStyle name="%_Balance_C.M.L." xfId="201" xr:uid="{00000000-0005-0000-0000-0000C9000000}"/>
    <cellStyle name="%_Balance_C.M.L. 2" xfId="3871" xr:uid="{00000000-0005-0000-0000-00001F0F0000}"/>
    <cellStyle name="%_Balance_Deuda septiembre_marcos" xfId="202" xr:uid="{00000000-0005-0000-0000-0000CA000000}"/>
    <cellStyle name="%_Balance_Esc.Macro" xfId="203" xr:uid="{00000000-0005-0000-0000-0000CB000000}"/>
    <cellStyle name="%_Balance_Esc.Macro 2" xfId="3872" xr:uid="{00000000-0005-0000-0000-0000200F0000}"/>
    <cellStyle name="%_Balance_G_Loans" xfId="204" xr:uid="{00000000-0005-0000-0000-0000CC000000}"/>
    <cellStyle name="%_Balance_G_Loans 2" xfId="3873" xr:uid="{00000000-0005-0000-0000-0000210F0000}"/>
    <cellStyle name="%_Balance_GRUPO4Q-2009 COMPLETO" xfId="3304" xr:uid="{00000000-0005-0000-0000-0000E80C0000}"/>
    <cellStyle name="%_Balance_Información relacionada" xfId="205" xr:uid="{00000000-0005-0000-0000-0000CD000000}"/>
    <cellStyle name="%_Bases_Generales" xfId="206" xr:uid="{00000000-0005-0000-0000-0000CE000000}"/>
    <cellStyle name="%_Bases_Generales 2" xfId="207" xr:uid="{00000000-0005-0000-0000-0000CF000000}"/>
    <cellStyle name="%_Bases_Generales 2 2" xfId="3874" xr:uid="{00000000-0005-0000-0000-0000220F0000}"/>
    <cellStyle name="%_Bases_Generales 3" xfId="208" xr:uid="{00000000-0005-0000-0000-0000D0000000}"/>
    <cellStyle name="%_Bases_Generales 3 2" xfId="3875" xr:uid="{00000000-0005-0000-0000-0000230F0000}"/>
    <cellStyle name="%_Bases_Generales 4" xfId="209" xr:uid="{00000000-0005-0000-0000-0000D1000000}"/>
    <cellStyle name="%_Bases_Generales 4 2" xfId="3876" xr:uid="{00000000-0005-0000-0000-0000240F0000}"/>
    <cellStyle name="%_Bases_Generales 5" xfId="210" xr:uid="{00000000-0005-0000-0000-0000D2000000}"/>
    <cellStyle name="%_Bases_Generales 5 2" xfId="3877" xr:uid="{00000000-0005-0000-0000-0000250F0000}"/>
    <cellStyle name="%_Bases_Generales 6" xfId="211" xr:uid="{00000000-0005-0000-0000-0000D3000000}"/>
    <cellStyle name="%_Bases_Generales 6 2" xfId="3878" xr:uid="{00000000-0005-0000-0000-0000260F0000}"/>
    <cellStyle name="%_Bases_Generales 7" xfId="212" xr:uid="{00000000-0005-0000-0000-0000D4000000}"/>
    <cellStyle name="%_Bases_Generales 8" xfId="213" xr:uid="{00000000-0005-0000-0000-0000D5000000}"/>
    <cellStyle name="%_Bases_Generales_1" xfId="214" xr:uid="{00000000-0005-0000-0000-0000D6000000}"/>
    <cellStyle name="%_Bases_Generales_1 2" xfId="215" xr:uid="{00000000-0005-0000-0000-0000D7000000}"/>
    <cellStyle name="%_Bases_Generales_1 2 2" xfId="3879" xr:uid="{00000000-0005-0000-0000-0000270F0000}"/>
    <cellStyle name="%_Bases_Generales_1 3" xfId="216" xr:uid="{00000000-0005-0000-0000-0000D8000000}"/>
    <cellStyle name="%_Bases_Generales_1 3 2" xfId="3880" xr:uid="{00000000-0005-0000-0000-0000280F0000}"/>
    <cellStyle name="%_Bases_Generales_1 4" xfId="217" xr:uid="{00000000-0005-0000-0000-0000D9000000}"/>
    <cellStyle name="%_Bases_Generales_1 4 2" xfId="3881" xr:uid="{00000000-0005-0000-0000-0000290F0000}"/>
    <cellStyle name="%_Bases_Generales_1 5" xfId="218" xr:uid="{00000000-0005-0000-0000-0000DA000000}"/>
    <cellStyle name="%_Bases_Generales_1 5 2" xfId="3882" xr:uid="{00000000-0005-0000-0000-00002A0F0000}"/>
    <cellStyle name="%_Bases_Generales_1 6" xfId="219" xr:uid="{00000000-0005-0000-0000-0000DB000000}"/>
    <cellStyle name="%_Bases_Generales_1 6 2" xfId="3883" xr:uid="{00000000-0005-0000-0000-00002B0F0000}"/>
    <cellStyle name="%_Bases_Generales_1 7" xfId="220" xr:uid="{00000000-0005-0000-0000-0000DC000000}"/>
    <cellStyle name="%_Bases_Generales_1 8" xfId="221" xr:uid="{00000000-0005-0000-0000-0000DD000000}"/>
    <cellStyle name="%_Bases_Generales_1_ActiFijos" xfId="222" xr:uid="{00000000-0005-0000-0000-0000DE000000}"/>
    <cellStyle name="%_Bases_Generales_1_ActiFijos 2" xfId="3884" xr:uid="{00000000-0005-0000-0000-00002C0F0000}"/>
    <cellStyle name="%_Bases_Generales_1_C.M.E." xfId="223" xr:uid="{00000000-0005-0000-0000-0000DF000000}"/>
    <cellStyle name="%_Bases_Generales_1_C.M.E. 2" xfId="3885" xr:uid="{00000000-0005-0000-0000-00002D0F0000}"/>
    <cellStyle name="%_Bases_Generales_1_C.M.L." xfId="224" xr:uid="{00000000-0005-0000-0000-0000E0000000}"/>
    <cellStyle name="%_Bases_Generales_1_C.M.L. 2" xfId="3886" xr:uid="{00000000-0005-0000-0000-00002E0F0000}"/>
    <cellStyle name="%_Bases_Generales_1_Esc.Macro" xfId="225" xr:uid="{00000000-0005-0000-0000-0000E1000000}"/>
    <cellStyle name="%_Bases_Generales_1_Esc.Macro 2" xfId="3887" xr:uid="{00000000-0005-0000-0000-00002F0F0000}"/>
    <cellStyle name="%_Bases_Generales_1_G_Loans" xfId="226" xr:uid="{00000000-0005-0000-0000-0000E2000000}"/>
    <cellStyle name="%_Bases_Generales_1_G_Loans 2" xfId="3888" xr:uid="{00000000-0005-0000-0000-0000300F0000}"/>
    <cellStyle name="%_Bases_Generales_2" xfId="227" xr:uid="{00000000-0005-0000-0000-0000E3000000}"/>
    <cellStyle name="%_Bases_Generales_2 2" xfId="228" xr:uid="{00000000-0005-0000-0000-0000E4000000}"/>
    <cellStyle name="%_Bases_Generales_2 2 2" xfId="3889" xr:uid="{00000000-0005-0000-0000-0000310F0000}"/>
    <cellStyle name="%_Bases_Generales_2 3" xfId="229" xr:uid="{00000000-0005-0000-0000-0000E5000000}"/>
    <cellStyle name="%_Bases_Generales_2 3 2" xfId="3890" xr:uid="{00000000-0005-0000-0000-0000320F0000}"/>
    <cellStyle name="%_Bases_Generales_2 4" xfId="230" xr:uid="{00000000-0005-0000-0000-0000E6000000}"/>
    <cellStyle name="%_Bases_Generales_2 5" xfId="231" xr:uid="{00000000-0005-0000-0000-0000E7000000}"/>
    <cellStyle name="%_Bases_Generales_2_ActiFijos" xfId="232" xr:uid="{00000000-0005-0000-0000-0000E8000000}"/>
    <cellStyle name="%_Bases_Generales_2_ActiFijos 2" xfId="3891" xr:uid="{00000000-0005-0000-0000-0000330F0000}"/>
    <cellStyle name="%_Bases_Generales_ActiFijos" xfId="233" xr:uid="{00000000-0005-0000-0000-0000E9000000}"/>
    <cellStyle name="%_Bases_Generales_ActiFijos 2" xfId="3892" xr:uid="{00000000-0005-0000-0000-0000340F0000}"/>
    <cellStyle name="%_Bases_Generales_C.M.E." xfId="234" xr:uid="{00000000-0005-0000-0000-0000EA000000}"/>
    <cellStyle name="%_Bases_Generales_C.M.E. 2" xfId="3893" xr:uid="{00000000-0005-0000-0000-0000350F0000}"/>
    <cellStyle name="%_Bases_Generales_C.M.L." xfId="235" xr:uid="{00000000-0005-0000-0000-0000EB000000}"/>
    <cellStyle name="%_Bases_Generales_C.M.L. 2" xfId="3894" xr:uid="{00000000-0005-0000-0000-0000360F0000}"/>
    <cellStyle name="%_Bases_Generales_Deuda septiembre_marcos" xfId="236" xr:uid="{00000000-0005-0000-0000-0000EC000000}"/>
    <cellStyle name="%_Bases_Generales_Esc.Macro" xfId="237" xr:uid="{00000000-0005-0000-0000-0000ED000000}"/>
    <cellStyle name="%_Bases_Generales_Esc.Macro 2" xfId="3895" xr:uid="{00000000-0005-0000-0000-0000370F0000}"/>
    <cellStyle name="%_Bases_Generales_G_Loans" xfId="238" xr:uid="{00000000-0005-0000-0000-0000EE000000}"/>
    <cellStyle name="%_Bases_Generales_G_Loans 2" xfId="3896" xr:uid="{00000000-0005-0000-0000-0000380F0000}"/>
    <cellStyle name="%_Bases_Generales_GRUPO4Q-2009 COMPLETO" xfId="3305" xr:uid="{00000000-0005-0000-0000-0000E90C0000}"/>
    <cellStyle name="%_Bases_Generales_Información relacionada" xfId="239" xr:uid="{00000000-0005-0000-0000-0000EF000000}"/>
    <cellStyle name="%_C.M.E." xfId="240" xr:uid="{00000000-0005-0000-0000-0000F0000000}"/>
    <cellStyle name="%_C.M.E. 2" xfId="3897" xr:uid="{00000000-0005-0000-0000-0000390F0000}"/>
    <cellStyle name="%_C.M.E._1" xfId="241" xr:uid="{00000000-0005-0000-0000-0000F1000000}"/>
    <cellStyle name="%_C.M.E._1 2" xfId="242" xr:uid="{00000000-0005-0000-0000-0000F2000000}"/>
    <cellStyle name="%_C.M.E._1 2 2" xfId="3898" xr:uid="{00000000-0005-0000-0000-00003A0F0000}"/>
    <cellStyle name="%_C.M.E._1 3" xfId="243" xr:uid="{00000000-0005-0000-0000-0000F3000000}"/>
    <cellStyle name="%_C.M.E._1 3 2" xfId="3899" xr:uid="{00000000-0005-0000-0000-00003B0F0000}"/>
    <cellStyle name="%_C.M.E._1 4" xfId="244" xr:uid="{00000000-0005-0000-0000-0000F4000000}"/>
    <cellStyle name="%_C.M.E._1 4 2" xfId="3900" xr:uid="{00000000-0005-0000-0000-00003C0F0000}"/>
    <cellStyle name="%_C.M.E._1 5" xfId="245" xr:uid="{00000000-0005-0000-0000-0000F5000000}"/>
    <cellStyle name="%_C.M.E._1 5 2" xfId="3901" xr:uid="{00000000-0005-0000-0000-00003D0F0000}"/>
    <cellStyle name="%_C.M.E._1 6" xfId="246" xr:uid="{00000000-0005-0000-0000-0000F6000000}"/>
    <cellStyle name="%_C.M.E._1 6 2" xfId="3902" xr:uid="{00000000-0005-0000-0000-00003E0F0000}"/>
    <cellStyle name="%_C.M.E._1 7" xfId="247" xr:uid="{00000000-0005-0000-0000-0000F7000000}"/>
    <cellStyle name="%_C.M.E._1 8" xfId="248" xr:uid="{00000000-0005-0000-0000-0000F8000000}"/>
    <cellStyle name="%_C.M.E._1_ActiFijos" xfId="249" xr:uid="{00000000-0005-0000-0000-0000F9000000}"/>
    <cellStyle name="%_C.M.E._1_ActiFijos 2" xfId="3903" xr:uid="{00000000-0005-0000-0000-00003F0F0000}"/>
    <cellStyle name="%_C.M.L." xfId="250" xr:uid="{00000000-0005-0000-0000-0000FA000000}"/>
    <cellStyle name="%_C.M.L. 2" xfId="251" xr:uid="{00000000-0005-0000-0000-0000FB000000}"/>
    <cellStyle name="%_C.M.L. 2 2" xfId="3904" xr:uid="{00000000-0005-0000-0000-0000400F0000}"/>
    <cellStyle name="%_C.M.L. 3" xfId="252" xr:uid="{00000000-0005-0000-0000-0000FC000000}"/>
    <cellStyle name="%_C.M.L. 3 2" xfId="3905" xr:uid="{00000000-0005-0000-0000-0000410F0000}"/>
    <cellStyle name="%_C.M.L. 4" xfId="253" xr:uid="{00000000-0005-0000-0000-0000FD000000}"/>
    <cellStyle name="%_C.M.L. 4 2" xfId="3906" xr:uid="{00000000-0005-0000-0000-0000420F0000}"/>
    <cellStyle name="%_C.M.L. 5" xfId="254" xr:uid="{00000000-0005-0000-0000-0000FE000000}"/>
    <cellStyle name="%_C.M.L. 5 2" xfId="3907" xr:uid="{00000000-0005-0000-0000-0000430F0000}"/>
    <cellStyle name="%_C.M.L. 6" xfId="255" xr:uid="{00000000-0005-0000-0000-0000FF000000}"/>
    <cellStyle name="%_C.M.L. 6 2" xfId="3908" xr:uid="{00000000-0005-0000-0000-0000440F0000}"/>
    <cellStyle name="%_C.M.L. 7" xfId="256" xr:uid="{00000000-0005-0000-0000-000000010000}"/>
    <cellStyle name="%_C.M.L. 8" xfId="257" xr:uid="{00000000-0005-0000-0000-000001010000}"/>
    <cellStyle name="%_C.M.L._1" xfId="258" xr:uid="{00000000-0005-0000-0000-000002010000}"/>
    <cellStyle name="%_C.M.L._1 2" xfId="259" xr:uid="{00000000-0005-0000-0000-000003010000}"/>
    <cellStyle name="%_C.M.L._1 2 2" xfId="3909" xr:uid="{00000000-0005-0000-0000-0000450F0000}"/>
    <cellStyle name="%_C.M.L._1 3" xfId="260" xr:uid="{00000000-0005-0000-0000-000004010000}"/>
    <cellStyle name="%_C.M.L._1 3 2" xfId="3910" xr:uid="{00000000-0005-0000-0000-0000460F0000}"/>
    <cellStyle name="%_C.M.L._1 4" xfId="261" xr:uid="{00000000-0005-0000-0000-000005010000}"/>
    <cellStyle name="%_C.M.L._1 4 2" xfId="3911" xr:uid="{00000000-0005-0000-0000-0000470F0000}"/>
    <cellStyle name="%_C.M.L._1 5" xfId="262" xr:uid="{00000000-0005-0000-0000-000006010000}"/>
    <cellStyle name="%_C.M.L._1 5 2" xfId="3912" xr:uid="{00000000-0005-0000-0000-0000480F0000}"/>
    <cellStyle name="%_C.M.L._1 6" xfId="263" xr:uid="{00000000-0005-0000-0000-000007010000}"/>
    <cellStyle name="%_C.M.L._1 6 2" xfId="3913" xr:uid="{00000000-0005-0000-0000-0000490F0000}"/>
    <cellStyle name="%_C.M.L._1 7" xfId="264" xr:uid="{00000000-0005-0000-0000-000008010000}"/>
    <cellStyle name="%_C.M.L._1 8" xfId="265" xr:uid="{00000000-0005-0000-0000-000009010000}"/>
    <cellStyle name="%_C.M.L._1_ActiFijos" xfId="266" xr:uid="{00000000-0005-0000-0000-00000A010000}"/>
    <cellStyle name="%_C.M.L._1_ActiFijos 2" xfId="3914" xr:uid="{00000000-0005-0000-0000-00004A0F0000}"/>
    <cellStyle name="%_C.M.L._1_C.M.E." xfId="267" xr:uid="{00000000-0005-0000-0000-00000B010000}"/>
    <cellStyle name="%_C.M.L._1_C.M.E. 2" xfId="3915" xr:uid="{00000000-0005-0000-0000-00004B0F0000}"/>
    <cellStyle name="%_C.M.L._1_C.M.L." xfId="268" xr:uid="{00000000-0005-0000-0000-00000C010000}"/>
    <cellStyle name="%_C.M.L._1_C.M.L. 2" xfId="3916" xr:uid="{00000000-0005-0000-0000-00004C0F0000}"/>
    <cellStyle name="%_C.M.L._1_Esc.Macro" xfId="269" xr:uid="{00000000-0005-0000-0000-00000D010000}"/>
    <cellStyle name="%_C.M.L._1_Esc.Macro 2" xfId="3917" xr:uid="{00000000-0005-0000-0000-00004D0F0000}"/>
    <cellStyle name="%_C.M.L._1_G_Loans" xfId="270" xr:uid="{00000000-0005-0000-0000-00000E010000}"/>
    <cellStyle name="%_C.M.L._1_G_Loans 2" xfId="3918" xr:uid="{00000000-0005-0000-0000-00004E0F0000}"/>
    <cellStyle name="%_C.M.L._2" xfId="271" xr:uid="{00000000-0005-0000-0000-00000F010000}"/>
    <cellStyle name="%_C.M.L._2 2" xfId="272" xr:uid="{00000000-0005-0000-0000-000010010000}"/>
    <cellStyle name="%_C.M.L._2 2 2" xfId="3919" xr:uid="{00000000-0005-0000-0000-00004F0F0000}"/>
    <cellStyle name="%_C.M.L._2 3" xfId="273" xr:uid="{00000000-0005-0000-0000-000011010000}"/>
    <cellStyle name="%_C.M.L._2 3 2" xfId="3920" xr:uid="{00000000-0005-0000-0000-0000500F0000}"/>
    <cellStyle name="%_C.M.L._2 4" xfId="274" xr:uid="{00000000-0005-0000-0000-000012010000}"/>
    <cellStyle name="%_C.M.L._2 4 2" xfId="3921" xr:uid="{00000000-0005-0000-0000-0000510F0000}"/>
    <cellStyle name="%_C.M.L._2 5" xfId="275" xr:uid="{00000000-0005-0000-0000-000013010000}"/>
    <cellStyle name="%_C.M.L._2 5 2" xfId="3922" xr:uid="{00000000-0005-0000-0000-0000520F0000}"/>
    <cellStyle name="%_C.M.L._2 6" xfId="276" xr:uid="{00000000-0005-0000-0000-000014010000}"/>
    <cellStyle name="%_C.M.L._2 6 2" xfId="3923" xr:uid="{00000000-0005-0000-0000-0000530F0000}"/>
    <cellStyle name="%_C.M.L._2 7" xfId="277" xr:uid="{00000000-0005-0000-0000-000015010000}"/>
    <cellStyle name="%_C.M.L._2 8" xfId="278" xr:uid="{00000000-0005-0000-0000-000016010000}"/>
    <cellStyle name="%_C.M.L._2_ActiFijos" xfId="279" xr:uid="{00000000-0005-0000-0000-000017010000}"/>
    <cellStyle name="%_C.M.L._2_ActiFijos 2" xfId="3924" xr:uid="{00000000-0005-0000-0000-0000540F0000}"/>
    <cellStyle name="%_C.M.L._2_C.M.E." xfId="280" xr:uid="{00000000-0005-0000-0000-000018010000}"/>
    <cellStyle name="%_C.M.L._2_C.M.E. 2" xfId="3925" xr:uid="{00000000-0005-0000-0000-0000550F0000}"/>
    <cellStyle name="%_C.M.L._2_C.M.L." xfId="281" xr:uid="{00000000-0005-0000-0000-000019010000}"/>
    <cellStyle name="%_C.M.L._2_C.M.L. 2" xfId="3926" xr:uid="{00000000-0005-0000-0000-0000560F0000}"/>
    <cellStyle name="%_C.M.L._2_Esc.Macro" xfId="282" xr:uid="{00000000-0005-0000-0000-00001A010000}"/>
    <cellStyle name="%_C.M.L._2_Esc.Macro 2" xfId="3927" xr:uid="{00000000-0005-0000-0000-0000570F0000}"/>
    <cellStyle name="%_C.M.L._ActiFijos" xfId="283" xr:uid="{00000000-0005-0000-0000-00001B010000}"/>
    <cellStyle name="%_C.M.L._ActiFijos 2" xfId="3928" xr:uid="{00000000-0005-0000-0000-0000580F0000}"/>
    <cellStyle name="%_C.M.L._C.M.E." xfId="284" xr:uid="{00000000-0005-0000-0000-00001C010000}"/>
    <cellStyle name="%_C.M.L._C.M.E. 2" xfId="3929" xr:uid="{00000000-0005-0000-0000-0000590F0000}"/>
    <cellStyle name="%_C.M.L._C.M.L." xfId="285" xr:uid="{00000000-0005-0000-0000-00001D010000}"/>
    <cellStyle name="%_C.M.L._C.M.L. 2" xfId="3930" xr:uid="{00000000-0005-0000-0000-00005A0F0000}"/>
    <cellStyle name="%_C.M.L._Deuda septiembre_marcos" xfId="286" xr:uid="{00000000-0005-0000-0000-00001E010000}"/>
    <cellStyle name="%_C.M.L._Esc.Macro" xfId="287" xr:uid="{00000000-0005-0000-0000-00001F010000}"/>
    <cellStyle name="%_C.M.L._Esc.Macro 2" xfId="3931" xr:uid="{00000000-0005-0000-0000-00005B0F0000}"/>
    <cellStyle name="%_C.M.L._G_Loans" xfId="288" xr:uid="{00000000-0005-0000-0000-000020010000}"/>
    <cellStyle name="%_C.M.L._G_Loans 2" xfId="3932" xr:uid="{00000000-0005-0000-0000-00005C0F0000}"/>
    <cellStyle name="%_C.M.L._GRUPO4Q-2009 COMPLETO" xfId="3306" xr:uid="{00000000-0005-0000-0000-0000EA0C0000}"/>
    <cellStyle name="%_C.M.L._Información relacionada" xfId="289" xr:uid="{00000000-0005-0000-0000-000021010000}"/>
    <cellStyle name="%_Caja2007" xfId="290" xr:uid="{00000000-0005-0000-0000-000022010000}"/>
    <cellStyle name="%_Caja2007 2" xfId="291" xr:uid="{00000000-0005-0000-0000-000023010000}"/>
    <cellStyle name="%_Caja2007 2 2" xfId="3933" xr:uid="{00000000-0005-0000-0000-00005D0F0000}"/>
    <cellStyle name="%_Caja2007 3" xfId="292" xr:uid="{00000000-0005-0000-0000-000024010000}"/>
    <cellStyle name="%_Caja2007 3 2" xfId="3934" xr:uid="{00000000-0005-0000-0000-00005E0F0000}"/>
    <cellStyle name="%_Caja2007 4" xfId="293" xr:uid="{00000000-0005-0000-0000-000025010000}"/>
    <cellStyle name="%_Caja2007 4 2" xfId="3935" xr:uid="{00000000-0005-0000-0000-00005F0F0000}"/>
    <cellStyle name="%_Caja2007 5" xfId="294" xr:uid="{00000000-0005-0000-0000-000026010000}"/>
    <cellStyle name="%_Caja2007 5 2" xfId="3936" xr:uid="{00000000-0005-0000-0000-0000600F0000}"/>
    <cellStyle name="%_Caja2007 6" xfId="295" xr:uid="{00000000-0005-0000-0000-000027010000}"/>
    <cellStyle name="%_Caja2007 6 2" xfId="3937" xr:uid="{00000000-0005-0000-0000-0000610F0000}"/>
    <cellStyle name="%_Caja2007 7" xfId="296" xr:uid="{00000000-0005-0000-0000-000028010000}"/>
    <cellStyle name="%_Caja2007 8" xfId="297" xr:uid="{00000000-0005-0000-0000-000029010000}"/>
    <cellStyle name="%_Caja2007_ActiFijos" xfId="298" xr:uid="{00000000-0005-0000-0000-00002A010000}"/>
    <cellStyle name="%_Caja2007_ActiFijos 2" xfId="3938" xr:uid="{00000000-0005-0000-0000-0000620F0000}"/>
    <cellStyle name="%_Caja2007_C.M.E." xfId="299" xr:uid="{00000000-0005-0000-0000-00002B010000}"/>
    <cellStyle name="%_Caja2007_C.M.E. 2" xfId="3939" xr:uid="{00000000-0005-0000-0000-0000630F0000}"/>
    <cellStyle name="%_Caja2007_C.M.L." xfId="300" xr:uid="{00000000-0005-0000-0000-00002C010000}"/>
    <cellStyle name="%_Caja2007_C.M.L. 2" xfId="3940" xr:uid="{00000000-0005-0000-0000-0000640F0000}"/>
    <cellStyle name="%_Caja2007_Deuda septiembre_marcos" xfId="301" xr:uid="{00000000-0005-0000-0000-00002D010000}"/>
    <cellStyle name="%_Caja2007_Esc.Macro" xfId="302" xr:uid="{00000000-0005-0000-0000-00002E010000}"/>
    <cellStyle name="%_Caja2007_Esc.Macro 2" xfId="3941" xr:uid="{00000000-0005-0000-0000-0000650F0000}"/>
    <cellStyle name="%_Caja2007_G_Loans" xfId="303" xr:uid="{00000000-0005-0000-0000-00002F010000}"/>
    <cellStyle name="%_Caja2007_G_Loans 2" xfId="3942" xr:uid="{00000000-0005-0000-0000-0000660F0000}"/>
    <cellStyle name="%_Caja2007_GRUPO4Q-2009 COMPLETO" xfId="3307" xr:uid="{00000000-0005-0000-0000-0000EB0C0000}"/>
    <cellStyle name="%_Caja2007_Información relacionada" xfId="304" xr:uid="{00000000-0005-0000-0000-000030010000}"/>
    <cellStyle name="%_Datos Presentación" xfId="305" xr:uid="{00000000-0005-0000-0000-000031010000}"/>
    <cellStyle name="%_Datos Presentación_GRUPO4Q-2009 COMPLETO" xfId="3308" xr:uid="{00000000-0005-0000-0000-0000EC0C0000}"/>
    <cellStyle name="%_Deuda septiembre_marcos" xfId="306" xr:uid="{00000000-0005-0000-0000-000032010000}"/>
    <cellStyle name="%_ER08" xfId="307" xr:uid="{00000000-0005-0000-0000-000033010000}"/>
    <cellStyle name="%_ER08 2" xfId="308" xr:uid="{00000000-0005-0000-0000-000034010000}"/>
    <cellStyle name="%_ER08 2 2" xfId="3943" xr:uid="{00000000-0005-0000-0000-0000670F0000}"/>
    <cellStyle name="%_ER08 3" xfId="309" xr:uid="{00000000-0005-0000-0000-000035010000}"/>
    <cellStyle name="%_ER08 3 2" xfId="3944" xr:uid="{00000000-0005-0000-0000-0000680F0000}"/>
    <cellStyle name="%_ER08 4" xfId="310" xr:uid="{00000000-0005-0000-0000-000036010000}"/>
    <cellStyle name="%_ER08 4 2" xfId="3945" xr:uid="{00000000-0005-0000-0000-0000690F0000}"/>
    <cellStyle name="%_ER08 5" xfId="311" xr:uid="{00000000-0005-0000-0000-000037010000}"/>
    <cellStyle name="%_ER08 5 2" xfId="3946" xr:uid="{00000000-0005-0000-0000-00006A0F0000}"/>
    <cellStyle name="%_ER08 6" xfId="312" xr:uid="{00000000-0005-0000-0000-000038010000}"/>
    <cellStyle name="%_ER08 6 2" xfId="3947" xr:uid="{00000000-0005-0000-0000-00006B0F0000}"/>
    <cellStyle name="%_ER08 7" xfId="313" xr:uid="{00000000-0005-0000-0000-000039010000}"/>
    <cellStyle name="%_ER08 8" xfId="314" xr:uid="{00000000-0005-0000-0000-00003A010000}"/>
    <cellStyle name="%_ER08_ActiFijos" xfId="315" xr:uid="{00000000-0005-0000-0000-00003B010000}"/>
    <cellStyle name="%_ER08_ActiFijos 2" xfId="3948" xr:uid="{00000000-0005-0000-0000-00006C0F0000}"/>
    <cellStyle name="%_ER08_C.M.E." xfId="316" xr:uid="{00000000-0005-0000-0000-00003C010000}"/>
    <cellStyle name="%_ER08_C.M.E. 2" xfId="3949" xr:uid="{00000000-0005-0000-0000-00006D0F0000}"/>
    <cellStyle name="%_ER08_C.M.L." xfId="317" xr:uid="{00000000-0005-0000-0000-00003D010000}"/>
    <cellStyle name="%_ER08_C.M.L. 2" xfId="3950" xr:uid="{00000000-0005-0000-0000-00006E0F0000}"/>
    <cellStyle name="%_ER08_Esc.Macro" xfId="318" xr:uid="{00000000-0005-0000-0000-00003E010000}"/>
    <cellStyle name="%_ER08_Esc.Macro 2" xfId="3951" xr:uid="{00000000-0005-0000-0000-00006F0F0000}"/>
    <cellStyle name="%_ER08_G_Loans" xfId="319" xr:uid="{00000000-0005-0000-0000-00003F010000}"/>
    <cellStyle name="%_ER08_G_Loans 2" xfId="3952" xr:uid="{00000000-0005-0000-0000-0000700F0000}"/>
    <cellStyle name="%_G_Loans" xfId="320" xr:uid="{00000000-0005-0000-0000-000040010000}"/>
    <cellStyle name="%_G_Loans 2" xfId="321" xr:uid="{00000000-0005-0000-0000-000041010000}"/>
    <cellStyle name="%_G_Loans 2 2" xfId="3953" xr:uid="{00000000-0005-0000-0000-0000710F0000}"/>
    <cellStyle name="%_G_Loans 3" xfId="322" xr:uid="{00000000-0005-0000-0000-000042010000}"/>
    <cellStyle name="%_G_Loans 3 2" xfId="3954" xr:uid="{00000000-0005-0000-0000-0000720F0000}"/>
    <cellStyle name="%_G_Loans 4" xfId="323" xr:uid="{00000000-0005-0000-0000-000043010000}"/>
    <cellStyle name="%_G_Loans 4 2" xfId="3955" xr:uid="{00000000-0005-0000-0000-0000730F0000}"/>
    <cellStyle name="%_G_Loans 5" xfId="324" xr:uid="{00000000-0005-0000-0000-000044010000}"/>
    <cellStyle name="%_G_Loans 5 2" xfId="3956" xr:uid="{00000000-0005-0000-0000-0000740F0000}"/>
    <cellStyle name="%_G_Loans 6" xfId="325" xr:uid="{00000000-0005-0000-0000-000045010000}"/>
    <cellStyle name="%_G_Loans 6 2" xfId="3957" xr:uid="{00000000-0005-0000-0000-0000750F0000}"/>
    <cellStyle name="%_G_Loans 7" xfId="326" xr:uid="{00000000-0005-0000-0000-000046010000}"/>
    <cellStyle name="%_G_Loans 8" xfId="327" xr:uid="{00000000-0005-0000-0000-000047010000}"/>
    <cellStyle name="%_G_Loans_ActiFijos" xfId="328" xr:uid="{00000000-0005-0000-0000-000048010000}"/>
    <cellStyle name="%_G_Loans_ActiFijos 2" xfId="3958" xr:uid="{00000000-0005-0000-0000-0000760F0000}"/>
    <cellStyle name="%_GRUPO4Q-2009 COMPLETO" xfId="3309" xr:uid="{00000000-0005-0000-0000-0000ED0C0000}"/>
    <cellStyle name="%_Indicadores" xfId="329" xr:uid="{00000000-0005-0000-0000-000049010000}"/>
    <cellStyle name="%_Indicadores 2" xfId="330" xr:uid="{00000000-0005-0000-0000-00004A010000}"/>
    <cellStyle name="%_Indicadores 2 2" xfId="3959" xr:uid="{00000000-0005-0000-0000-0000770F0000}"/>
    <cellStyle name="%_Indicadores 3" xfId="331" xr:uid="{00000000-0005-0000-0000-00004B010000}"/>
    <cellStyle name="%_Indicadores 3 2" xfId="3960" xr:uid="{00000000-0005-0000-0000-0000780F0000}"/>
    <cellStyle name="%_Indicadores 4" xfId="332" xr:uid="{00000000-0005-0000-0000-00004C010000}"/>
    <cellStyle name="%_Indicadores 4 2" xfId="3961" xr:uid="{00000000-0005-0000-0000-0000790F0000}"/>
    <cellStyle name="%_Indicadores 5" xfId="333" xr:uid="{00000000-0005-0000-0000-00004D010000}"/>
    <cellStyle name="%_Indicadores 5 2" xfId="3962" xr:uid="{00000000-0005-0000-0000-00007A0F0000}"/>
    <cellStyle name="%_Indicadores 6" xfId="334" xr:uid="{00000000-0005-0000-0000-00004E010000}"/>
    <cellStyle name="%_Indicadores 6 2" xfId="3963" xr:uid="{00000000-0005-0000-0000-00007B0F0000}"/>
    <cellStyle name="%_Indicadores 7" xfId="335" xr:uid="{00000000-0005-0000-0000-00004F010000}"/>
    <cellStyle name="%_Indicadores 8" xfId="336" xr:uid="{00000000-0005-0000-0000-000050010000}"/>
    <cellStyle name="%_Indicadores_ActiFijos" xfId="337" xr:uid="{00000000-0005-0000-0000-000051010000}"/>
    <cellStyle name="%_Indicadores_ActiFijos 2" xfId="3964" xr:uid="{00000000-0005-0000-0000-00007C0F0000}"/>
    <cellStyle name="%_Indicadores_C.M.E." xfId="338" xr:uid="{00000000-0005-0000-0000-000052010000}"/>
    <cellStyle name="%_Indicadores_C.M.E. 2" xfId="3965" xr:uid="{00000000-0005-0000-0000-00007D0F0000}"/>
    <cellStyle name="%_Indicadores_C.M.L." xfId="339" xr:uid="{00000000-0005-0000-0000-000053010000}"/>
    <cellStyle name="%_Indicadores_C.M.L. 2" xfId="3966" xr:uid="{00000000-0005-0000-0000-00007E0F0000}"/>
    <cellStyle name="%_Indicadores_Esc.Macro" xfId="340" xr:uid="{00000000-0005-0000-0000-000054010000}"/>
    <cellStyle name="%_Indicadores_Esc.Macro 2" xfId="3967" xr:uid="{00000000-0005-0000-0000-00007F0F0000}"/>
    <cellStyle name="%_Indicadores_G_Loans" xfId="341" xr:uid="{00000000-0005-0000-0000-000055010000}"/>
    <cellStyle name="%_Indicadores_G_Loans 2" xfId="3968" xr:uid="{00000000-0005-0000-0000-0000800F0000}"/>
    <cellStyle name="%_Mov Balance" xfId="342" xr:uid="{00000000-0005-0000-0000-000056010000}"/>
    <cellStyle name="%_Mov Balance 2" xfId="343" xr:uid="{00000000-0005-0000-0000-000057010000}"/>
    <cellStyle name="%_Mov Balance 2 2" xfId="3969" xr:uid="{00000000-0005-0000-0000-0000810F0000}"/>
    <cellStyle name="%_Mov Balance 3" xfId="344" xr:uid="{00000000-0005-0000-0000-000058010000}"/>
    <cellStyle name="%_Mov Balance 3 2" xfId="3970" xr:uid="{00000000-0005-0000-0000-0000820F0000}"/>
    <cellStyle name="%_Mov Balance 4" xfId="345" xr:uid="{00000000-0005-0000-0000-000059010000}"/>
    <cellStyle name="%_Mov Balance 4 2" xfId="3971" xr:uid="{00000000-0005-0000-0000-0000830F0000}"/>
    <cellStyle name="%_Mov Balance 5" xfId="346" xr:uid="{00000000-0005-0000-0000-00005A010000}"/>
    <cellStyle name="%_Mov Balance 5 2" xfId="3972" xr:uid="{00000000-0005-0000-0000-0000840F0000}"/>
    <cellStyle name="%_Mov Balance 6" xfId="347" xr:uid="{00000000-0005-0000-0000-00005B010000}"/>
    <cellStyle name="%_Mov Balance 6 2" xfId="3973" xr:uid="{00000000-0005-0000-0000-0000850F0000}"/>
    <cellStyle name="%_Mov Balance 7" xfId="348" xr:uid="{00000000-0005-0000-0000-00005C010000}"/>
    <cellStyle name="%_Mov Balance 8" xfId="349" xr:uid="{00000000-0005-0000-0000-00005D010000}"/>
    <cellStyle name="%_Mov Balance_ActiFijos" xfId="350" xr:uid="{00000000-0005-0000-0000-00005E010000}"/>
    <cellStyle name="%_Mov Balance_ActiFijos 2" xfId="3974" xr:uid="{00000000-0005-0000-0000-0000860F0000}"/>
    <cellStyle name="%_Mov Balance_C.M.E." xfId="351" xr:uid="{00000000-0005-0000-0000-00005F010000}"/>
    <cellStyle name="%_Mov Balance_C.M.E. 2" xfId="3975" xr:uid="{00000000-0005-0000-0000-0000870F0000}"/>
    <cellStyle name="%_Mov Balance_C.M.L." xfId="352" xr:uid="{00000000-0005-0000-0000-000060010000}"/>
    <cellStyle name="%_Mov Balance_C.M.L. 2" xfId="3976" xr:uid="{00000000-0005-0000-0000-0000880F0000}"/>
    <cellStyle name="%_Mov Balance_Deuda septiembre_marcos" xfId="353" xr:uid="{00000000-0005-0000-0000-000061010000}"/>
    <cellStyle name="%_Mov Balance_Esc.Macro" xfId="354" xr:uid="{00000000-0005-0000-0000-000062010000}"/>
    <cellStyle name="%_Mov Balance_Esc.Macro 2" xfId="3977" xr:uid="{00000000-0005-0000-0000-0000890F0000}"/>
    <cellStyle name="%_Mov Balance_G_Loans" xfId="355" xr:uid="{00000000-0005-0000-0000-000063010000}"/>
    <cellStyle name="%_Mov Balance_G_Loans 2" xfId="3978" xr:uid="{00000000-0005-0000-0000-00008A0F0000}"/>
    <cellStyle name="%_Mov Balance_GRUPO4Q-2009 COMPLETO" xfId="3310" xr:uid="{00000000-0005-0000-0000-0000EE0C0000}"/>
    <cellStyle name="%_Mov Balance_Información relacionada" xfId="356" xr:uid="{00000000-0005-0000-0000-000064010000}"/>
    <cellStyle name="%_NOTA BONOS Y O.FRAS 2008" xfId="3311" xr:uid="{00000000-0005-0000-0000-0000EF0C0000}"/>
    <cellStyle name="%_PPT Final" xfId="357" xr:uid="{00000000-0005-0000-0000-000065010000}"/>
    <cellStyle name="%_Renta" xfId="358" xr:uid="{00000000-0005-0000-0000-000066010000}"/>
    <cellStyle name="%_Renta 2" xfId="359" xr:uid="{00000000-0005-0000-0000-000067010000}"/>
    <cellStyle name="%_Renta 3" xfId="360" xr:uid="{00000000-0005-0000-0000-000068010000}"/>
    <cellStyle name="%_Renta_Deuda septiembre_marcos" xfId="361" xr:uid="{00000000-0005-0000-0000-000069010000}"/>
    <cellStyle name="%_Renta_PPT Final" xfId="362" xr:uid="{00000000-0005-0000-0000-00006A010000}"/>
    <cellStyle name="%_Renta_Vida Media ISA_" xfId="363" xr:uid="{00000000-0005-0000-0000-00006B010000}"/>
    <cellStyle name="%_Tablas presentaciones ISA - March 2008" xfId="364" xr:uid="{00000000-0005-0000-0000-00006C010000}"/>
    <cellStyle name="%_Tablas presentaciones ISA - March 2008 2" xfId="3979" xr:uid="{00000000-0005-0000-0000-00008B0F0000}"/>
    <cellStyle name="%_TRANSELCA" xfId="3312" xr:uid="{00000000-0005-0000-0000-0000F00C0000}"/>
    <cellStyle name="%0" xfId="365" xr:uid="{00000000-0005-0000-0000-00006D010000}"/>
    <cellStyle name="%0.0" xfId="366" xr:uid="{00000000-0005-0000-0000-00006E010000}"/>
    <cellStyle name="_Modelo Bocas de Ceniza 4" xfId="367" xr:uid="{00000000-0005-0000-0000-00006F010000}"/>
    <cellStyle name="_Modelo Bocas de Ceniza 4 2" xfId="368" xr:uid="{00000000-0005-0000-0000-000070010000}"/>
    <cellStyle name="_Modelo Bocas de Ceniza 4 2 2" xfId="369" xr:uid="{00000000-0005-0000-0000-000071010000}"/>
    <cellStyle name="_Modelo Bocas de Ceniza 4 2 2_PPT Final" xfId="370" xr:uid="{00000000-0005-0000-0000-000072010000}"/>
    <cellStyle name="_Modelo Bocas de Ceniza 4 2 2_Vida Media ISA_" xfId="371" xr:uid="{00000000-0005-0000-0000-000073010000}"/>
    <cellStyle name="_Modelo Bocas de Ceniza 4 2 3" xfId="372" xr:uid="{00000000-0005-0000-0000-000074010000}"/>
    <cellStyle name="_Modelo Bocas de Ceniza 4 2 3_PPT Final" xfId="373" xr:uid="{00000000-0005-0000-0000-000075010000}"/>
    <cellStyle name="_Modelo Bocas de Ceniza 4 2 3_Vida Media ISA_" xfId="374" xr:uid="{00000000-0005-0000-0000-000076010000}"/>
    <cellStyle name="_Modelo Bocas de Ceniza 4 2 4" xfId="375" xr:uid="{00000000-0005-0000-0000-000077010000}"/>
    <cellStyle name="_Modelo Bocas de Ceniza 4 2 4_PPT Final" xfId="376" xr:uid="{00000000-0005-0000-0000-000078010000}"/>
    <cellStyle name="_Modelo Bocas de Ceniza 4 2 4_Vida Media ISA_" xfId="377" xr:uid="{00000000-0005-0000-0000-000079010000}"/>
    <cellStyle name="_Modelo Bocas de Ceniza 4 2 5" xfId="378" xr:uid="{00000000-0005-0000-0000-00007A010000}"/>
    <cellStyle name="_Modelo Bocas de Ceniza 4 2 6" xfId="379" xr:uid="{00000000-0005-0000-0000-00007B010000}"/>
    <cellStyle name="_Modelo Bocas de Ceniza 4 2 7" xfId="380" xr:uid="{00000000-0005-0000-0000-00007C010000}"/>
    <cellStyle name="_Modelo Bocas de Ceniza 4 2 8" xfId="381" xr:uid="{00000000-0005-0000-0000-00007D010000}"/>
    <cellStyle name="_Modelo Bocas de Ceniza 4 2_ActiFijos" xfId="382" xr:uid="{00000000-0005-0000-0000-00007E010000}"/>
    <cellStyle name="_Modelo Bocas de Ceniza 4 2_ActiFijos_PPT Final" xfId="383" xr:uid="{00000000-0005-0000-0000-00007F010000}"/>
    <cellStyle name="_Modelo Bocas de Ceniza 4 2_ActiFijos_Vida Media ISA_" xfId="384" xr:uid="{00000000-0005-0000-0000-000080010000}"/>
    <cellStyle name="_Modelo Bocas de Ceniza 4 2_PPT Final" xfId="385" xr:uid="{00000000-0005-0000-0000-000081010000}"/>
    <cellStyle name="_Modelo Bocas de Ceniza 4 2_Vida Media ISA_" xfId="386" xr:uid="{00000000-0005-0000-0000-000082010000}"/>
    <cellStyle name="_Modelo Bocas de Ceniza 4 3" xfId="387" xr:uid="{00000000-0005-0000-0000-000083010000}"/>
    <cellStyle name="_Modelo Bocas de Ceniza 4 3 2" xfId="388" xr:uid="{00000000-0005-0000-0000-000084010000}"/>
    <cellStyle name="_Modelo Bocas de Ceniza 4 3 2_PPT Final" xfId="389" xr:uid="{00000000-0005-0000-0000-000085010000}"/>
    <cellStyle name="_Modelo Bocas de Ceniza 4 3 2_Vida Media ISA_" xfId="390" xr:uid="{00000000-0005-0000-0000-000086010000}"/>
    <cellStyle name="_Modelo Bocas de Ceniza 4 3 3" xfId="391" xr:uid="{00000000-0005-0000-0000-000087010000}"/>
    <cellStyle name="_Modelo Bocas de Ceniza 4 3 3_PPT Final" xfId="392" xr:uid="{00000000-0005-0000-0000-000088010000}"/>
    <cellStyle name="_Modelo Bocas de Ceniza 4 3 3_Vida Media ISA_" xfId="393" xr:uid="{00000000-0005-0000-0000-000089010000}"/>
    <cellStyle name="_Modelo Bocas de Ceniza 4 3 4" xfId="394" xr:uid="{00000000-0005-0000-0000-00008A010000}"/>
    <cellStyle name="_Modelo Bocas de Ceniza 4 3 4_PPT Final" xfId="395" xr:uid="{00000000-0005-0000-0000-00008B010000}"/>
    <cellStyle name="_Modelo Bocas de Ceniza 4 3 4_Vida Media ISA_" xfId="396" xr:uid="{00000000-0005-0000-0000-00008C010000}"/>
    <cellStyle name="_Modelo Bocas de Ceniza 4 3 5" xfId="397" xr:uid="{00000000-0005-0000-0000-00008D010000}"/>
    <cellStyle name="_Modelo Bocas de Ceniza 4 3 6" xfId="398" xr:uid="{00000000-0005-0000-0000-00008E010000}"/>
    <cellStyle name="_Modelo Bocas de Ceniza 4 3 7" xfId="399" xr:uid="{00000000-0005-0000-0000-00008F010000}"/>
    <cellStyle name="_Modelo Bocas de Ceniza 4 3 8" xfId="400" xr:uid="{00000000-0005-0000-0000-000090010000}"/>
    <cellStyle name="_Modelo Bocas de Ceniza 4 3_ActiFijos" xfId="401" xr:uid="{00000000-0005-0000-0000-000091010000}"/>
    <cellStyle name="_Modelo Bocas de Ceniza 4 3_ActiFijos_PPT Final" xfId="402" xr:uid="{00000000-0005-0000-0000-000092010000}"/>
    <cellStyle name="_Modelo Bocas de Ceniza 4 3_ActiFijos_Vida Media ISA_" xfId="403" xr:uid="{00000000-0005-0000-0000-000093010000}"/>
    <cellStyle name="_Modelo Bocas de Ceniza 4 3_PPT Final" xfId="404" xr:uid="{00000000-0005-0000-0000-000094010000}"/>
    <cellStyle name="_Modelo Bocas de Ceniza 4 3_Vida Media ISA_" xfId="405" xr:uid="{00000000-0005-0000-0000-000095010000}"/>
    <cellStyle name="_Modelo Bocas de Ceniza 4 4" xfId="406" xr:uid="{00000000-0005-0000-0000-000096010000}"/>
    <cellStyle name="_Modelo Bocas de Ceniza 4 4 2" xfId="407" xr:uid="{00000000-0005-0000-0000-000097010000}"/>
    <cellStyle name="_Modelo Bocas de Ceniza 4 4 2_PPT Final" xfId="408" xr:uid="{00000000-0005-0000-0000-000098010000}"/>
    <cellStyle name="_Modelo Bocas de Ceniza 4 4 2_Vida Media ISA_" xfId="409" xr:uid="{00000000-0005-0000-0000-000099010000}"/>
    <cellStyle name="_Modelo Bocas de Ceniza 4 4 3" xfId="410" xr:uid="{00000000-0005-0000-0000-00009A010000}"/>
    <cellStyle name="_Modelo Bocas de Ceniza 4 4 3_PPT Final" xfId="411" xr:uid="{00000000-0005-0000-0000-00009B010000}"/>
    <cellStyle name="_Modelo Bocas de Ceniza 4 4 3_Vida Media ISA_" xfId="412" xr:uid="{00000000-0005-0000-0000-00009C010000}"/>
    <cellStyle name="_Modelo Bocas de Ceniza 4 4 4" xfId="413" xr:uid="{00000000-0005-0000-0000-00009D010000}"/>
    <cellStyle name="_Modelo Bocas de Ceniza 4 4 4_PPT Final" xfId="414" xr:uid="{00000000-0005-0000-0000-00009E010000}"/>
    <cellStyle name="_Modelo Bocas de Ceniza 4 4 4_Vida Media ISA_" xfId="415" xr:uid="{00000000-0005-0000-0000-00009F010000}"/>
    <cellStyle name="_Modelo Bocas de Ceniza 4 4 5" xfId="416" xr:uid="{00000000-0005-0000-0000-0000A0010000}"/>
    <cellStyle name="_Modelo Bocas de Ceniza 4 4 6" xfId="417" xr:uid="{00000000-0005-0000-0000-0000A1010000}"/>
    <cellStyle name="_Modelo Bocas de Ceniza 4 4 7" xfId="418" xr:uid="{00000000-0005-0000-0000-0000A2010000}"/>
    <cellStyle name="_Modelo Bocas de Ceniza 4 4 8" xfId="419" xr:uid="{00000000-0005-0000-0000-0000A3010000}"/>
    <cellStyle name="_Modelo Bocas de Ceniza 4 4_ActiFijos" xfId="420" xr:uid="{00000000-0005-0000-0000-0000A4010000}"/>
    <cellStyle name="_Modelo Bocas de Ceniza 4 4_ActiFijos_PPT Final" xfId="421" xr:uid="{00000000-0005-0000-0000-0000A5010000}"/>
    <cellStyle name="_Modelo Bocas de Ceniza 4 4_ActiFijos_Vida Media ISA_" xfId="422" xr:uid="{00000000-0005-0000-0000-0000A6010000}"/>
    <cellStyle name="_Modelo Bocas de Ceniza 4 4_PPT Final" xfId="423" xr:uid="{00000000-0005-0000-0000-0000A7010000}"/>
    <cellStyle name="_Modelo Bocas de Ceniza 4 4_Vida Media ISA_" xfId="424" xr:uid="{00000000-0005-0000-0000-0000A8010000}"/>
    <cellStyle name="_Modelo Bocas de Ceniza 4_Balanc" xfId="425" xr:uid="{00000000-0005-0000-0000-0000A9010000}"/>
    <cellStyle name="_Modelo Bocas de Ceniza 4_Balanc 2" xfId="426" xr:uid="{00000000-0005-0000-0000-0000AA010000}"/>
    <cellStyle name="_Modelo Bocas de Ceniza 4_Balanc 2_PPT Final" xfId="427" xr:uid="{00000000-0005-0000-0000-0000AB010000}"/>
    <cellStyle name="_Modelo Bocas de Ceniza 4_Balanc 2_Vida Media ISA_" xfId="428" xr:uid="{00000000-0005-0000-0000-0000AC010000}"/>
    <cellStyle name="_Modelo Bocas de Ceniza 4_Balanc 3" xfId="429" xr:uid="{00000000-0005-0000-0000-0000AD010000}"/>
    <cellStyle name="_Modelo Bocas de Ceniza 4_Balanc 3_PPT Final" xfId="430" xr:uid="{00000000-0005-0000-0000-0000AE010000}"/>
    <cellStyle name="_Modelo Bocas de Ceniza 4_Balanc 3_Vida Media ISA_" xfId="431" xr:uid="{00000000-0005-0000-0000-0000AF010000}"/>
    <cellStyle name="_Modelo Bocas de Ceniza 4_Balanc 4" xfId="432" xr:uid="{00000000-0005-0000-0000-0000B0010000}"/>
    <cellStyle name="_Modelo Bocas de Ceniza 4_Balanc 4_PPT Final" xfId="433" xr:uid="{00000000-0005-0000-0000-0000B1010000}"/>
    <cellStyle name="_Modelo Bocas de Ceniza 4_Balanc 4_Vida Media ISA_" xfId="434" xr:uid="{00000000-0005-0000-0000-0000B2010000}"/>
    <cellStyle name="_Modelo Bocas de Ceniza 4_Balanc 5" xfId="435" xr:uid="{00000000-0005-0000-0000-0000B3010000}"/>
    <cellStyle name="_Modelo Bocas de Ceniza 4_Balanc 6" xfId="436" xr:uid="{00000000-0005-0000-0000-0000B4010000}"/>
    <cellStyle name="_Modelo Bocas de Ceniza 4_Balanc 7" xfId="437" xr:uid="{00000000-0005-0000-0000-0000B5010000}"/>
    <cellStyle name="_Modelo Bocas de Ceniza 4_Balanc 8" xfId="438" xr:uid="{00000000-0005-0000-0000-0000B6010000}"/>
    <cellStyle name="_Modelo Bocas de Ceniza 4_Balanc_ActiFijos" xfId="439" xr:uid="{00000000-0005-0000-0000-0000B7010000}"/>
    <cellStyle name="_Modelo Bocas de Ceniza 4_Balanc_ActiFijos_PPT Final" xfId="440" xr:uid="{00000000-0005-0000-0000-0000B8010000}"/>
    <cellStyle name="_Modelo Bocas de Ceniza 4_Balanc_ActiFijos_Vida Media ISA_" xfId="441" xr:uid="{00000000-0005-0000-0000-0000B9010000}"/>
    <cellStyle name="_Modelo Bocas de Ceniza 4_Balanc_C.M.E." xfId="442" xr:uid="{00000000-0005-0000-0000-0000BA010000}"/>
    <cellStyle name="_Modelo Bocas de Ceniza 4_Balanc_C.M.E._PPT Final" xfId="443" xr:uid="{00000000-0005-0000-0000-0000BB010000}"/>
    <cellStyle name="_Modelo Bocas de Ceniza 4_Balanc_C.M.E._Vida Media ISA_" xfId="444" xr:uid="{00000000-0005-0000-0000-0000BC010000}"/>
    <cellStyle name="_Modelo Bocas de Ceniza 4_Balanc_C.M.L." xfId="445" xr:uid="{00000000-0005-0000-0000-0000BD010000}"/>
    <cellStyle name="_Modelo Bocas de Ceniza 4_Balanc_C.M.L._PPT Final" xfId="446" xr:uid="{00000000-0005-0000-0000-0000BE010000}"/>
    <cellStyle name="_Modelo Bocas de Ceniza 4_Balanc_C.M.L._Vida Media ISA_" xfId="447" xr:uid="{00000000-0005-0000-0000-0000BF010000}"/>
    <cellStyle name="_Modelo Bocas de Ceniza 4_Balanc_Esc.Macro" xfId="448" xr:uid="{00000000-0005-0000-0000-0000C0010000}"/>
    <cellStyle name="_Modelo Bocas de Ceniza 4_Balanc_Esc.Macro_PPT Final" xfId="449" xr:uid="{00000000-0005-0000-0000-0000C1010000}"/>
    <cellStyle name="_Modelo Bocas de Ceniza 4_Balanc_Esc.Macro_Vida Media ISA_" xfId="450" xr:uid="{00000000-0005-0000-0000-0000C2010000}"/>
    <cellStyle name="_Modelo Bocas de Ceniza 4_Balanc_PPT Final" xfId="451" xr:uid="{00000000-0005-0000-0000-0000C3010000}"/>
    <cellStyle name="_Modelo Bocas de Ceniza 4_Balanc_Vida Media ISA_" xfId="452" xr:uid="{00000000-0005-0000-0000-0000C4010000}"/>
    <cellStyle name="_Modelo Bocas de Ceniza 4_Balance" xfId="453" xr:uid="{00000000-0005-0000-0000-0000C5010000}"/>
    <cellStyle name="_Modelo Bocas de Ceniza 4_Balance 2" xfId="454" xr:uid="{00000000-0005-0000-0000-0000C6010000}"/>
    <cellStyle name="_Modelo Bocas de Ceniza 4_Balance 2_PPT Final" xfId="455" xr:uid="{00000000-0005-0000-0000-0000C7010000}"/>
    <cellStyle name="_Modelo Bocas de Ceniza 4_Balance 2_Vida Media ISA_" xfId="456" xr:uid="{00000000-0005-0000-0000-0000C8010000}"/>
    <cellStyle name="_Modelo Bocas de Ceniza 4_Balance 3" xfId="457" xr:uid="{00000000-0005-0000-0000-0000C9010000}"/>
    <cellStyle name="_Modelo Bocas de Ceniza 4_Balance 3_PPT Final" xfId="458" xr:uid="{00000000-0005-0000-0000-0000CA010000}"/>
    <cellStyle name="_Modelo Bocas de Ceniza 4_Balance 3_Vida Media ISA_" xfId="459" xr:uid="{00000000-0005-0000-0000-0000CB010000}"/>
    <cellStyle name="_Modelo Bocas de Ceniza 4_Balance 4" xfId="460" xr:uid="{00000000-0005-0000-0000-0000CC010000}"/>
    <cellStyle name="_Modelo Bocas de Ceniza 4_Balance 4_PPT Final" xfId="461" xr:uid="{00000000-0005-0000-0000-0000CD010000}"/>
    <cellStyle name="_Modelo Bocas de Ceniza 4_Balance 4_Vida Media ISA_" xfId="462" xr:uid="{00000000-0005-0000-0000-0000CE010000}"/>
    <cellStyle name="_Modelo Bocas de Ceniza 4_Balance 5" xfId="463" xr:uid="{00000000-0005-0000-0000-0000CF010000}"/>
    <cellStyle name="_Modelo Bocas de Ceniza 4_Balance 6" xfId="464" xr:uid="{00000000-0005-0000-0000-0000D0010000}"/>
    <cellStyle name="_Modelo Bocas de Ceniza 4_Balance 7" xfId="465" xr:uid="{00000000-0005-0000-0000-0000D1010000}"/>
    <cellStyle name="_Modelo Bocas de Ceniza 4_Balance 8" xfId="466" xr:uid="{00000000-0005-0000-0000-0000D2010000}"/>
    <cellStyle name="_Modelo Bocas de Ceniza 4_Balance_ActiFijos" xfId="467" xr:uid="{00000000-0005-0000-0000-0000D3010000}"/>
    <cellStyle name="_Modelo Bocas de Ceniza 4_Balance_ActiFijos_PPT Final" xfId="468" xr:uid="{00000000-0005-0000-0000-0000D4010000}"/>
    <cellStyle name="_Modelo Bocas de Ceniza 4_Balance_ActiFijos_Vida Media ISA_" xfId="469" xr:uid="{00000000-0005-0000-0000-0000D5010000}"/>
    <cellStyle name="_Modelo Bocas de Ceniza 4_Balance_C.M.E." xfId="470" xr:uid="{00000000-0005-0000-0000-0000D6010000}"/>
    <cellStyle name="_Modelo Bocas de Ceniza 4_Balance_C.M.E._PPT Final" xfId="471" xr:uid="{00000000-0005-0000-0000-0000D7010000}"/>
    <cellStyle name="_Modelo Bocas de Ceniza 4_Balance_C.M.E._Vida Media ISA_" xfId="472" xr:uid="{00000000-0005-0000-0000-0000D8010000}"/>
    <cellStyle name="_Modelo Bocas de Ceniza 4_Balance_C.M.L." xfId="473" xr:uid="{00000000-0005-0000-0000-0000D9010000}"/>
    <cellStyle name="_Modelo Bocas de Ceniza 4_Balance_C.M.L._PPT Final" xfId="474" xr:uid="{00000000-0005-0000-0000-0000DA010000}"/>
    <cellStyle name="_Modelo Bocas de Ceniza 4_Balance_C.M.L._Vida Media ISA_" xfId="475" xr:uid="{00000000-0005-0000-0000-0000DB010000}"/>
    <cellStyle name="_Modelo Bocas de Ceniza 4_Balance_EF-2008-07-consolidado" xfId="476" xr:uid="{00000000-0005-0000-0000-0000DC010000}"/>
    <cellStyle name="_Modelo Bocas de Ceniza 4_Balance_EF-2008-08-consolidado" xfId="477" xr:uid="{00000000-0005-0000-0000-0000DD010000}"/>
    <cellStyle name="_Modelo Bocas de Ceniza 4_Balance_EF-2008-09-consolidado" xfId="478" xr:uid="{00000000-0005-0000-0000-0000DE010000}"/>
    <cellStyle name="_Modelo Bocas de Ceniza 4_Balance_EF-2008-10-consolidado" xfId="479" xr:uid="{00000000-0005-0000-0000-0000DF010000}"/>
    <cellStyle name="_Modelo Bocas de Ceniza 4_Balance_EF-2008-11-consolidado" xfId="480" xr:uid="{00000000-0005-0000-0000-0000E0010000}"/>
    <cellStyle name="_Modelo Bocas de Ceniza 4_Balance_EF-2008-12-consolidado" xfId="481" xr:uid="{00000000-0005-0000-0000-0000E1010000}"/>
    <cellStyle name="_Modelo Bocas de Ceniza 4_Balance_EF-2009-03-consolidado" xfId="482" xr:uid="{00000000-0005-0000-0000-0000E2010000}"/>
    <cellStyle name="_Modelo Bocas de Ceniza 4_Balance_Esc.Macro" xfId="483" xr:uid="{00000000-0005-0000-0000-0000E3010000}"/>
    <cellStyle name="_Modelo Bocas de Ceniza 4_Balance_Esc.Macro_PPT Final" xfId="484" xr:uid="{00000000-0005-0000-0000-0000E4010000}"/>
    <cellStyle name="_Modelo Bocas de Ceniza 4_Balance_Esc.Macro_Vida Media ISA_" xfId="485" xr:uid="{00000000-0005-0000-0000-0000E5010000}"/>
    <cellStyle name="_Modelo Bocas de Ceniza 4_Balance_G_Loans" xfId="486" xr:uid="{00000000-0005-0000-0000-0000E6010000}"/>
    <cellStyle name="_Modelo Bocas de Ceniza 4_Balance_G_Loans_PPT Final" xfId="487" xr:uid="{00000000-0005-0000-0000-0000E7010000}"/>
    <cellStyle name="_Modelo Bocas de Ceniza 4_Balance_G_Loans_Vida Media ISA_" xfId="488" xr:uid="{00000000-0005-0000-0000-0000E8010000}"/>
    <cellStyle name="_Modelo Bocas de Ceniza 4_Balance_Libro1" xfId="489" xr:uid="{00000000-0005-0000-0000-0000E9010000}"/>
    <cellStyle name="_Modelo Bocas de Ceniza 4_Balance_PPT Final" xfId="490" xr:uid="{00000000-0005-0000-0000-0000EA010000}"/>
    <cellStyle name="_Modelo Bocas de Ceniza 4_Balance_Vida Media ISA_" xfId="491" xr:uid="{00000000-0005-0000-0000-0000EB010000}"/>
    <cellStyle name="_Modelo Bocas de Ceniza 4_Bases_Generales" xfId="492" xr:uid="{00000000-0005-0000-0000-0000EC010000}"/>
    <cellStyle name="_Modelo Bocas de Ceniza 4_Bases_Generales 2" xfId="493" xr:uid="{00000000-0005-0000-0000-0000ED010000}"/>
    <cellStyle name="_Modelo Bocas de Ceniza 4_Bases_Generales 2_PPT Final" xfId="494" xr:uid="{00000000-0005-0000-0000-0000EE010000}"/>
    <cellStyle name="_Modelo Bocas de Ceniza 4_Bases_Generales 2_Vida Media ISA_" xfId="495" xr:uid="{00000000-0005-0000-0000-0000EF010000}"/>
    <cellStyle name="_Modelo Bocas de Ceniza 4_Bases_Generales 3" xfId="496" xr:uid="{00000000-0005-0000-0000-0000F0010000}"/>
    <cellStyle name="_Modelo Bocas de Ceniza 4_Bases_Generales 3_PPT Final" xfId="497" xr:uid="{00000000-0005-0000-0000-0000F1010000}"/>
    <cellStyle name="_Modelo Bocas de Ceniza 4_Bases_Generales 3_Vida Media ISA_" xfId="498" xr:uid="{00000000-0005-0000-0000-0000F2010000}"/>
    <cellStyle name="_Modelo Bocas de Ceniza 4_Bases_Generales 4" xfId="499" xr:uid="{00000000-0005-0000-0000-0000F3010000}"/>
    <cellStyle name="_Modelo Bocas de Ceniza 4_Bases_Generales 4_PPT Final" xfId="500" xr:uid="{00000000-0005-0000-0000-0000F4010000}"/>
    <cellStyle name="_Modelo Bocas de Ceniza 4_Bases_Generales 4_Vida Media ISA_" xfId="501" xr:uid="{00000000-0005-0000-0000-0000F5010000}"/>
    <cellStyle name="_Modelo Bocas de Ceniza 4_Bases_Generales 5" xfId="502" xr:uid="{00000000-0005-0000-0000-0000F6010000}"/>
    <cellStyle name="_Modelo Bocas de Ceniza 4_Bases_Generales 6" xfId="503" xr:uid="{00000000-0005-0000-0000-0000F7010000}"/>
    <cellStyle name="_Modelo Bocas de Ceniza 4_Bases_Generales 7" xfId="504" xr:uid="{00000000-0005-0000-0000-0000F8010000}"/>
    <cellStyle name="_Modelo Bocas de Ceniza 4_Bases_Generales 8" xfId="505" xr:uid="{00000000-0005-0000-0000-0000F9010000}"/>
    <cellStyle name="_Modelo Bocas de Ceniza 4_Bases_Generales_1" xfId="506" xr:uid="{00000000-0005-0000-0000-0000FA010000}"/>
    <cellStyle name="_Modelo Bocas de Ceniza 4_Bases_Generales_1 2" xfId="507" xr:uid="{00000000-0005-0000-0000-0000FB010000}"/>
    <cellStyle name="_Modelo Bocas de Ceniza 4_Bases_Generales_1 2_PPT Final" xfId="508" xr:uid="{00000000-0005-0000-0000-0000FC010000}"/>
    <cellStyle name="_Modelo Bocas de Ceniza 4_Bases_Generales_1 2_Vida Media ISA_" xfId="509" xr:uid="{00000000-0005-0000-0000-0000FD010000}"/>
    <cellStyle name="_Modelo Bocas de Ceniza 4_Bases_Generales_1 3" xfId="510" xr:uid="{00000000-0005-0000-0000-0000FE010000}"/>
    <cellStyle name="_Modelo Bocas de Ceniza 4_Bases_Generales_1 3_PPT Final" xfId="511" xr:uid="{00000000-0005-0000-0000-0000FF010000}"/>
    <cellStyle name="_Modelo Bocas de Ceniza 4_Bases_Generales_1 3_Vida Media ISA_" xfId="512" xr:uid="{00000000-0005-0000-0000-000000020000}"/>
    <cellStyle name="_Modelo Bocas de Ceniza 4_Bases_Generales_1 4" xfId="513" xr:uid="{00000000-0005-0000-0000-000001020000}"/>
    <cellStyle name="_Modelo Bocas de Ceniza 4_Bases_Generales_1 4_PPT Final" xfId="514" xr:uid="{00000000-0005-0000-0000-000002020000}"/>
    <cellStyle name="_Modelo Bocas de Ceniza 4_Bases_Generales_1 4_Vida Media ISA_" xfId="515" xr:uid="{00000000-0005-0000-0000-000003020000}"/>
    <cellStyle name="_Modelo Bocas de Ceniza 4_Bases_Generales_1 5" xfId="516" xr:uid="{00000000-0005-0000-0000-000004020000}"/>
    <cellStyle name="_Modelo Bocas de Ceniza 4_Bases_Generales_1 6" xfId="517" xr:uid="{00000000-0005-0000-0000-000005020000}"/>
    <cellStyle name="_Modelo Bocas de Ceniza 4_Bases_Generales_1 7" xfId="518" xr:uid="{00000000-0005-0000-0000-000006020000}"/>
    <cellStyle name="_Modelo Bocas de Ceniza 4_Bases_Generales_1 8" xfId="519" xr:uid="{00000000-0005-0000-0000-000007020000}"/>
    <cellStyle name="_Modelo Bocas de Ceniza 4_Bases_Generales_1_ActiFijos" xfId="520" xr:uid="{00000000-0005-0000-0000-000008020000}"/>
    <cellStyle name="_Modelo Bocas de Ceniza 4_Bases_Generales_1_ActiFijos_PPT Final" xfId="521" xr:uid="{00000000-0005-0000-0000-000009020000}"/>
    <cellStyle name="_Modelo Bocas de Ceniza 4_Bases_Generales_1_ActiFijos_Vida Media ISA_" xfId="522" xr:uid="{00000000-0005-0000-0000-00000A020000}"/>
    <cellStyle name="_Modelo Bocas de Ceniza 4_Bases_Generales_1_C.M.E." xfId="523" xr:uid="{00000000-0005-0000-0000-00000B020000}"/>
    <cellStyle name="_Modelo Bocas de Ceniza 4_Bases_Generales_1_C.M.E._PPT Final" xfId="524" xr:uid="{00000000-0005-0000-0000-00000C020000}"/>
    <cellStyle name="_Modelo Bocas de Ceniza 4_Bases_Generales_1_C.M.E._Vida Media ISA_" xfId="525" xr:uid="{00000000-0005-0000-0000-00000D020000}"/>
    <cellStyle name="_Modelo Bocas de Ceniza 4_Bases_Generales_1_C.M.L." xfId="526" xr:uid="{00000000-0005-0000-0000-00000E020000}"/>
    <cellStyle name="_Modelo Bocas de Ceniza 4_Bases_Generales_1_C.M.L._PPT Final" xfId="527" xr:uid="{00000000-0005-0000-0000-00000F020000}"/>
    <cellStyle name="_Modelo Bocas de Ceniza 4_Bases_Generales_1_C.M.L._Vida Media ISA_" xfId="528" xr:uid="{00000000-0005-0000-0000-000010020000}"/>
    <cellStyle name="_Modelo Bocas de Ceniza 4_Bases_Generales_1_Esc.Macro" xfId="529" xr:uid="{00000000-0005-0000-0000-000011020000}"/>
    <cellStyle name="_Modelo Bocas de Ceniza 4_Bases_Generales_1_Esc.Macro_PPT Final" xfId="530" xr:uid="{00000000-0005-0000-0000-000012020000}"/>
    <cellStyle name="_Modelo Bocas de Ceniza 4_Bases_Generales_1_Esc.Macro_Vida Media ISA_" xfId="531" xr:uid="{00000000-0005-0000-0000-000013020000}"/>
    <cellStyle name="_Modelo Bocas de Ceniza 4_Bases_Generales_1_G_Loans" xfId="532" xr:uid="{00000000-0005-0000-0000-000014020000}"/>
    <cellStyle name="_Modelo Bocas de Ceniza 4_Bases_Generales_1_G_Loans_PPT Final" xfId="533" xr:uid="{00000000-0005-0000-0000-000015020000}"/>
    <cellStyle name="_Modelo Bocas de Ceniza 4_Bases_Generales_1_G_Loans_Vida Media ISA_" xfId="534" xr:uid="{00000000-0005-0000-0000-000016020000}"/>
    <cellStyle name="_Modelo Bocas de Ceniza 4_Bases_Generales_1_PPT Final" xfId="535" xr:uid="{00000000-0005-0000-0000-000017020000}"/>
    <cellStyle name="_Modelo Bocas de Ceniza 4_Bases_Generales_1_Vida Media ISA_" xfId="536" xr:uid="{00000000-0005-0000-0000-000018020000}"/>
    <cellStyle name="_Modelo Bocas de Ceniza 4_Bases_Generales_2" xfId="537" xr:uid="{00000000-0005-0000-0000-000019020000}"/>
    <cellStyle name="_Modelo Bocas de Ceniza 4_Bases_Generales_2 2" xfId="538" xr:uid="{00000000-0005-0000-0000-00001A020000}"/>
    <cellStyle name="_Modelo Bocas de Ceniza 4_Bases_Generales_2 3" xfId="539" xr:uid="{00000000-0005-0000-0000-00001B020000}"/>
    <cellStyle name="_Modelo Bocas de Ceniza 4_Bases_Generales_2 4" xfId="540" xr:uid="{00000000-0005-0000-0000-00001C020000}"/>
    <cellStyle name="_Modelo Bocas de Ceniza 4_Bases_Generales_2 5" xfId="541" xr:uid="{00000000-0005-0000-0000-00001D020000}"/>
    <cellStyle name="_Modelo Bocas de Ceniza 4_Bases_Generales_2_ActiFijos" xfId="542" xr:uid="{00000000-0005-0000-0000-00001E020000}"/>
    <cellStyle name="_Modelo Bocas de Ceniza 4_Bases_Generales_2_ActiFijos_PPT Final" xfId="543" xr:uid="{00000000-0005-0000-0000-00001F020000}"/>
    <cellStyle name="_Modelo Bocas de Ceniza 4_Bases_Generales_2_ActiFijos_Vida Media ISA_" xfId="544" xr:uid="{00000000-0005-0000-0000-000020020000}"/>
    <cellStyle name="_Modelo Bocas de Ceniza 4_Bases_Generales_2_PPT Final" xfId="545" xr:uid="{00000000-0005-0000-0000-000021020000}"/>
    <cellStyle name="_Modelo Bocas de Ceniza 4_Bases_Generales_2_Vida Media ISA_" xfId="546" xr:uid="{00000000-0005-0000-0000-000022020000}"/>
    <cellStyle name="_Modelo Bocas de Ceniza 4_Bases_Generales_ActiFijos" xfId="547" xr:uid="{00000000-0005-0000-0000-000023020000}"/>
    <cellStyle name="_Modelo Bocas de Ceniza 4_Bases_Generales_ActiFijos_PPT Final" xfId="548" xr:uid="{00000000-0005-0000-0000-000024020000}"/>
    <cellStyle name="_Modelo Bocas de Ceniza 4_Bases_Generales_ActiFijos_Vida Media ISA_" xfId="549" xr:uid="{00000000-0005-0000-0000-000025020000}"/>
    <cellStyle name="_Modelo Bocas de Ceniza 4_Bases_Generales_Bases_Generales" xfId="550" xr:uid="{00000000-0005-0000-0000-000026020000}"/>
    <cellStyle name="_Modelo Bocas de Ceniza 4_Bases_Generales_C.M.E." xfId="551" xr:uid="{00000000-0005-0000-0000-000027020000}"/>
    <cellStyle name="_Modelo Bocas de Ceniza 4_Bases_Generales_C.M.E._PPT Final" xfId="552" xr:uid="{00000000-0005-0000-0000-000028020000}"/>
    <cellStyle name="_Modelo Bocas de Ceniza 4_Bases_Generales_C.M.E._Vida Media ISA_" xfId="553" xr:uid="{00000000-0005-0000-0000-000029020000}"/>
    <cellStyle name="_Modelo Bocas de Ceniza 4_Bases_Generales_C.M.L." xfId="554" xr:uid="{00000000-0005-0000-0000-00002A020000}"/>
    <cellStyle name="_Modelo Bocas de Ceniza 4_Bases_Generales_C.M.L._PPT Final" xfId="555" xr:uid="{00000000-0005-0000-0000-00002B020000}"/>
    <cellStyle name="_Modelo Bocas de Ceniza 4_Bases_Generales_C.M.L._Vida Media ISA_" xfId="556" xr:uid="{00000000-0005-0000-0000-00002C020000}"/>
    <cellStyle name="_Modelo Bocas de Ceniza 4_Bases_Generales_EF-2008-07-consolidado" xfId="557" xr:uid="{00000000-0005-0000-0000-00002D020000}"/>
    <cellStyle name="_Modelo Bocas de Ceniza 4_Bases_Generales_EF-2008-08-consolidado" xfId="558" xr:uid="{00000000-0005-0000-0000-00002E020000}"/>
    <cellStyle name="_Modelo Bocas de Ceniza 4_Bases_Generales_EF-2008-09-consolidado" xfId="559" xr:uid="{00000000-0005-0000-0000-00002F020000}"/>
    <cellStyle name="_Modelo Bocas de Ceniza 4_Bases_Generales_EF-2008-10-consolidado" xfId="560" xr:uid="{00000000-0005-0000-0000-000030020000}"/>
    <cellStyle name="_Modelo Bocas de Ceniza 4_Bases_Generales_EF-2008-11-consolidado" xfId="561" xr:uid="{00000000-0005-0000-0000-000031020000}"/>
    <cellStyle name="_Modelo Bocas de Ceniza 4_Bases_Generales_EF-2008-12-consolidado" xfId="562" xr:uid="{00000000-0005-0000-0000-000032020000}"/>
    <cellStyle name="_Modelo Bocas de Ceniza 4_Bases_Generales_EF-2009-03-consolidado" xfId="563" xr:uid="{00000000-0005-0000-0000-000033020000}"/>
    <cellStyle name="_Modelo Bocas de Ceniza 4_Bases_Generales_Esc.Macro" xfId="564" xr:uid="{00000000-0005-0000-0000-000034020000}"/>
    <cellStyle name="_Modelo Bocas de Ceniza 4_Bases_Generales_Esc.Macro_PPT Final" xfId="565" xr:uid="{00000000-0005-0000-0000-000035020000}"/>
    <cellStyle name="_Modelo Bocas de Ceniza 4_Bases_Generales_Esc.Macro_Vida Media ISA_" xfId="566" xr:uid="{00000000-0005-0000-0000-000036020000}"/>
    <cellStyle name="_Modelo Bocas de Ceniza 4_Bases_Generales_G_Loans" xfId="567" xr:uid="{00000000-0005-0000-0000-000037020000}"/>
    <cellStyle name="_Modelo Bocas de Ceniza 4_Bases_Generales_G_Loans_PPT Final" xfId="568" xr:uid="{00000000-0005-0000-0000-000038020000}"/>
    <cellStyle name="_Modelo Bocas de Ceniza 4_Bases_Generales_G_Loans_Vida Media ISA_" xfId="569" xr:uid="{00000000-0005-0000-0000-000039020000}"/>
    <cellStyle name="_Modelo Bocas de Ceniza 4_Bases_Generales_Libro1" xfId="570" xr:uid="{00000000-0005-0000-0000-00003A020000}"/>
    <cellStyle name="_Modelo Bocas de Ceniza 4_Bases_Generales_PPT Final" xfId="571" xr:uid="{00000000-0005-0000-0000-00003B020000}"/>
    <cellStyle name="_Modelo Bocas de Ceniza 4_Bases_Generales_PyG" xfId="572" xr:uid="{00000000-0005-0000-0000-00003C020000}"/>
    <cellStyle name="_Modelo Bocas de Ceniza 4_Bases_Generales_Vida Media ISA_" xfId="573" xr:uid="{00000000-0005-0000-0000-00003D020000}"/>
    <cellStyle name="_Modelo Bocas de Ceniza 4_Caja2007" xfId="574" xr:uid="{00000000-0005-0000-0000-00003E020000}"/>
    <cellStyle name="_Modelo Bocas de Ceniza 4_Caja2007 2" xfId="575" xr:uid="{00000000-0005-0000-0000-00003F020000}"/>
    <cellStyle name="_Modelo Bocas de Ceniza 4_Caja2007 2_PPT Final" xfId="576" xr:uid="{00000000-0005-0000-0000-000040020000}"/>
    <cellStyle name="_Modelo Bocas de Ceniza 4_Caja2007 2_Vida Media ISA_" xfId="577" xr:uid="{00000000-0005-0000-0000-000041020000}"/>
    <cellStyle name="_Modelo Bocas de Ceniza 4_Caja2007 3" xfId="578" xr:uid="{00000000-0005-0000-0000-000042020000}"/>
    <cellStyle name="_Modelo Bocas de Ceniza 4_Caja2007 3_PPT Final" xfId="579" xr:uid="{00000000-0005-0000-0000-000043020000}"/>
    <cellStyle name="_Modelo Bocas de Ceniza 4_Caja2007 3_Vida Media ISA_" xfId="580" xr:uid="{00000000-0005-0000-0000-000044020000}"/>
    <cellStyle name="_Modelo Bocas de Ceniza 4_Caja2007 4" xfId="581" xr:uid="{00000000-0005-0000-0000-000045020000}"/>
    <cellStyle name="_Modelo Bocas de Ceniza 4_Caja2007 4_PPT Final" xfId="582" xr:uid="{00000000-0005-0000-0000-000046020000}"/>
    <cellStyle name="_Modelo Bocas de Ceniza 4_Caja2007 4_Vida Media ISA_" xfId="583" xr:uid="{00000000-0005-0000-0000-000047020000}"/>
    <cellStyle name="_Modelo Bocas de Ceniza 4_Caja2007 5" xfId="584" xr:uid="{00000000-0005-0000-0000-000048020000}"/>
    <cellStyle name="_Modelo Bocas de Ceniza 4_Caja2007 6" xfId="585" xr:uid="{00000000-0005-0000-0000-000049020000}"/>
    <cellStyle name="_Modelo Bocas de Ceniza 4_Caja2007 7" xfId="586" xr:uid="{00000000-0005-0000-0000-00004A020000}"/>
    <cellStyle name="_Modelo Bocas de Ceniza 4_Caja2007 8" xfId="587" xr:uid="{00000000-0005-0000-0000-00004B020000}"/>
    <cellStyle name="_Modelo Bocas de Ceniza 4_Caja2007_ActiFijos" xfId="588" xr:uid="{00000000-0005-0000-0000-00004C020000}"/>
    <cellStyle name="_Modelo Bocas de Ceniza 4_Caja2007_ActiFijos_PPT Final" xfId="589" xr:uid="{00000000-0005-0000-0000-00004D020000}"/>
    <cellStyle name="_Modelo Bocas de Ceniza 4_Caja2007_ActiFijos_Vida Media ISA_" xfId="590" xr:uid="{00000000-0005-0000-0000-00004E020000}"/>
    <cellStyle name="_Modelo Bocas de Ceniza 4_Caja2007_C.M.E." xfId="591" xr:uid="{00000000-0005-0000-0000-00004F020000}"/>
    <cellStyle name="_Modelo Bocas de Ceniza 4_Caja2007_C.M.E._PPT Final" xfId="592" xr:uid="{00000000-0005-0000-0000-000050020000}"/>
    <cellStyle name="_Modelo Bocas de Ceniza 4_Caja2007_C.M.E._Vida Media ISA_" xfId="593" xr:uid="{00000000-0005-0000-0000-000051020000}"/>
    <cellStyle name="_Modelo Bocas de Ceniza 4_Caja2007_C.M.L." xfId="594" xr:uid="{00000000-0005-0000-0000-000052020000}"/>
    <cellStyle name="_Modelo Bocas de Ceniza 4_Caja2007_C.M.L._PPT Final" xfId="595" xr:uid="{00000000-0005-0000-0000-000053020000}"/>
    <cellStyle name="_Modelo Bocas de Ceniza 4_Caja2007_C.M.L._Vida Media ISA_" xfId="596" xr:uid="{00000000-0005-0000-0000-000054020000}"/>
    <cellStyle name="_Modelo Bocas de Ceniza 4_Caja2007_EF-2008-07-consolidado" xfId="597" xr:uid="{00000000-0005-0000-0000-000055020000}"/>
    <cellStyle name="_Modelo Bocas de Ceniza 4_Caja2007_EF-2008-08-consolidado" xfId="598" xr:uid="{00000000-0005-0000-0000-000056020000}"/>
    <cellStyle name="_Modelo Bocas de Ceniza 4_Caja2007_EF-2008-09-consolidado" xfId="599" xr:uid="{00000000-0005-0000-0000-000057020000}"/>
    <cellStyle name="_Modelo Bocas de Ceniza 4_Caja2007_EF-2008-10-consolidado" xfId="600" xr:uid="{00000000-0005-0000-0000-000058020000}"/>
    <cellStyle name="_Modelo Bocas de Ceniza 4_Caja2007_EF-2008-11-consolidado" xfId="601" xr:uid="{00000000-0005-0000-0000-000059020000}"/>
    <cellStyle name="_Modelo Bocas de Ceniza 4_Caja2007_EF-2008-12-consolidado" xfId="602" xr:uid="{00000000-0005-0000-0000-00005A020000}"/>
    <cellStyle name="_Modelo Bocas de Ceniza 4_Caja2007_EF-2009-03-consolidado" xfId="603" xr:uid="{00000000-0005-0000-0000-00005B020000}"/>
    <cellStyle name="_Modelo Bocas de Ceniza 4_Caja2007_Esc.Macro" xfId="604" xr:uid="{00000000-0005-0000-0000-00005C020000}"/>
    <cellStyle name="_Modelo Bocas de Ceniza 4_Caja2007_Esc.Macro_PPT Final" xfId="605" xr:uid="{00000000-0005-0000-0000-00005D020000}"/>
    <cellStyle name="_Modelo Bocas de Ceniza 4_Caja2007_Esc.Macro_Vida Media ISA_" xfId="606" xr:uid="{00000000-0005-0000-0000-00005E020000}"/>
    <cellStyle name="_Modelo Bocas de Ceniza 4_Caja2007_G_Loans" xfId="607" xr:uid="{00000000-0005-0000-0000-00005F020000}"/>
    <cellStyle name="_Modelo Bocas de Ceniza 4_Caja2007_G_Loans_PPT Final" xfId="608" xr:uid="{00000000-0005-0000-0000-000060020000}"/>
    <cellStyle name="_Modelo Bocas de Ceniza 4_Caja2007_G_Loans_Vida Media ISA_" xfId="609" xr:uid="{00000000-0005-0000-0000-000061020000}"/>
    <cellStyle name="_Modelo Bocas de Ceniza 4_Caja2007_Libro1" xfId="610" xr:uid="{00000000-0005-0000-0000-000062020000}"/>
    <cellStyle name="_Modelo Bocas de Ceniza 4_Caja2007_PPT Final" xfId="611" xr:uid="{00000000-0005-0000-0000-000063020000}"/>
    <cellStyle name="_Modelo Bocas de Ceniza 4_Caja2007_Vida Media ISA_" xfId="612" xr:uid="{00000000-0005-0000-0000-000064020000}"/>
    <cellStyle name="_Modelo Bocas de Ceniza 4_EF-2008-07-consolidado" xfId="613" xr:uid="{00000000-0005-0000-0000-000065020000}"/>
    <cellStyle name="_Modelo Bocas de Ceniza 4_EF-2008-08-consolidado" xfId="614" xr:uid="{00000000-0005-0000-0000-000066020000}"/>
    <cellStyle name="_Modelo Bocas de Ceniza 4_EF-2008-09-consolidado" xfId="615" xr:uid="{00000000-0005-0000-0000-000067020000}"/>
    <cellStyle name="_Modelo Bocas de Ceniza 4_EF-2008-10-consolidado" xfId="616" xr:uid="{00000000-0005-0000-0000-000068020000}"/>
    <cellStyle name="_Modelo Bocas de Ceniza 4_EF-2008-11-consolidado" xfId="617" xr:uid="{00000000-0005-0000-0000-000069020000}"/>
    <cellStyle name="_Modelo Bocas de Ceniza 4_EF-2008-12-consolidado" xfId="618" xr:uid="{00000000-0005-0000-0000-00006A020000}"/>
    <cellStyle name="_Modelo Bocas de Ceniza 4_EF-2009-03-consolidado" xfId="619" xr:uid="{00000000-0005-0000-0000-00006B020000}"/>
    <cellStyle name="_Modelo Bocas de Ceniza 4_ER08" xfId="620" xr:uid="{00000000-0005-0000-0000-00006C020000}"/>
    <cellStyle name="_Modelo Bocas de Ceniza 4_ER08 2" xfId="621" xr:uid="{00000000-0005-0000-0000-00006D020000}"/>
    <cellStyle name="_Modelo Bocas de Ceniza 4_ER08 2_PPT Final" xfId="622" xr:uid="{00000000-0005-0000-0000-00006E020000}"/>
    <cellStyle name="_Modelo Bocas de Ceniza 4_ER08 2_Vida Media ISA_" xfId="623" xr:uid="{00000000-0005-0000-0000-00006F020000}"/>
    <cellStyle name="_Modelo Bocas de Ceniza 4_ER08 3" xfId="624" xr:uid="{00000000-0005-0000-0000-000070020000}"/>
    <cellStyle name="_Modelo Bocas de Ceniza 4_ER08 3_PPT Final" xfId="625" xr:uid="{00000000-0005-0000-0000-000071020000}"/>
    <cellStyle name="_Modelo Bocas de Ceniza 4_ER08 3_Vida Media ISA_" xfId="626" xr:uid="{00000000-0005-0000-0000-000072020000}"/>
    <cellStyle name="_Modelo Bocas de Ceniza 4_ER08 4" xfId="627" xr:uid="{00000000-0005-0000-0000-000073020000}"/>
    <cellStyle name="_Modelo Bocas de Ceniza 4_ER08 4_PPT Final" xfId="628" xr:uid="{00000000-0005-0000-0000-000074020000}"/>
    <cellStyle name="_Modelo Bocas de Ceniza 4_ER08 4_Vida Media ISA_" xfId="629" xr:uid="{00000000-0005-0000-0000-000075020000}"/>
    <cellStyle name="_Modelo Bocas de Ceniza 4_ER08 5" xfId="630" xr:uid="{00000000-0005-0000-0000-000076020000}"/>
    <cellStyle name="_Modelo Bocas de Ceniza 4_ER08 6" xfId="631" xr:uid="{00000000-0005-0000-0000-000077020000}"/>
    <cellStyle name="_Modelo Bocas de Ceniza 4_ER08 7" xfId="632" xr:uid="{00000000-0005-0000-0000-000078020000}"/>
    <cellStyle name="_Modelo Bocas de Ceniza 4_ER08 8" xfId="633" xr:uid="{00000000-0005-0000-0000-000079020000}"/>
    <cellStyle name="_Modelo Bocas de Ceniza 4_ER08_ActiFijos" xfId="634" xr:uid="{00000000-0005-0000-0000-00007A020000}"/>
    <cellStyle name="_Modelo Bocas de Ceniza 4_ER08_ActiFijos_PPT Final" xfId="635" xr:uid="{00000000-0005-0000-0000-00007B020000}"/>
    <cellStyle name="_Modelo Bocas de Ceniza 4_ER08_ActiFijos_Vida Media ISA_" xfId="636" xr:uid="{00000000-0005-0000-0000-00007C020000}"/>
    <cellStyle name="_Modelo Bocas de Ceniza 4_ER08_C.M.E." xfId="637" xr:uid="{00000000-0005-0000-0000-00007D020000}"/>
    <cellStyle name="_Modelo Bocas de Ceniza 4_ER08_C.M.E._PPT Final" xfId="638" xr:uid="{00000000-0005-0000-0000-00007E020000}"/>
    <cellStyle name="_Modelo Bocas de Ceniza 4_ER08_C.M.E._Vida Media ISA_" xfId="639" xr:uid="{00000000-0005-0000-0000-00007F020000}"/>
    <cellStyle name="_Modelo Bocas de Ceniza 4_ER08_C.M.L." xfId="640" xr:uid="{00000000-0005-0000-0000-000080020000}"/>
    <cellStyle name="_Modelo Bocas de Ceniza 4_ER08_C.M.L._PPT Final" xfId="641" xr:uid="{00000000-0005-0000-0000-000081020000}"/>
    <cellStyle name="_Modelo Bocas de Ceniza 4_ER08_C.M.L._Vida Media ISA_" xfId="642" xr:uid="{00000000-0005-0000-0000-000082020000}"/>
    <cellStyle name="_Modelo Bocas de Ceniza 4_ER08_Esc.Macro" xfId="643" xr:uid="{00000000-0005-0000-0000-000083020000}"/>
    <cellStyle name="_Modelo Bocas de Ceniza 4_ER08_Esc.Macro_PPT Final" xfId="644" xr:uid="{00000000-0005-0000-0000-000084020000}"/>
    <cellStyle name="_Modelo Bocas de Ceniza 4_ER08_Esc.Macro_Vida Media ISA_" xfId="645" xr:uid="{00000000-0005-0000-0000-000085020000}"/>
    <cellStyle name="_Modelo Bocas de Ceniza 4_ER08_G_Loans" xfId="646" xr:uid="{00000000-0005-0000-0000-000086020000}"/>
    <cellStyle name="_Modelo Bocas de Ceniza 4_ER08_G_Loans_PPT Final" xfId="647" xr:uid="{00000000-0005-0000-0000-000087020000}"/>
    <cellStyle name="_Modelo Bocas de Ceniza 4_ER08_G_Loans_Vida Media ISA_" xfId="648" xr:uid="{00000000-0005-0000-0000-000088020000}"/>
    <cellStyle name="_Modelo Bocas de Ceniza 4_ER08_PPT Final" xfId="649" xr:uid="{00000000-0005-0000-0000-000089020000}"/>
    <cellStyle name="_Modelo Bocas de Ceniza 4_ER08_Vida Media ISA_" xfId="650" xr:uid="{00000000-0005-0000-0000-00008A020000}"/>
    <cellStyle name="_Modelo Bocas de Ceniza 4_Indicadores" xfId="651" xr:uid="{00000000-0005-0000-0000-00008B020000}"/>
    <cellStyle name="_Modelo Bocas de Ceniza 4_Indicadores 2" xfId="652" xr:uid="{00000000-0005-0000-0000-00008C020000}"/>
    <cellStyle name="_Modelo Bocas de Ceniza 4_Indicadores 2_PPT Final" xfId="653" xr:uid="{00000000-0005-0000-0000-00008D020000}"/>
    <cellStyle name="_Modelo Bocas de Ceniza 4_Indicadores 2_Vida Media ISA_" xfId="654" xr:uid="{00000000-0005-0000-0000-00008E020000}"/>
    <cellStyle name="_Modelo Bocas de Ceniza 4_Indicadores 3" xfId="655" xr:uid="{00000000-0005-0000-0000-00008F020000}"/>
    <cellStyle name="_Modelo Bocas de Ceniza 4_Indicadores 3_PPT Final" xfId="656" xr:uid="{00000000-0005-0000-0000-000090020000}"/>
    <cellStyle name="_Modelo Bocas de Ceniza 4_Indicadores 3_Vida Media ISA_" xfId="657" xr:uid="{00000000-0005-0000-0000-000091020000}"/>
    <cellStyle name="_Modelo Bocas de Ceniza 4_Indicadores 4" xfId="658" xr:uid="{00000000-0005-0000-0000-000092020000}"/>
    <cellStyle name="_Modelo Bocas de Ceniza 4_Indicadores 4_PPT Final" xfId="659" xr:uid="{00000000-0005-0000-0000-000093020000}"/>
    <cellStyle name="_Modelo Bocas de Ceniza 4_Indicadores 4_Vida Media ISA_" xfId="660" xr:uid="{00000000-0005-0000-0000-000094020000}"/>
    <cellStyle name="_Modelo Bocas de Ceniza 4_Indicadores 5" xfId="661" xr:uid="{00000000-0005-0000-0000-000095020000}"/>
    <cellStyle name="_Modelo Bocas de Ceniza 4_Indicadores 6" xfId="662" xr:uid="{00000000-0005-0000-0000-000096020000}"/>
    <cellStyle name="_Modelo Bocas de Ceniza 4_Indicadores 7" xfId="663" xr:uid="{00000000-0005-0000-0000-000097020000}"/>
    <cellStyle name="_Modelo Bocas de Ceniza 4_Indicadores 8" xfId="664" xr:uid="{00000000-0005-0000-0000-000098020000}"/>
    <cellStyle name="_Modelo Bocas de Ceniza 4_Indicadores_ActiFijos" xfId="665" xr:uid="{00000000-0005-0000-0000-000099020000}"/>
    <cellStyle name="_Modelo Bocas de Ceniza 4_Indicadores_ActiFijos_PPT Final" xfId="666" xr:uid="{00000000-0005-0000-0000-00009A020000}"/>
    <cellStyle name="_Modelo Bocas de Ceniza 4_Indicadores_ActiFijos_Vida Media ISA_" xfId="667" xr:uid="{00000000-0005-0000-0000-00009B020000}"/>
    <cellStyle name="_Modelo Bocas de Ceniza 4_Indicadores_C.M.E." xfId="668" xr:uid="{00000000-0005-0000-0000-00009C020000}"/>
    <cellStyle name="_Modelo Bocas de Ceniza 4_Indicadores_C.M.E._PPT Final" xfId="669" xr:uid="{00000000-0005-0000-0000-00009D020000}"/>
    <cellStyle name="_Modelo Bocas de Ceniza 4_Indicadores_C.M.E._Vida Media ISA_" xfId="670" xr:uid="{00000000-0005-0000-0000-00009E020000}"/>
    <cellStyle name="_Modelo Bocas de Ceniza 4_Indicadores_C.M.L." xfId="671" xr:uid="{00000000-0005-0000-0000-00009F020000}"/>
    <cellStyle name="_Modelo Bocas de Ceniza 4_Indicadores_C.M.L._PPT Final" xfId="672" xr:uid="{00000000-0005-0000-0000-0000A0020000}"/>
    <cellStyle name="_Modelo Bocas de Ceniza 4_Indicadores_C.M.L._Vida Media ISA_" xfId="673" xr:uid="{00000000-0005-0000-0000-0000A1020000}"/>
    <cellStyle name="_Modelo Bocas de Ceniza 4_Indicadores_Esc.Macro" xfId="674" xr:uid="{00000000-0005-0000-0000-0000A2020000}"/>
    <cellStyle name="_Modelo Bocas de Ceniza 4_Indicadores_Esc.Macro_PPT Final" xfId="675" xr:uid="{00000000-0005-0000-0000-0000A3020000}"/>
    <cellStyle name="_Modelo Bocas de Ceniza 4_Indicadores_Esc.Macro_Vida Media ISA_" xfId="676" xr:uid="{00000000-0005-0000-0000-0000A4020000}"/>
    <cellStyle name="_Modelo Bocas de Ceniza 4_Indicadores_G_Loans" xfId="677" xr:uid="{00000000-0005-0000-0000-0000A5020000}"/>
    <cellStyle name="_Modelo Bocas de Ceniza 4_Indicadores_G_Loans_PPT Final" xfId="678" xr:uid="{00000000-0005-0000-0000-0000A6020000}"/>
    <cellStyle name="_Modelo Bocas de Ceniza 4_Indicadores_G_Loans_Vida Media ISA_" xfId="679" xr:uid="{00000000-0005-0000-0000-0000A7020000}"/>
    <cellStyle name="_Modelo Bocas de Ceniza 4_Indicadores_PPT Final" xfId="680" xr:uid="{00000000-0005-0000-0000-0000A8020000}"/>
    <cellStyle name="_Modelo Bocas de Ceniza 4_Indicadores_Vida Media ISA_" xfId="681" xr:uid="{00000000-0005-0000-0000-0000A9020000}"/>
    <cellStyle name="_Modelo Bocas de Ceniza 4_Libro1" xfId="682" xr:uid="{00000000-0005-0000-0000-0000AA020000}"/>
    <cellStyle name="_Modelo Bocas de Ceniza 4_Mov Balance" xfId="683" xr:uid="{00000000-0005-0000-0000-0000AB020000}"/>
    <cellStyle name="_Modelo Bocas de Ceniza 4_Mov Balance 2" xfId="684" xr:uid="{00000000-0005-0000-0000-0000AC020000}"/>
    <cellStyle name="_Modelo Bocas de Ceniza 4_Mov Balance 2_PPT Final" xfId="685" xr:uid="{00000000-0005-0000-0000-0000AD020000}"/>
    <cellStyle name="_Modelo Bocas de Ceniza 4_Mov Balance 2_Vida Media ISA_" xfId="686" xr:uid="{00000000-0005-0000-0000-0000AE020000}"/>
    <cellStyle name="_Modelo Bocas de Ceniza 4_Mov Balance 3" xfId="687" xr:uid="{00000000-0005-0000-0000-0000AF020000}"/>
    <cellStyle name="_Modelo Bocas de Ceniza 4_Mov Balance 3_PPT Final" xfId="688" xr:uid="{00000000-0005-0000-0000-0000B0020000}"/>
    <cellStyle name="_Modelo Bocas de Ceniza 4_Mov Balance 3_Vida Media ISA_" xfId="689" xr:uid="{00000000-0005-0000-0000-0000B1020000}"/>
    <cellStyle name="_Modelo Bocas de Ceniza 4_Mov Balance 4" xfId="690" xr:uid="{00000000-0005-0000-0000-0000B2020000}"/>
    <cellStyle name="_Modelo Bocas de Ceniza 4_Mov Balance 4_PPT Final" xfId="691" xr:uid="{00000000-0005-0000-0000-0000B3020000}"/>
    <cellStyle name="_Modelo Bocas de Ceniza 4_Mov Balance 4_Vida Media ISA_" xfId="692" xr:uid="{00000000-0005-0000-0000-0000B4020000}"/>
    <cellStyle name="_Modelo Bocas de Ceniza 4_Mov Balance 5" xfId="693" xr:uid="{00000000-0005-0000-0000-0000B5020000}"/>
    <cellStyle name="_Modelo Bocas de Ceniza 4_Mov Balance 6" xfId="694" xr:uid="{00000000-0005-0000-0000-0000B6020000}"/>
    <cellStyle name="_Modelo Bocas de Ceniza 4_Mov Balance 7" xfId="695" xr:uid="{00000000-0005-0000-0000-0000B7020000}"/>
    <cellStyle name="_Modelo Bocas de Ceniza 4_Mov Balance 8" xfId="696" xr:uid="{00000000-0005-0000-0000-0000B8020000}"/>
    <cellStyle name="_Modelo Bocas de Ceniza 4_Mov Balance_ActiFijos" xfId="697" xr:uid="{00000000-0005-0000-0000-0000B9020000}"/>
    <cellStyle name="_Modelo Bocas de Ceniza 4_Mov Balance_ActiFijos_PPT Final" xfId="698" xr:uid="{00000000-0005-0000-0000-0000BA020000}"/>
    <cellStyle name="_Modelo Bocas de Ceniza 4_Mov Balance_ActiFijos_Vida Media ISA_" xfId="699" xr:uid="{00000000-0005-0000-0000-0000BB020000}"/>
    <cellStyle name="_Modelo Bocas de Ceniza 4_Mov Balance_C.M.E." xfId="700" xr:uid="{00000000-0005-0000-0000-0000BC020000}"/>
    <cellStyle name="_Modelo Bocas de Ceniza 4_Mov Balance_C.M.E._PPT Final" xfId="701" xr:uid="{00000000-0005-0000-0000-0000BD020000}"/>
    <cellStyle name="_Modelo Bocas de Ceniza 4_Mov Balance_C.M.E._Vida Media ISA_" xfId="702" xr:uid="{00000000-0005-0000-0000-0000BE020000}"/>
    <cellStyle name="_Modelo Bocas de Ceniza 4_Mov Balance_C.M.L." xfId="703" xr:uid="{00000000-0005-0000-0000-0000BF020000}"/>
    <cellStyle name="_Modelo Bocas de Ceniza 4_Mov Balance_C.M.L._PPT Final" xfId="704" xr:uid="{00000000-0005-0000-0000-0000C0020000}"/>
    <cellStyle name="_Modelo Bocas de Ceniza 4_Mov Balance_C.M.L._Vida Media ISA_" xfId="705" xr:uid="{00000000-0005-0000-0000-0000C1020000}"/>
    <cellStyle name="_Modelo Bocas de Ceniza 4_Mov Balance_EF-2008-07-consolidado" xfId="706" xr:uid="{00000000-0005-0000-0000-0000C2020000}"/>
    <cellStyle name="_Modelo Bocas de Ceniza 4_Mov Balance_EF-2008-08-consolidado" xfId="707" xr:uid="{00000000-0005-0000-0000-0000C3020000}"/>
    <cellStyle name="_Modelo Bocas de Ceniza 4_Mov Balance_EF-2008-09-consolidado" xfId="708" xr:uid="{00000000-0005-0000-0000-0000C4020000}"/>
    <cellStyle name="_Modelo Bocas de Ceniza 4_Mov Balance_EF-2008-10-consolidado" xfId="709" xr:uid="{00000000-0005-0000-0000-0000C5020000}"/>
    <cellStyle name="_Modelo Bocas de Ceniza 4_Mov Balance_EF-2008-11-consolidado" xfId="710" xr:uid="{00000000-0005-0000-0000-0000C6020000}"/>
    <cellStyle name="_Modelo Bocas de Ceniza 4_Mov Balance_EF-2008-12-consolidado" xfId="711" xr:uid="{00000000-0005-0000-0000-0000C7020000}"/>
    <cellStyle name="_Modelo Bocas de Ceniza 4_Mov Balance_EF-2009-03-consolidado" xfId="712" xr:uid="{00000000-0005-0000-0000-0000C8020000}"/>
    <cellStyle name="_Modelo Bocas de Ceniza 4_Mov Balance_Esc.Macro" xfId="713" xr:uid="{00000000-0005-0000-0000-0000C9020000}"/>
    <cellStyle name="_Modelo Bocas de Ceniza 4_Mov Balance_Esc.Macro_PPT Final" xfId="714" xr:uid="{00000000-0005-0000-0000-0000CA020000}"/>
    <cellStyle name="_Modelo Bocas de Ceniza 4_Mov Balance_Esc.Macro_Vida Media ISA_" xfId="715" xr:uid="{00000000-0005-0000-0000-0000CB020000}"/>
    <cellStyle name="_Modelo Bocas de Ceniza 4_Mov Balance_G_Loans" xfId="716" xr:uid="{00000000-0005-0000-0000-0000CC020000}"/>
    <cellStyle name="_Modelo Bocas de Ceniza 4_Mov Balance_G_Loans_PPT Final" xfId="717" xr:uid="{00000000-0005-0000-0000-0000CD020000}"/>
    <cellStyle name="_Modelo Bocas de Ceniza 4_Mov Balance_G_Loans_Vida Media ISA_" xfId="718" xr:uid="{00000000-0005-0000-0000-0000CE020000}"/>
    <cellStyle name="_Modelo Bocas de Ceniza 4_Mov Balance_Libro1" xfId="719" xr:uid="{00000000-0005-0000-0000-0000CF020000}"/>
    <cellStyle name="_Modelo Bocas de Ceniza 4_Mov Balance_PPT Final" xfId="720" xr:uid="{00000000-0005-0000-0000-0000D0020000}"/>
    <cellStyle name="_Modelo Bocas de Ceniza 4_Mov Balance_Vida Media ISA_" xfId="721" xr:uid="{00000000-0005-0000-0000-0000D1020000}"/>
    <cellStyle name="_Modelo Bocas de Ceniza 4_PPT Final" xfId="722" xr:uid="{00000000-0005-0000-0000-0000D2020000}"/>
    <cellStyle name="_Modelo Bocas de Ceniza 4_Renta" xfId="723" xr:uid="{00000000-0005-0000-0000-0000D3020000}"/>
    <cellStyle name="_Modelo Bocas de Ceniza 4_Renta 2" xfId="724" xr:uid="{00000000-0005-0000-0000-0000D4020000}"/>
    <cellStyle name="_Modelo Bocas de Ceniza 4_Renta 3" xfId="725" xr:uid="{00000000-0005-0000-0000-0000D5020000}"/>
    <cellStyle name="_Modelo Bocas de Ceniza 4_Vida Media ISA_" xfId="726" xr:uid="{00000000-0005-0000-0000-0000D6020000}"/>
    <cellStyle name="_x0001__x0004__x0001_” " xfId="727" xr:uid="{00000000-0005-0000-0000-0000D7020000}"/>
    <cellStyle name="_x0001__x0004__x0001_”  10" xfId="3770" xr:uid="{00000000-0005-0000-0000-0000BA0E0000}"/>
    <cellStyle name="_x0001__x0004__x0001_”  2" xfId="728" xr:uid="{00000000-0005-0000-0000-0000D8020000}"/>
    <cellStyle name="_x0001__x0004__x0001_”  2 2" xfId="3980" xr:uid="{00000000-0005-0000-0000-00008C0F0000}"/>
    <cellStyle name="_x0001__x0004__x0001_”  2 3" xfId="3771" xr:uid="{00000000-0005-0000-0000-0000BB0E0000}"/>
    <cellStyle name="_x0001__x0004__x0001_”  3" xfId="729" xr:uid="{00000000-0005-0000-0000-0000D9020000}"/>
    <cellStyle name="_x0001__x0004__x0001_”  3 2" xfId="3981" xr:uid="{00000000-0005-0000-0000-00008D0F0000}"/>
    <cellStyle name="_x0001__x0004__x0001_”  3 3" xfId="3772" xr:uid="{00000000-0005-0000-0000-0000BC0E0000}"/>
    <cellStyle name="_x0001__x0004__x0001_”  4" xfId="730" xr:uid="{00000000-0005-0000-0000-0000DA020000}"/>
    <cellStyle name="_x0001__x0004__x0001_”  4 2" xfId="3982" xr:uid="{00000000-0005-0000-0000-00008E0F0000}"/>
    <cellStyle name="_x0001__x0004__x0001_”  4 3" xfId="3773" xr:uid="{00000000-0005-0000-0000-0000BD0E0000}"/>
    <cellStyle name="_x0001__x0004__x0001_”  5" xfId="731" xr:uid="{00000000-0005-0000-0000-0000DB020000}"/>
    <cellStyle name="_x0001__x0004__x0001_”  5 2" xfId="732" xr:uid="{00000000-0005-0000-0000-0000DC020000}"/>
    <cellStyle name="_x0001__x0004__x0001_”  5 2 2" xfId="3983" xr:uid="{00000000-0005-0000-0000-00008F0F0000}"/>
    <cellStyle name="_x0001__x0004__x0001_”  5 2 3" xfId="3775" xr:uid="{00000000-0005-0000-0000-0000BF0E0000}"/>
    <cellStyle name="_x0001__x0004__x0001_”  5 3" xfId="733" xr:uid="{00000000-0005-0000-0000-0000DD020000}"/>
    <cellStyle name="_x0001__x0004__x0001_”  5 3 2" xfId="3984" xr:uid="{00000000-0005-0000-0000-0000900F0000}"/>
    <cellStyle name="_x0001__x0004__x0001_”  5 3 3" xfId="3776" xr:uid="{00000000-0005-0000-0000-0000C00E0000}"/>
    <cellStyle name="_x0001__x0004__x0001_”  5 4" xfId="734" xr:uid="{00000000-0005-0000-0000-0000DE020000}"/>
    <cellStyle name="_x0001__x0004__x0001_”  5 4 2" xfId="3777" xr:uid="{00000000-0005-0000-0000-0000C10E0000}"/>
    <cellStyle name="_x0001__x0004__x0001_”  5 5" xfId="735" xr:uid="{00000000-0005-0000-0000-0000DF020000}"/>
    <cellStyle name="_x0001__x0004__x0001_”  5 5 2" xfId="3778" xr:uid="{00000000-0005-0000-0000-0000C20E0000}"/>
    <cellStyle name="_x0001__x0004__x0001_”  5 6" xfId="3774" xr:uid="{00000000-0005-0000-0000-0000BE0E0000}"/>
    <cellStyle name="_x0001__x0004__x0001_”  6" xfId="736" xr:uid="{00000000-0005-0000-0000-0000E0020000}"/>
    <cellStyle name="_x0001__x0004__x0001_”  6 2" xfId="3985" xr:uid="{00000000-0005-0000-0000-0000910F0000}"/>
    <cellStyle name="_x0001__x0004__x0001_”  6 3" xfId="3779" xr:uid="{00000000-0005-0000-0000-0000C30E0000}"/>
    <cellStyle name="_x0001__x0004__x0001_”  7" xfId="737" xr:uid="{00000000-0005-0000-0000-0000E1020000}"/>
    <cellStyle name="_x0001__x0004__x0001_”  7 2" xfId="3986" xr:uid="{00000000-0005-0000-0000-0000920F0000}"/>
    <cellStyle name="_x0001__x0004__x0001_”  7 3" xfId="3780" xr:uid="{00000000-0005-0000-0000-0000C40E0000}"/>
    <cellStyle name="_x0001__x0004__x0001_”  8" xfId="738" xr:uid="{00000000-0005-0000-0000-0000E2020000}"/>
    <cellStyle name="_x0001__x0004__x0001_”  8 2" xfId="3781" xr:uid="{00000000-0005-0000-0000-0000C50E0000}"/>
    <cellStyle name="_x0001__x0004__x0001_”  9" xfId="739" xr:uid="{00000000-0005-0000-0000-0000E3020000}"/>
    <cellStyle name="_x0001__x0004__x0001_”  9 2" xfId="3782" xr:uid="{00000000-0005-0000-0000-0000C60E0000}"/>
    <cellStyle name="=C:\WINNT35\SYSTEM32\COMMAND.COM" xfId="740" xr:uid="{00000000-0005-0000-0000-0000E4020000}"/>
    <cellStyle name="=C:\WINNT35\SYSTEM32\COMMAND.COM 2" xfId="741" xr:uid="{00000000-0005-0000-0000-0000E5020000}"/>
    <cellStyle name="=C:\WINNT35\SYSTEM32\COMMAND.COM 2 2" xfId="742" xr:uid="{00000000-0005-0000-0000-0000E6020000}"/>
    <cellStyle name="=C:\WINNT35\SYSTEM32\COMMAND.COM 2 2 2" xfId="3987" xr:uid="{00000000-0005-0000-0000-0000930F0000}"/>
    <cellStyle name="=C:\WINNT35\SYSTEM32\COMMAND.COM 2 3" xfId="743" xr:uid="{00000000-0005-0000-0000-0000E7020000}"/>
    <cellStyle name="=C:\WINNT35\SYSTEM32\COMMAND.COM 2 3 2" xfId="3988" xr:uid="{00000000-0005-0000-0000-0000940F0000}"/>
    <cellStyle name="=C:\WINNT35\SYSTEM32\COMMAND.COM 2 4" xfId="744" xr:uid="{00000000-0005-0000-0000-0000E8020000}"/>
    <cellStyle name="=C:\WINNT35\SYSTEM32\COMMAND.COM 2 4 2" xfId="3989" xr:uid="{00000000-0005-0000-0000-0000950F0000}"/>
    <cellStyle name="=C:\WINNT35\SYSTEM32\COMMAND.COM 2 5" xfId="745" xr:uid="{00000000-0005-0000-0000-0000E9020000}"/>
    <cellStyle name="=C:\WINNT35\SYSTEM32\COMMAND.COM 2 5 2" xfId="3990" xr:uid="{00000000-0005-0000-0000-0000960F0000}"/>
    <cellStyle name="=C:\WINNT35\SYSTEM32\COMMAND.COM 2 6" xfId="746" xr:uid="{00000000-0005-0000-0000-0000EA020000}"/>
    <cellStyle name="=C:\WINNT35\SYSTEM32\COMMAND.COM 2 6 2" xfId="3991" xr:uid="{00000000-0005-0000-0000-0000970F0000}"/>
    <cellStyle name="=C:\WINNT35\SYSTEM32\COMMAND.COM 2 7" xfId="747" xr:uid="{00000000-0005-0000-0000-0000EB020000}"/>
    <cellStyle name="=C:\WINNT35\SYSTEM32\COMMAND.COM 2 8" xfId="748" xr:uid="{00000000-0005-0000-0000-0000EC020000}"/>
    <cellStyle name="=C:\WINNT35\SYSTEM32\COMMAND.COM 2_ActiFijos" xfId="749" xr:uid="{00000000-0005-0000-0000-0000ED020000}"/>
    <cellStyle name="=C:\WINNT35\SYSTEM32\COMMAND.COM 3" xfId="750" xr:uid="{00000000-0005-0000-0000-0000EE020000}"/>
    <cellStyle name="=C:\WINNT35\SYSTEM32\COMMAND.COM 3 2" xfId="751" xr:uid="{00000000-0005-0000-0000-0000EF020000}"/>
    <cellStyle name="=C:\WINNT35\SYSTEM32\COMMAND.COM 3 2 2" xfId="3992" xr:uid="{00000000-0005-0000-0000-0000980F0000}"/>
    <cellStyle name="=C:\WINNT35\SYSTEM32\COMMAND.COM 3 3" xfId="752" xr:uid="{00000000-0005-0000-0000-0000F0020000}"/>
    <cellStyle name="=C:\WINNT35\SYSTEM32\COMMAND.COM 3 3 2" xfId="3993" xr:uid="{00000000-0005-0000-0000-0000990F0000}"/>
    <cellStyle name="=C:\WINNT35\SYSTEM32\COMMAND.COM 3 4" xfId="753" xr:uid="{00000000-0005-0000-0000-0000F1020000}"/>
    <cellStyle name="=C:\WINNT35\SYSTEM32\COMMAND.COM 3 4 2" xfId="3994" xr:uid="{00000000-0005-0000-0000-00009A0F0000}"/>
    <cellStyle name="=C:\WINNT35\SYSTEM32\COMMAND.COM 3 5" xfId="754" xr:uid="{00000000-0005-0000-0000-0000F2020000}"/>
    <cellStyle name="=C:\WINNT35\SYSTEM32\COMMAND.COM 3 5 2" xfId="3995" xr:uid="{00000000-0005-0000-0000-00009B0F0000}"/>
    <cellStyle name="=C:\WINNT35\SYSTEM32\COMMAND.COM 3 6" xfId="755" xr:uid="{00000000-0005-0000-0000-0000F3020000}"/>
    <cellStyle name="=C:\WINNT35\SYSTEM32\COMMAND.COM 3 6 2" xfId="3996" xr:uid="{00000000-0005-0000-0000-00009C0F0000}"/>
    <cellStyle name="=C:\WINNT35\SYSTEM32\COMMAND.COM 3 7" xfId="756" xr:uid="{00000000-0005-0000-0000-0000F4020000}"/>
    <cellStyle name="=C:\WINNT35\SYSTEM32\COMMAND.COM 3 8" xfId="757" xr:uid="{00000000-0005-0000-0000-0000F5020000}"/>
    <cellStyle name="=C:\WINNT35\SYSTEM32\COMMAND.COM 3_ActiFijos" xfId="758" xr:uid="{00000000-0005-0000-0000-0000F6020000}"/>
    <cellStyle name="=C:\WINNT35\SYSTEM32\COMMAND.COM 4" xfId="759" xr:uid="{00000000-0005-0000-0000-0000F7020000}"/>
    <cellStyle name="=C:\WINNT35\SYSTEM32\COMMAND.COM 4 2" xfId="760" xr:uid="{00000000-0005-0000-0000-0000F8020000}"/>
    <cellStyle name="=C:\WINNT35\SYSTEM32\COMMAND.COM 4 2 2" xfId="3997" xr:uid="{00000000-0005-0000-0000-00009D0F0000}"/>
    <cellStyle name="=C:\WINNT35\SYSTEM32\COMMAND.COM 4 3" xfId="761" xr:uid="{00000000-0005-0000-0000-0000F9020000}"/>
    <cellStyle name="=C:\WINNT35\SYSTEM32\COMMAND.COM 4 3 2" xfId="3998" xr:uid="{00000000-0005-0000-0000-00009E0F0000}"/>
    <cellStyle name="=C:\WINNT35\SYSTEM32\COMMAND.COM 4 4" xfId="762" xr:uid="{00000000-0005-0000-0000-0000FA020000}"/>
    <cellStyle name="=C:\WINNT35\SYSTEM32\COMMAND.COM 4 4 2" xfId="3999" xr:uid="{00000000-0005-0000-0000-00009F0F0000}"/>
    <cellStyle name="=C:\WINNT35\SYSTEM32\COMMAND.COM 4 5" xfId="763" xr:uid="{00000000-0005-0000-0000-0000FB020000}"/>
    <cellStyle name="=C:\WINNT35\SYSTEM32\COMMAND.COM 4 5 2" xfId="4000" xr:uid="{00000000-0005-0000-0000-0000A00F0000}"/>
    <cellStyle name="=C:\WINNT35\SYSTEM32\COMMAND.COM 4 6" xfId="764" xr:uid="{00000000-0005-0000-0000-0000FC020000}"/>
    <cellStyle name="=C:\WINNT35\SYSTEM32\COMMAND.COM 4 6 2" xfId="4001" xr:uid="{00000000-0005-0000-0000-0000A10F0000}"/>
    <cellStyle name="=C:\WINNT35\SYSTEM32\COMMAND.COM 4 7" xfId="765" xr:uid="{00000000-0005-0000-0000-0000FD020000}"/>
    <cellStyle name="=C:\WINNT35\SYSTEM32\COMMAND.COM 4 8" xfId="766" xr:uid="{00000000-0005-0000-0000-0000FE020000}"/>
    <cellStyle name="=C:\WINNT35\SYSTEM32\COMMAND.COM 4_ActiFijos" xfId="767" xr:uid="{00000000-0005-0000-0000-0000FF020000}"/>
    <cellStyle name="=C:\WINNT35\SYSTEM32\COMMAND.COM 5" xfId="4002" xr:uid="{00000000-0005-0000-0000-0000A20F0000}"/>
    <cellStyle name="=C:\WINNT35\SYSTEM32\COMMAND.COM_Bases_Generales" xfId="768" xr:uid="{00000000-0005-0000-0000-000000030000}"/>
    <cellStyle name="0.0%" xfId="769" xr:uid="{00000000-0005-0000-0000-000001030000}"/>
    <cellStyle name="0.0% 2" xfId="770" xr:uid="{00000000-0005-0000-0000-000002030000}"/>
    <cellStyle name="0.0% 2 2" xfId="771" xr:uid="{00000000-0005-0000-0000-000003030000}"/>
    <cellStyle name="0.0% 2 3" xfId="772" xr:uid="{00000000-0005-0000-0000-000004030000}"/>
    <cellStyle name="0.0% 2 4" xfId="773" xr:uid="{00000000-0005-0000-0000-000005030000}"/>
    <cellStyle name="0.0% 2 5" xfId="774" xr:uid="{00000000-0005-0000-0000-000006030000}"/>
    <cellStyle name="0.0% 2 6" xfId="775" xr:uid="{00000000-0005-0000-0000-000007030000}"/>
    <cellStyle name="0.0% 2 7" xfId="776" xr:uid="{00000000-0005-0000-0000-000008030000}"/>
    <cellStyle name="0.0% 2 8" xfId="777" xr:uid="{00000000-0005-0000-0000-000009030000}"/>
    <cellStyle name="0.0% 3" xfId="778" xr:uid="{00000000-0005-0000-0000-00000A030000}"/>
    <cellStyle name="0.0% 3 2" xfId="779" xr:uid="{00000000-0005-0000-0000-00000B030000}"/>
    <cellStyle name="0.0% 3 3" xfId="780" xr:uid="{00000000-0005-0000-0000-00000C030000}"/>
    <cellStyle name="0.0% 3 4" xfId="781" xr:uid="{00000000-0005-0000-0000-00000D030000}"/>
    <cellStyle name="0.0% 3 5" xfId="782" xr:uid="{00000000-0005-0000-0000-00000E030000}"/>
    <cellStyle name="0.0% 3 6" xfId="783" xr:uid="{00000000-0005-0000-0000-00000F030000}"/>
    <cellStyle name="0.0% 3 7" xfId="784" xr:uid="{00000000-0005-0000-0000-000010030000}"/>
    <cellStyle name="0.0% 3 8" xfId="785" xr:uid="{00000000-0005-0000-0000-000011030000}"/>
    <cellStyle name="0.0% 4" xfId="786" xr:uid="{00000000-0005-0000-0000-000012030000}"/>
    <cellStyle name="0.0% 4 2" xfId="787" xr:uid="{00000000-0005-0000-0000-000013030000}"/>
    <cellStyle name="0.0% 4 3" xfId="788" xr:uid="{00000000-0005-0000-0000-000014030000}"/>
    <cellStyle name="0.0% 4 4" xfId="789" xr:uid="{00000000-0005-0000-0000-000015030000}"/>
    <cellStyle name="0.0% 4 5" xfId="790" xr:uid="{00000000-0005-0000-0000-000016030000}"/>
    <cellStyle name="0.0% 4 6" xfId="791" xr:uid="{00000000-0005-0000-0000-000017030000}"/>
    <cellStyle name="0.0% 4 7" xfId="792" xr:uid="{00000000-0005-0000-0000-000018030000}"/>
    <cellStyle name="0.0% 4 8" xfId="793" xr:uid="{00000000-0005-0000-0000-000019030000}"/>
    <cellStyle name="01/01/83" xfId="794" xr:uid="{00000000-0005-0000-0000-00001A030000}"/>
    <cellStyle name="01/01/83 2" xfId="795" xr:uid="{00000000-0005-0000-0000-00001B030000}"/>
    <cellStyle name="01/01/83 2 2" xfId="796" xr:uid="{00000000-0005-0000-0000-00001C030000}"/>
    <cellStyle name="01/01/83 2 2 2" xfId="4003" xr:uid="{00000000-0005-0000-0000-0000A30F0000}"/>
    <cellStyle name="01/01/83 2 3" xfId="797" xr:uid="{00000000-0005-0000-0000-00001D030000}"/>
    <cellStyle name="01/01/83 2 3 2" xfId="4004" xr:uid="{00000000-0005-0000-0000-0000A40F0000}"/>
    <cellStyle name="01/01/83 2 4" xfId="798" xr:uid="{00000000-0005-0000-0000-00001E030000}"/>
    <cellStyle name="01/01/83 2 4 2" xfId="4005" xr:uid="{00000000-0005-0000-0000-0000A50F0000}"/>
    <cellStyle name="01/01/83 2 5" xfId="799" xr:uid="{00000000-0005-0000-0000-00001F030000}"/>
    <cellStyle name="01/01/83 2 5 2" xfId="4006" xr:uid="{00000000-0005-0000-0000-0000A60F0000}"/>
    <cellStyle name="01/01/83 2 6" xfId="800" xr:uid="{00000000-0005-0000-0000-000020030000}"/>
    <cellStyle name="01/01/83 2 6 2" xfId="4007" xr:uid="{00000000-0005-0000-0000-0000A70F0000}"/>
    <cellStyle name="01/01/83 2 7" xfId="801" xr:uid="{00000000-0005-0000-0000-000021030000}"/>
    <cellStyle name="01/01/83 2 8" xfId="802" xr:uid="{00000000-0005-0000-0000-000022030000}"/>
    <cellStyle name="01/01/83 2_ActiFijos" xfId="803" xr:uid="{00000000-0005-0000-0000-000023030000}"/>
    <cellStyle name="01/01/83 3" xfId="804" xr:uid="{00000000-0005-0000-0000-000024030000}"/>
    <cellStyle name="01/01/83 3 2" xfId="805" xr:uid="{00000000-0005-0000-0000-000025030000}"/>
    <cellStyle name="01/01/83 3 2 2" xfId="4008" xr:uid="{00000000-0005-0000-0000-0000A80F0000}"/>
    <cellStyle name="01/01/83 3 3" xfId="806" xr:uid="{00000000-0005-0000-0000-000026030000}"/>
    <cellStyle name="01/01/83 3 3 2" xfId="4009" xr:uid="{00000000-0005-0000-0000-0000A90F0000}"/>
    <cellStyle name="01/01/83 3 4" xfId="807" xr:uid="{00000000-0005-0000-0000-000027030000}"/>
    <cellStyle name="01/01/83 3 4 2" xfId="4010" xr:uid="{00000000-0005-0000-0000-0000AA0F0000}"/>
    <cellStyle name="01/01/83 3 5" xfId="808" xr:uid="{00000000-0005-0000-0000-000028030000}"/>
    <cellStyle name="01/01/83 3 5 2" xfId="4011" xr:uid="{00000000-0005-0000-0000-0000AB0F0000}"/>
    <cellStyle name="01/01/83 3 6" xfId="809" xr:uid="{00000000-0005-0000-0000-000029030000}"/>
    <cellStyle name="01/01/83 3 6 2" xfId="4012" xr:uid="{00000000-0005-0000-0000-0000AC0F0000}"/>
    <cellStyle name="01/01/83 3 7" xfId="810" xr:uid="{00000000-0005-0000-0000-00002A030000}"/>
    <cellStyle name="01/01/83 3 8" xfId="811" xr:uid="{00000000-0005-0000-0000-00002B030000}"/>
    <cellStyle name="01/01/83 3_ActiFijos" xfId="812" xr:uid="{00000000-0005-0000-0000-00002C030000}"/>
    <cellStyle name="01/01/83 4" xfId="813" xr:uid="{00000000-0005-0000-0000-00002D030000}"/>
    <cellStyle name="01/01/83 4 2" xfId="814" xr:uid="{00000000-0005-0000-0000-00002E030000}"/>
    <cellStyle name="01/01/83 4 2 2" xfId="4013" xr:uid="{00000000-0005-0000-0000-0000AD0F0000}"/>
    <cellStyle name="01/01/83 4 3" xfId="815" xr:uid="{00000000-0005-0000-0000-00002F030000}"/>
    <cellStyle name="01/01/83 4 3 2" xfId="4014" xr:uid="{00000000-0005-0000-0000-0000AE0F0000}"/>
    <cellStyle name="01/01/83 4 4" xfId="816" xr:uid="{00000000-0005-0000-0000-000030030000}"/>
    <cellStyle name="01/01/83 4 4 2" xfId="4015" xr:uid="{00000000-0005-0000-0000-0000AF0F0000}"/>
    <cellStyle name="01/01/83 4 5" xfId="817" xr:uid="{00000000-0005-0000-0000-000031030000}"/>
    <cellStyle name="01/01/83 4 5 2" xfId="4016" xr:uid="{00000000-0005-0000-0000-0000B00F0000}"/>
    <cellStyle name="01/01/83 4 6" xfId="818" xr:uid="{00000000-0005-0000-0000-000032030000}"/>
    <cellStyle name="01/01/83 4 6 2" xfId="4017" xr:uid="{00000000-0005-0000-0000-0000B10F0000}"/>
    <cellStyle name="01/01/83 4 7" xfId="819" xr:uid="{00000000-0005-0000-0000-000033030000}"/>
    <cellStyle name="01/01/83 4 8" xfId="820" xr:uid="{00000000-0005-0000-0000-000034030000}"/>
    <cellStyle name="01/01/83 4_ActiFijos" xfId="821" xr:uid="{00000000-0005-0000-0000-000035030000}"/>
    <cellStyle name="01/01/83 5" xfId="4018" xr:uid="{00000000-0005-0000-0000-0000B20F0000}"/>
    <cellStyle name="01/01/83_Bases_Generales" xfId="822" xr:uid="{00000000-0005-0000-0000-000036030000}"/>
    <cellStyle name="20% - Ênfase1" xfId="823" xr:uid="{00000000-0005-0000-0000-000037030000}"/>
    <cellStyle name="20% - Ênfase1 2" xfId="7976" xr:uid="{879CA1BE-9291-4BB3-9D7F-B4B12BF37DA6}"/>
    <cellStyle name="20% - Ênfase2" xfId="824" xr:uid="{00000000-0005-0000-0000-000038030000}"/>
    <cellStyle name="20% - Ênfase2 2" xfId="7977" xr:uid="{EF4D88F4-D000-4634-8D4C-EA0FF36C63E3}"/>
    <cellStyle name="20% - Ênfase3" xfId="825" xr:uid="{00000000-0005-0000-0000-000039030000}"/>
    <cellStyle name="20% - Ênfase3 2" xfId="7978" xr:uid="{858C84C9-FA5F-4280-BF9C-326367AB3BC6}"/>
    <cellStyle name="20% - Ênfase4" xfId="826" xr:uid="{00000000-0005-0000-0000-00003A030000}"/>
    <cellStyle name="20% - Ênfase4 2" xfId="7979" xr:uid="{BB258C1E-8F42-48F6-8E77-B3CE70E0DA0F}"/>
    <cellStyle name="20% - Ênfase5" xfId="827" xr:uid="{00000000-0005-0000-0000-00003B030000}"/>
    <cellStyle name="20% - Ênfase5 2" xfId="7980" xr:uid="{0C15905C-6850-4391-B704-8D40E0E5DFD0}"/>
    <cellStyle name="20% - Ênfase6" xfId="828" xr:uid="{00000000-0005-0000-0000-00003C030000}"/>
    <cellStyle name="20% - Ênfase6 2" xfId="7981" xr:uid="{9BE11887-277C-4CDE-A912-58B833448D1E}"/>
    <cellStyle name="20% - Énfasis1 10" xfId="4019" xr:uid="{00000000-0005-0000-0000-0000B30F0000}"/>
    <cellStyle name="20% - Énfasis1 10 2" xfId="4020" xr:uid="{00000000-0005-0000-0000-0000B40F0000}"/>
    <cellStyle name="20% - Énfasis1 10 2 2" xfId="9000" xr:uid="{C09EE98F-9B49-4D35-968F-3B20E7920D8E}"/>
    <cellStyle name="20% - Énfasis1 10 3" xfId="8999" xr:uid="{3DA5684A-AAAA-48CC-9258-DAEFA8DD4AC8}"/>
    <cellStyle name="20% - Énfasis1 11" xfId="4021" xr:uid="{00000000-0005-0000-0000-0000B50F0000}"/>
    <cellStyle name="20% - Énfasis1 11 2" xfId="4022" xr:uid="{00000000-0005-0000-0000-0000B60F0000}"/>
    <cellStyle name="20% - Énfasis1 11 2 2" xfId="9002" xr:uid="{922C6CFE-D751-4BC4-AF11-9F2AB0D72792}"/>
    <cellStyle name="20% - Énfasis1 11 3" xfId="9001" xr:uid="{8EE57E98-8910-49BA-858D-A42E6725349B}"/>
    <cellStyle name="20% - Énfasis1 12" xfId="4023" xr:uid="{00000000-0005-0000-0000-0000B70F0000}"/>
    <cellStyle name="20% - Énfasis1 12 2" xfId="4024" xr:uid="{00000000-0005-0000-0000-0000B80F0000}"/>
    <cellStyle name="20% - Énfasis1 12 2 2" xfId="9004" xr:uid="{EBDC784A-2C1A-4ED3-8556-1A83FF8E0808}"/>
    <cellStyle name="20% - Énfasis1 12 3" xfId="9003" xr:uid="{1FD63C8F-A7F0-4318-AF22-A890CD4D7856}"/>
    <cellStyle name="20% - Énfasis1 13" xfId="4025" xr:uid="{00000000-0005-0000-0000-0000B90F0000}"/>
    <cellStyle name="20% - Énfasis1 13 2" xfId="4026" xr:uid="{00000000-0005-0000-0000-0000BA0F0000}"/>
    <cellStyle name="20% - Énfasis1 13 2 2" xfId="9006" xr:uid="{10487A17-1D90-4F63-88FD-8AAE1E6781A6}"/>
    <cellStyle name="20% - Énfasis1 13 3" xfId="9005" xr:uid="{E4744ABC-8F9B-435D-8B77-79480888F2D4}"/>
    <cellStyle name="20% - Énfasis1 14" xfId="4027" xr:uid="{00000000-0005-0000-0000-0000BB0F0000}"/>
    <cellStyle name="20% - Énfasis1 14 2" xfId="4028" xr:uid="{00000000-0005-0000-0000-0000BC0F0000}"/>
    <cellStyle name="20% - Énfasis1 14 2 2" xfId="9008" xr:uid="{9EDC988D-CB3D-4DB1-9E51-FB96F847C17F}"/>
    <cellStyle name="20% - Énfasis1 14 3" xfId="9007" xr:uid="{887567EA-DEC0-4310-8DB1-FEF0E3CA9619}"/>
    <cellStyle name="20% - Énfasis1 15" xfId="4029" xr:uid="{00000000-0005-0000-0000-0000BD0F0000}"/>
    <cellStyle name="20% - Énfasis1 15 2" xfId="4030" xr:uid="{00000000-0005-0000-0000-0000BE0F0000}"/>
    <cellStyle name="20% - Énfasis1 15 2 2" xfId="9010" xr:uid="{8A42C70F-53F4-4C47-88E2-1F31F8F0F09C}"/>
    <cellStyle name="20% - Énfasis1 15 3" xfId="9009" xr:uid="{D764A98C-4B7A-4D9B-AC97-59F79DC5FB45}"/>
    <cellStyle name="20% - Énfasis1 16" xfId="4031" xr:uid="{00000000-0005-0000-0000-0000BF0F0000}"/>
    <cellStyle name="20% - Énfasis1 16 2" xfId="4032" xr:uid="{00000000-0005-0000-0000-0000C00F0000}"/>
    <cellStyle name="20% - Énfasis1 16 2 2" xfId="9012" xr:uid="{5087C8F0-88F7-424B-8FB2-44C6F49D1282}"/>
    <cellStyle name="20% - Énfasis1 16 3" xfId="9011" xr:uid="{7029C54C-AD07-4D43-BB10-4FE250AC975C}"/>
    <cellStyle name="20% - Énfasis1 17" xfId="4033" xr:uid="{00000000-0005-0000-0000-0000C10F0000}"/>
    <cellStyle name="20% - Énfasis1 17 2" xfId="4034" xr:uid="{00000000-0005-0000-0000-0000C20F0000}"/>
    <cellStyle name="20% - Énfasis1 17 2 2" xfId="9014" xr:uid="{EFFE4029-2D03-427E-8D4D-1760F361E24D}"/>
    <cellStyle name="20% - Énfasis1 17 3" xfId="9013" xr:uid="{62BBA4A6-925D-4C31-804E-2A6A17A6BE52}"/>
    <cellStyle name="20% - Énfasis1 18" xfId="4035" xr:uid="{00000000-0005-0000-0000-0000C30F0000}"/>
    <cellStyle name="20% - Énfasis1 18 2" xfId="4036" xr:uid="{00000000-0005-0000-0000-0000C40F0000}"/>
    <cellStyle name="20% - Énfasis1 18 2 2" xfId="9016" xr:uid="{A464C9B6-CC16-450F-90F2-58C171625205}"/>
    <cellStyle name="20% - Énfasis1 18 3" xfId="9015" xr:uid="{7152517A-90DB-4008-A8FE-DB5A06EC4B3B}"/>
    <cellStyle name="20% - Énfasis1 19" xfId="4037" xr:uid="{00000000-0005-0000-0000-0000C50F0000}"/>
    <cellStyle name="20% - Énfasis1 19 2" xfId="4038" xr:uid="{00000000-0005-0000-0000-0000C60F0000}"/>
    <cellStyle name="20% - Énfasis1 19 2 2" xfId="9018" xr:uid="{70C79755-1E1D-4AB1-BA5D-54E0DE70E451}"/>
    <cellStyle name="20% - Énfasis1 19 3" xfId="9017" xr:uid="{0D49453B-ABCD-4A31-BD00-FE0887A0959B}"/>
    <cellStyle name="20% - Énfasis1 2" xfId="829" xr:uid="{00000000-0005-0000-0000-00003D030000}"/>
    <cellStyle name="20% - Énfasis1 2 10" xfId="8146" xr:uid="{E83B7B2B-3C9C-4D56-A601-D5421F8984A3}"/>
    <cellStyle name="20% - Énfasis1 2 2" xfId="830" xr:uid="{00000000-0005-0000-0000-00003E030000}"/>
    <cellStyle name="20% - Énfasis1 2 2 2" xfId="831" xr:uid="{00000000-0005-0000-0000-00003F030000}"/>
    <cellStyle name="20% - Énfasis1 2 2 2 2" xfId="7984" xr:uid="{C7DA5AB5-62DC-4F3D-BC13-9370934CD284}"/>
    <cellStyle name="20% - Énfasis1 2 2 3" xfId="832" xr:uid="{00000000-0005-0000-0000-000040030000}"/>
    <cellStyle name="20% - Énfasis1 2 2 3 2" xfId="7985" xr:uid="{DE03A97B-9D11-47E9-9A60-DB27622C6B0D}"/>
    <cellStyle name="20% - Énfasis1 2 2 4" xfId="7983" xr:uid="{0607ACDD-A26B-4E79-B2EA-B1B22A68A10B}"/>
    <cellStyle name="20% - Énfasis1 2 2_Deuda septiembre_marcos" xfId="833" xr:uid="{00000000-0005-0000-0000-000041030000}"/>
    <cellStyle name="20% - Énfasis1 2 3" xfId="834" xr:uid="{00000000-0005-0000-0000-000042030000}"/>
    <cellStyle name="20% - Énfasis1 2 3 2" xfId="835" xr:uid="{00000000-0005-0000-0000-000043030000}"/>
    <cellStyle name="20% - Énfasis1 2 3 2 2" xfId="7987" xr:uid="{F77F794D-203E-4890-8A84-61EE6862E2DD}"/>
    <cellStyle name="20% - Énfasis1 2 3 3" xfId="836" xr:uid="{00000000-0005-0000-0000-000044030000}"/>
    <cellStyle name="20% - Énfasis1 2 3 3 2" xfId="7988" xr:uid="{9D751484-C3A2-4CD1-A987-3BCB3F3D3B86}"/>
    <cellStyle name="20% - Énfasis1 2 3 4" xfId="7986" xr:uid="{103AD3BD-41DF-4345-A04C-B1354DD3B8E7}"/>
    <cellStyle name="20% - Énfasis1 2 3_Deuda septiembre_marcos" xfId="837" xr:uid="{00000000-0005-0000-0000-000045030000}"/>
    <cellStyle name="20% - Énfasis1 2 4" xfId="838" xr:uid="{00000000-0005-0000-0000-000046030000}"/>
    <cellStyle name="20% - Énfasis1 2 4 2" xfId="7989" xr:uid="{E607DBC8-B306-4C83-8EE7-DC9F023A76BE}"/>
    <cellStyle name="20% - Énfasis1 2 5" xfId="839" xr:uid="{00000000-0005-0000-0000-000047030000}"/>
    <cellStyle name="20% - Énfasis1 2 5 2" xfId="4039" xr:uid="{00000000-0005-0000-0000-0000C70F0000}"/>
    <cellStyle name="20% - Énfasis1 2 5 2 2" xfId="9019" xr:uid="{021B2AEA-40D5-4F11-954F-312A5158750D}"/>
    <cellStyle name="20% - Énfasis1 2 5 3" xfId="7990" xr:uid="{0CC96EF7-71C3-4AF9-8712-BF9DFCF6E817}"/>
    <cellStyle name="20% - Énfasis1 2 6" xfId="4040" xr:uid="{00000000-0005-0000-0000-0000C80F0000}"/>
    <cellStyle name="20% - Énfasis1 2 6 2" xfId="9020" xr:uid="{AAF837DD-5CB3-4DB0-BEAF-00D42395F3B6}"/>
    <cellStyle name="20% - Énfasis1 2 7" xfId="4041" xr:uid="{00000000-0005-0000-0000-0000C90F0000}"/>
    <cellStyle name="20% - Énfasis1 2 7 2" xfId="9021" xr:uid="{49479807-E96C-4E92-ABC5-A5BDA7CBF5D3}"/>
    <cellStyle name="20% - Énfasis1 2 8" xfId="7982" xr:uid="{63C46A4C-D7ED-4038-9177-0406BCE0E724}"/>
    <cellStyle name="20% - Énfasis1 2 9" xfId="8689" xr:uid="{C69DC14D-BE19-468E-B130-A13D2C283F40}"/>
    <cellStyle name="20% - Énfasis1 2_Deuda septiembre_marcos" xfId="840" xr:uid="{00000000-0005-0000-0000-000048030000}"/>
    <cellStyle name="20% - Énfasis1 20" xfId="4042" xr:uid="{00000000-0005-0000-0000-0000CA0F0000}"/>
    <cellStyle name="20% - Énfasis1 20 2" xfId="9022" xr:uid="{4719483F-C8A2-4367-96C0-4AA592744C3A}"/>
    <cellStyle name="20% - Énfasis1 3" xfId="841" xr:uid="{00000000-0005-0000-0000-000049030000}"/>
    <cellStyle name="20% - Énfasis1 3 2" xfId="842" xr:uid="{00000000-0005-0000-0000-00004A030000}"/>
    <cellStyle name="20% - Énfasis1 3 2 2" xfId="843" xr:uid="{00000000-0005-0000-0000-00004B030000}"/>
    <cellStyle name="20% - Énfasis1 3 2 2 2" xfId="7993" xr:uid="{30D4192D-41E7-4AEB-A5D2-980B9CA33D21}"/>
    <cellStyle name="20% - Énfasis1 3 2 3" xfId="844" xr:uid="{00000000-0005-0000-0000-00004C030000}"/>
    <cellStyle name="20% - Énfasis1 3 2 3 2" xfId="7994" xr:uid="{6011E93B-841E-4F0E-BCBC-6E786CED2D20}"/>
    <cellStyle name="20% - Énfasis1 3 2 4" xfId="7992" xr:uid="{D2326B4E-4867-475C-99AC-45760E1A0F38}"/>
    <cellStyle name="20% - Énfasis1 3 2_Deuda septiembre_marcos" xfId="845" xr:uid="{00000000-0005-0000-0000-00004D030000}"/>
    <cellStyle name="20% - Énfasis1 3 3" xfId="846" xr:uid="{00000000-0005-0000-0000-00004E030000}"/>
    <cellStyle name="20% - Énfasis1 3 3 2" xfId="847" xr:uid="{00000000-0005-0000-0000-00004F030000}"/>
    <cellStyle name="20% - Énfasis1 3 3 2 2" xfId="7996" xr:uid="{03635688-395F-4688-9664-7980F27F26D4}"/>
    <cellStyle name="20% - Énfasis1 3 3 3" xfId="848" xr:uid="{00000000-0005-0000-0000-000050030000}"/>
    <cellStyle name="20% - Énfasis1 3 3 3 2" xfId="7997" xr:uid="{F8432C06-314B-4189-AE73-377DA9F91BCA}"/>
    <cellStyle name="20% - Énfasis1 3 3 4" xfId="7995" xr:uid="{6E9F0817-06C6-4A37-A129-8E4041A57064}"/>
    <cellStyle name="20% - Énfasis1 3 3_Deuda septiembre_marcos" xfId="849" xr:uid="{00000000-0005-0000-0000-000051030000}"/>
    <cellStyle name="20% - Énfasis1 3 4" xfId="850" xr:uid="{00000000-0005-0000-0000-000052030000}"/>
    <cellStyle name="20% - Énfasis1 3 4 2" xfId="7998" xr:uid="{A49391EB-3E3F-4A01-ACC7-038432091A8A}"/>
    <cellStyle name="20% - Énfasis1 3 5" xfId="851" xr:uid="{00000000-0005-0000-0000-000053030000}"/>
    <cellStyle name="20% - Énfasis1 3 5 2" xfId="7999" xr:uid="{8E387F84-D47B-4C63-87DC-C91A4D3C61BD}"/>
    <cellStyle name="20% - Énfasis1 3 6" xfId="7991" xr:uid="{727870BD-A7E6-4D35-8CFD-6BC741B6F390}"/>
    <cellStyle name="20% - Énfasis1 3_Deuda septiembre_marcos" xfId="852" xr:uid="{00000000-0005-0000-0000-000054030000}"/>
    <cellStyle name="20% - Énfasis1 4" xfId="853" xr:uid="{00000000-0005-0000-0000-000055030000}"/>
    <cellStyle name="20% - Énfasis1 4 2" xfId="854" xr:uid="{00000000-0005-0000-0000-000056030000}"/>
    <cellStyle name="20% - Énfasis1 4 2 2" xfId="855" xr:uid="{00000000-0005-0000-0000-000057030000}"/>
    <cellStyle name="20% - Énfasis1 4 2 2 2" xfId="8002" xr:uid="{B3B25727-CC5D-4A45-B305-9B15C44DC7FF}"/>
    <cellStyle name="20% - Énfasis1 4 2 3" xfId="856" xr:uid="{00000000-0005-0000-0000-000058030000}"/>
    <cellStyle name="20% - Énfasis1 4 2 3 2" xfId="8003" xr:uid="{ED8B1B0E-B8E0-4341-B60A-F463FDCE7CDE}"/>
    <cellStyle name="20% - Énfasis1 4 2 4" xfId="8001" xr:uid="{9A261502-1730-4979-B3D4-003C3505AFBF}"/>
    <cellStyle name="20% - Énfasis1 4 2_Deuda septiembre_marcos" xfId="857" xr:uid="{00000000-0005-0000-0000-000059030000}"/>
    <cellStyle name="20% - Énfasis1 4 3" xfId="858" xr:uid="{00000000-0005-0000-0000-00005A030000}"/>
    <cellStyle name="20% - Énfasis1 4 3 2" xfId="859" xr:uid="{00000000-0005-0000-0000-00005B030000}"/>
    <cellStyle name="20% - Énfasis1 4 3 2 2" xfId="8005" xr:uid="{CAD0B94A-A46A-4382-A0B0-823A1BF6F91B}"/>
    <cellStyle name="20% - Énfasis1 4 3 3" xfId="860" xr:uid="{00000000-0005-0000-0000-00005C030000}"/>
    <cellStyle name="20% - Énfasis1 4 3 3 2" xfId="8006" xr:uid="{F9412473-B77E-479E-8D6E-7DD09BC181AC}"/>
    <cellStyle name="20% - Énfasis1 4 3 4" xfId="8004" xr:uid="{C1E42804-EE4A-4EBD-A02E-58AC5BB3A44A}"/>
    <cellStyle name="20% - Énfasis1 4 3_Deuda septiembre_marcos" xfId="861" xr:uid="{00000000-0005-0000-0000-00005D030000}"/>
    <cellStyle name="20% - Énfasis1 4 4" xfId="862" xr:uid="{00000000-0005-0000-0000-00005E030000}"/>
    <cellStyle name="20% - Énfasis1 4 4 2" xfId="8007" xr:uid="{F0AFAF09-390C-48D0-A675-D10EC0E71DD3}"/>
    <cellStyle name="20% - Énfasis1 4 5" xfId="863" xr:uid="{00000000-0005-0000-0000-00005F030000}"/>
    <cellStyle name="20% - Énfasis1 4 5 2" xfId="8008" xr:uid="{E71B8A08-BD56-4F7C-8AA9-197FA17FCA15}"/>
    <cellStyle name="20% - Énfasis1 4 6" xfId="8000" xr:uid="{E2CD70C4-3B04-4949-8BB0-579103BD8474}"/>
    <cellStyle name="20% - Énfasis1 4_Deuda septiembre_marcos" xfId="864" xr:uid="{00000000-0005-0000-0000-000060030000}"/>
    <cellStyle name="20% - Énfasis1 5" xfId="865" xr:uid="{00000000-0005-0000-0000-000061030000}"/>
    <cellStyle name="20% - Énfasis1 5 2" xfId="866" xr:uid="{00000000-0005-0000-0000-000062030000}"/>
    <cellStyle name="20% - Énfasis1 5 2 2" xfId="8010" xr:uid="{94D527AF-ED49-4048-9F79-6E6D4786DC94}"/>
    <cellStyle name="20% - Énfasis1 5 3" xfId="8009" xr:uid="{B103A363-019A-43F1-9694-2A380FB318BB}"/>
    <cellStyle name="20% - Énfasis1 5_Deuda septiembre_marcos" xfId="867" xr:uid="{00000000-0005-0000-0000-000063030000}"/>
    <cellStyle name="20% - Énfasis1 6" xfId="868" xr:uid="{00000000-0005-0000-0000-000064030000}"/>
    <cellStyle name="20% - Énfasis1 6 2" xfId="869" xr:uid="{00000000-0005-0000-0000-000065030000}"/>
    <cellStyle name="20% - Énfasis1 6 2 2" xfId="8012" xr:uid="{624D8692-B1BE-4D43-A6B8-F2177A390286}"/>
    <cellStyle name="20% - Énfasis1 6 3" xfId="8011" xr:uid="{0D706712-B5F8-4ECD-9E21-92B3AADF1EF7}"/>
    <cellStyle name="20% - Énfasis1 6_Deuda septiembre_marcos" xfId="870" xr:uid="{00000000-0005-0000-0000-000066030000}"/>
    <cellStyle name="20% - Énfasis1 7" xfId="871" xr:uid="{00000000-0005-0000-0000-000067030000}"/>
    <cellStyle name="20% - Énfasis1 7 2" xfId="4043" xr:uid="{00000000-0005-0000-0000-0000CB0F0000}"/>
    <cellStyle name="20% - Énfasis1 7 2 2" xfId="9023" xr:uid="{F738DDCF-87FC-4BC9-8574-EC9FBC5548CE}"/>
    <cellStyle name="20% - Énfasis1 7 3" xfId="4044" xr:uid="{00000000-0005-0000-0000-0000CC0F0000}"/>
    <cellStyle name="20% - Énfasis1 7 3 2" xfId="9024" xr:uid="{FEE19362-472A-457C-93EC-6F4833E20E84}"/>
    <cellStyle name="20% - Énfasis1 7 4" xfId="8013" xr:uid="{29A5D938-81BA-41F2-9CDA-3597E0CCCF2C}"/>
    <cellStyle name="20% - Énfasis1 8" xfId="4045" xr:uid="{00000000-0005-0000-0000-0000CD0F0000}"/>
    <cellStyle name="20% - Énfasis1 8 2" xfId="4046" xr:uid="{00000000-0005-0000-0000-0000CE0F0000}"/>
    <cellStyle name="20% - Énfasis1 8 2 2" xfId="9026" xr:uid="{BD071552-70CD-4BA5-A7DB-41E67D0ABDC9}"/>
    <cellStyle name="20% - Énfasis1 8 3" xfId="4047" xr:uid="{00000000-0005-0000-0000-0000CF0F0000}"/>
    <cellStyle name="20% - Énfasis1 8 3 2" xfId="9027" xr:uid="{853FFBED-7453-45B0-BDAC-FC9F42CBEE94}"/>
    <cellStyle name="20% - Énfasis1 8 4" xfId="9025" xr:uid="{E6455923-7673-465F-8CED-FECFD35C8E67}"/>
    <cellStyle name="20% - Énfasis1 9" xfId="4048" xr:uid="{00000000-0005-0000-0000-0000D00F0000}"/>
    <cellStyle name="20% - Énfasis1 9 2" xfId="4049" xr:uid="{00000000-0005-0000-0000-0000D10F0000}"/>
    <cellStyle name="20% - Énfasis1 9 2 2" xfId="9029" xr:uid="{578F86EF-9FE8-403E-BD02-85F438D37F1A}"/>
    <cellStyle name="20% - Énfasis1 9 3" xfId="9028" xr:uid="{6D0B771B-7AB4-43F6-9E60-77C2487B0F75}"/>
    <cellStyle name="20% - Énfasis2 10" xfId="4050" xr:uid="{00000000-0005-0000-0000-0000D20F0000}"/>
    <cellStyle name="20% - Énfasis2 10 2" xfId="4051" xr:uid="{00000000-0005-0000-0000-0000D30F0000}"/>
    <cellStyle name="20% - Énfasis2 10 2 2" xfId="9031" xr:uid="{67EEE276-D229-4606-BB2A-CBDCD04EC4CC}"/>
    <cellStyle name="20% - Énfasis2 10 3" xfId="9030" xr:uid="{86BEFC28-8E19-41B3-81C4-EEAD57DE3520}"/>
    <cellStyle name="20% - Énfasis2 11" xfId="4052" xr:uid="{00000000-0005-0000-0000-0000D40F0000}"/>
    <cellStyle name="20% - Énfasis2 11 2" xfId="4053" xr:uid="{00000000-0005-0000-0000-0000D50F0000}"/>
    <cellStyle name="20% - Énfasis2 11 2 2" xfId="9033" xr:uid="{EBCA9677-124D-4FE0-8900-DCF34A5BF34A}"/>
    <cellStyle name="20% - Énfasis2 11 3" xfId="9032" xr:uid="{4403AE56-4FCE-470F-BD06-CEF2BA6D7C4B}"/>
    <cellStyle name="20% - Énfasis2 12" xfId="4054" xr:uid="{00000000-0005-0000-0000-0000D60F0000}"/>
    <cellStyle name="20% - Énfasis2 12 2" xfId="4055" xr:uid="{00000000-0005-0000-0000-0000D70F0000}"/>
    <cellStyle name="20% - Énfasis2 12 2 2" xfId="9035" xr:uid="{06A68CC9-3166-4B00-B2D8-953508682A8D}"/>
    <cellStyle name="20% - Énfasis2 12 3" xfId="9034" xr:uid="{CBBFC197-D058-434B-A007-62A0EFFBD67F}"/>
    <cellStyle name="20% - Énfasis2 13" xfId="4056" xr:uid="{00000000-0005-0000-0000-0000D80F0000}"/>
    <cellStyle name="20% - Énfasis2 13 2" xfId="4057" xr:uid="{00000000-0005-0000-0000-0000D90F0000}"/>
    <cellStyle name="20% - Énfasis2 13 2 2" xfId="9037" xr:uid="{BF39B3B2-0024-446B-8D50-B2E658E45FE3}"/>
    <cellStyle name="20% - Énfasis2 13 3" xfId="9036" xr:uid="{7E23A9A9-490F-46DB-B8F9-BA6A55D1882D}"/>
    <cellStyle name="20% - Énfasis2 14" xfId="4058" xr:uid="{00000000-0005-0000-0000-0000DA0F0000}"/>
    <cellStyle name="20% - Énfasis2 14 2" xfId="4059" xr:uid="{00000000-0005-0000-0000-0000DB0F0000}"/>
    <cellStyle name="20% - Énfasis2 14 2 2" xfId="9039" xr:uid="{21E93431-7A7A-4612-AF92-E391DF258C20}"/>
    <cellStyle name="20% - Énfasis2 14 3" xfId="9038" xr:uid="{0A29BDA5-C459-4E12-82FA-B0ADA5E0719B}"/>
    <cellStyle name="20% - Énfasis2 15" xfId="4060" xr:uid="{00000000-0005-0000-0000-0000DC0F0000}"/>
    <cellStyle name="20% - Énfasis2 15 2" xfId="9040" xr:uid="{7B768F6E-D8B8-489B-95B4-5AD6752EB131}"/>
    <cellStyle name="20% - Énfasis2 2" xfId="872" xr:uid="{00000000-0005-0000-0000-000068030000}"/>
    <cellStyle name="20% - Énfasis2 2 2" xfId="4061" xr:uid="{00000000-0005-0000-0000-0000DD0F0000}"/>
    <cellStyle name="20% - Énfasis2 2 2 2" xfId="4062" xr:uid="{00000000-0005-0000-0000-0000DE0F0000}"/>
    <cellStyle name="20% - Énfasis2 2 2 2 2" xfId="9042" xr:uid="{C4799ABD-20E0-44B5-A2A1-C820BC61CAD8}"/>
    <cellStyle name="20% - Énfasis2 2 2 3" xfId="9041" xr:uid="{7CD7D400-4629-4655-90B1-C2367AF91077}"/>
    <cellStyle name="20% - Énfasis2 2 3" xfId="4063" xr:uid="{00000000-0005-0000-0000-0000DF0F0000}"/>
    <cellStyle name="20% - Énfasis2 2 3 2" xfId="4064" xr:uid="{00000000-0005-0000-0000-0000E00F0000}"/>
    <cellStyle name="20% - Énfasis2 2 3 2 2" xfId="9044" xr:uid="{B0C6B6CB-138B-4FE3-9499-9A64067E12DE}"/>
    <cellStyle name="20% - Énfasis2 2 3 3" xfId="9043" xr:uid="{955CEDB9-8235-4B62-ADFA-8F7DBF87AB9C}"/>
    <cellStyle name="20% - Énfasis2 2 4" xfId="4065" xr:uid="{00000000-0005-0000-0000-0000E10F0000}"/>
    <cellStyle name="20% - Énfasis2 2 4 2" xfId="9045" xr:uid="{E28E1D14-A133-4C3A-846F-CAF7124401EE}"/>
    <cellStyle name="20% - Énfasis2 2 5" xfId="4066" xr:uid="{00000000-0005-0000-0000-0000E20F0000}"/>
    <cellStyle name="20% - Énfasis2 2 5 2" xfId="9046" xr:uid="{7F2CCB17-CE52-4CC6-84CC-205ABD866044}"/>
    <cellStyle name="20% - Énfasis2 2 6" xfId="8014" xr:uid="{E821E09C-7D74-4CB2-9BD0-F54B3A39577F}"/>
    <cellStyle name="20% - Énfasis2 3" xfId="3313" xr:uid="{00000000-0005-0000-0000-0000F10C0000}"/>
    <cellStyle name="20% - Énfasis2 3 2" xfId="4067" xr:uid="{00000000-0005-0000-0000-0000E30F0000}"/>
    <cellStyle name="20% - Énfasis2 3 2 2" xfId="9047" xr:uid="{4318C2BE-3876-4F7A-99E7-DB65931135A6}"/>
    <cellStyle name="20% - Énfasis2 3 3" xfId="4068" xr:uid="{00000000-0005-0000-0000-0000E40F0000}"/>
    <cellStyle name="20% - Énfasis2 3 3 2" xfId="9048" xr:uid="{9AE22DFA-8980-4E17-B05E-6BDF82576908}"/>
    <cellStyle name="20% - Énfasis2 3 4" xfId="4069" xr:uid="{00000000-0005-0000-0000-0000E50F0000}"/>
    <cellStyle name="20% - Énfasis2 3 4 2" xfId="9049" xr:uid="{391483E3-0246-4EE2-AE02-55D07D1629A4}"/>
    <cellStyle name="20% - Énfasis2 3 5" xfId="8759" xr:uid="{3905148C-0181-4271-9EB4-8A77807EF2DA}"/>
    <cellStyle name="20% - Énfasis2 4" xfId="4070" xr:uid="{00000000-0005-0000-0000-0000E60F0000}"/>
    <cellStyle name="20% - Énfasis2 4 2" xfId="4071" xr:uid="{00000000-0005-0000-0000-0000E70F0000}"/>
    <cellStyle name="20% - Énfasis2 4 2 2" xfId="9051" xr:uid="{50418A68-85E6-4D74-8BD0-C906B1BF8F8E}"/>
    <cellStyle name="20% - Énfasis2 4 3" xfId="4072" xr:uid="{00000000-0005-0000-0000-0000E80F0000}"/>
    <cellStyle name="20% - Énfasis2 4 3 2" xfId="9052" xr:uid="{9A677617-7A7E-4FD8-A99F-F85111AE273E}"/>
    <cellStyle name="20% - Énfasis2 4 4" xfId="9050" xr:uid="{1759F41B-671F-4D31-9971-EF0948273411}"/>
    <cellStyle name="20% - Énfasis2 5" xfId="4073" xr:uid="{00000000-0005-0000-0000-0000E90F0000}"/>
    <cellStyle name="20% - Énfasis2 5 2" xfId="4074" xr:uid="{00000000-0005-0000-0000-0000EA0F0000}"/>
    <cellStyle name="20% - Énfasis2 5 2 2" xfId="9054" xr:uid="{BDBE1DFD-D8D6-41EE-83DD-8455D790ED0E}"/>
    <cellStyle name="20% - Énfasis2 5 3" xfId="9053" xr:uid="{71DCA7B6-5BA6-4026-B680-C23CCE2085C0}"/>
    <cellStyle name="20% - Énfasis2 6" xfId="4075" xr:uid="{00000000-0005-0000-0000-0000EB0F0000}"/>
    <cellStyle name="20% - Énfasis2 6 2" xfId="4076" xr:uid="{00000000-0005-0000-0000-0000EC0F0000}"/>
    <cellStyle name="20% - Énfasis2 6 2 2" xfId="9056" xr:uid="{4CA4E6BA-24B9-430A-BBDA-E99133F8E5C2}"/>
    <cellStyle name="20% - Énfasis2 6 3" xfId="9055" xr:uid="{5157EAD1-EBA1-4717-ACD7-1F7BA51F63A4}"/>
    <cellStyle name="20% - Énfasis2 7" xfId="4077" xr:uid="{00000000-0005-0000-0000-0000ED0F0000}"/>
    <cellStyle name="20% - Énfasis2 7 2" xfId="4078" xr:uid="{00000000-0005-0000-0000-0000EE0F0000}"/>
    <cellStyle name="20% - Énfasis2 7 2 2" xfId="9058" xr:uid="{9832AA7B-0417-4E92-B29E-047C9E2969C6}"/>
    <cellStyle name="20% - Énfasis2 7 3" xfId="9057" xr:uid="{78683B7E-6057-4396-948A-A0E34D7364F6}"/>
    <cellStyle name="20% - Énfasis2 8" xfId="4079" xr:uid="{00000000-0005-0000-0000-0000EF0F0000}"/>
    <cellStyle name="20% - Énfasis2 8 2" xfId="4080" xr:uid="{00000000-0005-0000-0000-0000F00F0000}"/>
    <cellStyle name="20% - Énfasis2 8 2 2" xfId="9060" xr:uid="{01728061-B52B-4E32-8ED1-53CE76D04E63}"/>
    <cellStyle name="20% - Énfasis2 8 3" xfId="9059" xr:uid="{2984F0D7-B5ED-40FD-B4BA-FD95CC1AFD1A}"/>
    <cellStyle name="20% - Énfasis2 9" xfId="4081" xr:uid="{00000000-0005-0000-0000-0000F10F0000}"/>
    <cellStyle name="20% - Énfasis2 9 2" xfId="4082" xr:uid="{00000000-0005-0000-0000-0000F20F0000}"/>
    <cellStyle name="20% - Énfasis2 9 2 2" xfId="9062" xr:uid="{22C5348D-6913-4313-A78E-B154EDEE528D}"/>
    <cellStyle name="20% - Énfasis2 9 3" xfId="9061" xr:uid="{8D48B712-721B-4F98-B25B-CB0B23DFE2AC}"/>
    <cellStyle name="20% - Énfasis3 10" xfId="4083" xr:uid="{00000000-0005-0000-0000-0000F30F0000}"/>
    <cellStyle name="20% - Énfasis3 10 2" xfId="4084" xr:uid="{00000000-0005-0000-0000-0000F40F0000}"/>
    <cellStyle name="20% - Énfasis3 10 2 2" xfId="9064" xr:uid="{7259AA48-82DC-4A52-8960-41ACC1F89546}"/>
    <cellStyle name="20% - Énfasis3 10 3" xfId="9063" xr:uid="{3322795B-8C71-4983-8CCB-6AB816C1AA54}"/>
    <cellStyle name="20% - Énfasis3 11" xfId="4085" xr:uid="{00000000-0005-0000-0000-0000F50F0000}"/>
    <cellStyle name="20% - Énfasis3 11 2" xfId="4086" xr:uid="{00000000-0005-0000-0000-0000F60F0000}"/>
    <cellStyle name="20% - Énfasis3 11 2 2" xfId="9066" xr:uid="{D2F174F7-517F-4D48-A2F3-D7198237246C}"/>
    <cellStyle name="20% - Énfasis3 11 3" xfId="9065" xr:uid="{CA96608A-6553-4B4D-AAD5-A47F3CDF3280}"/>
    <cellStyle name="20% - Énfasis3 12" xfId="4087" xr:uid="{00000000-0005-0000-0000-0000F70F0000}"/>
    <cellStyle name="20% - Énfasis3 12 2" xfId="4088" xr:uid="{00000000-0005-0000-0000-0000F80F0000}"/>
    <cellStyle name="20% - Énfasis3 12 2 2" xfId="9068" xr:uid="{991FB2E0-3259-4B39-A5DB-6CDFDC5BF852}"/>
    <cellStyle name="20% - Énfasis3 12 3" xfId="9067" xr:uid="{A5F50A1C-3A7D-474C-8485-0A8201159E0A}"/>
    <cellStyle name="20% - Énfasis3 13" xfId="4089" xr:uid="{00000000-0005-0000-0000-0000F90F0000}"/>
    <cellStyle name="20% - Énfasis3 13 2" xfId="4090" xr:uid="{00000000-0005-0000-0000-0000FA0F0000}"/>
    <cellStyle name="20% - Énfasis3 13 2 2" xfId="9070" xr:uid="{CC977B4F-7058-4530-8901-E912D2F47D88}"/>
    <cellStyle name="20% - Énfasis3 13 3" xfId="9069" xr:uid="{4E939F85-CCDD-4474-9170-BACE952E5E89}"/>
    <cellStyle name="20% - Énfasis3 14" xfId="4091" xr:uid="{00000000-0005-0000-0000-0000FB0F0000}"/>
    <cellStyle name="20% - Énfasis3 14 2" xfId="4092" xr:uid="{00000000-0005-0000-0000-0000FC0F0000}"/>
    <cellStyle name="20% - Énfasis3 14 2 2" xfId="9072" xr:uid="{38DF2390-4811-4C7B-BE71-38693FB6182D}"/>
    <cellStyle name="20% - Énfasis3 14 3" xfId="9071" xr:uid="{5981D80D-106E-4901-A1F1-46B0F79FB512}"/>
    <cellStyle name="20% - Énfasis3 15" xfId="4093" xr:uid="{00000000-0005-0000-0000-0000FD0F0000}"/>
    <cellStyle name="20% - Énfasis3 15 2" xfId="4094" xr:uid="{00000000-0005-0000-0000-0000FE0F0000}"/>
    <cellStyle name="20% - Énfasis3 15 2 2" xfId="9074" xr:uid="{E0B15B65-7405-4972-9142-D6C395EB39C6}"/>
    <cellStyle name="20% - Énfasis3 15 3" xfId="9073" xr:uid="{AC07BC0E-C1F0-43EE-AAFC-5781D900ADA7}"/>
    <cellStyle name="20% - Énfasis3 16" xfId="4095" xr:uid="{00000000-0005-0000-0000-0000FF0F0000}"/>
    <cellStyle name="20% - Énfasis3 16 2" xfId="9075" xr:uid="{0C170A4E-6031-40A3-ACD7-5C787284E22D}"/>
    <cellStyle name="20% - Énfasis3 2" xfId="873" xr:uid="{00000000-0005-0000-0000-000069030000}"/>
    <cellStyle name="20% - Énfasis3 2 2" xfId="874" xr:uid="{00000000-0005-0000-0000-00006A030000}"/>
    <cellStyle name="20% - Énfasis3 2 2 2" xfId="4096" xr:uid="{00000000-0005-0000-0000-000000100000}"/>
    <cellStyle name="20% - Énfasis3 2 2 2 2" xfId="9076" xr:uid="{FE241412-BA4E-4A8F-AA43-2C74960CB3A1}"/>
    <cellStyle name="20% - Énfasis3 2 2 3" xfId="4097" xr:uid="{00000000-0005-0000-0000-000001100000}"/>
    <cellStyle name="20% - Énfasis3 2 2 3 2" xfId="9077" xr:uid="{3198D6AF-95D4-420A-B85D-CC40CF489913}"/>
    <cellStyle name="20% - Énfasis3 2 2 4" xfId="4098" xr:uid="{00000000-0005-0000-0000-000002100000}"/>
    <cellStyle name="20% - Énfasis3 2 2 4 2" xfId="4099" xr:uid="{00000000-0005-0000-0000-000003100000}"/>
    <cellStyle name="20% - Énfasis3 2 2 4 2 2" xfId="9079" xr:uid="{7A91898A-793E-40A7-91F6-1B92D034F4D0}"/>
    <cellStyle name="20% - Énfasis3 2 2 4 3" xfId="9078" xr:uid="{F123B4E9-D35C-4A01-9971-C47F9450D55C}"/>
    <cellStyle name="20% - Énfasis3 2 2 5" xfId="8016" xr:uid="{54E806C5-5D08-419A-BFC8-B0B8259F37EA}"/>
    <cellStyle name="20% - Énfasis3 2 3" xfId="4100" xr:uid="{00000000-0005-0000-0000-000004100000}"/>
    <cellStyle name="20% - Énfasis3 2 3 2" xfId="9080" xr:uid="{3965E809-0979-4CA8-8467-08B4FDC18317}"/>
    <cellStyle name="20% - Énfasis3 2 4" xfId="4101" xr:uid="{00000000-0005-0000-0000-000005100000}"/>
    <cellStyle name="20% - Énfasis3 2 4 2" xfId="4102" xr:uid="{00000000-0005-0000-0000-000006100000}"/>
    <cellStyle name="20% - Énfasis3 2 4 2 2" xfId="9082" xr:uid="{A1C901CE-652C-4794-BB80-71BD3C2E1437}"/>
    <cellStyle name="20% - Énfasis3 2 4 3" xfId="9081" xr:uid="{8199D543-AA70-464B-ABD6-C9874E2C0168}"/>
    <cellStyle name="20% - Énfasis3 2 5" xfId="4103" xr:uid="{00000000-0005-0000-0000-000007100000}"/>
    <cellStyle name="20% - Énfasis3 2 5 2" xfId="9083" xr:uid="{015E0480-9281-441B-B1E0-846D05122EF0}"/>
    <cellStyle name="20% - Énfasis3 2 6" xfId="4104" xr:uid="{00000000-0005-0000-0000-000008100000}"/>
    <cellStyle name="20% - Énfasis3 2 6 2" xfId="9084" xr:uid="{EDCA0EDF-848D-4363-8E9D-F346A2084A1E}"/>
    <cellStyle name="20% - Énfasis3 2 7" xfId="8015" xr:uid="{12530B5C-DAA0-4476-B6F5-F12EC61D4439}"/>
    <cellStyle name="20% - Énfasis3 2_Deuda septiembre_marcos" xfId="875" xr:uid="{00000000-0005-0000-0000-00006B030000}"/>
    <cellStyle name="20% - Énfasis3 3" xfId="3314" xr:uid="{00000000-0005-0000-0000-0000F20C0000}"/>
    <cellStyle name="20% - Énfasis3 3 2" xfId="4105" xr:uid="{00000000-0005-0000-0000-000009100000}"/>
    <cellStyle name="20% - Énfasis3 3 2 2" xfId="9085" xr:uid="{F14B1C16-F855-4339-B5DD-7BAFD834FA0A}"/>
    <cellStyle name="20% - Énfasis3 3 3" xfId="4106" xr:uid="{00000000-0005-0000-0000-00000A100000}"/>
    <cellStyle name="20% - Énfasis3 3 3 2" xfId="9086" xr:uid="{F2FA1DEF-17B4-480C-AD99-BF5A704975C1}"/>
    <cellStyle name="20% - Énfasis3 3 4" xfId="4107" xr:uid="{00000000-0005-0000-0000-00000B100000}"/>
    <cellStyle name="20% - Énfasis3 3 4 2" xfId="9087" xr:uid="{7BB3B0F7-F101-49A7-AC9B-04A0465FF91A}"/>
    <cellStyle name="20% - Énfasis3 3 5" xfId="8760" xr:uid="{2AD33F94-9DDC-43D2-8E9F-F38097725DB1}"/>
    <cellStyle name="20% - Énfasis3 4" xfId="4108" xr:uid="{00000000-0005-0000-0000-00000C100000}"/>
    <cellStyle name="20% - Énfasis3 4 2" xfId="4109" xr:uid="{00000000-0005-0000-0000-00000D100000}"/>
    <cellStyle name="20% - Énfasis3 4 2 2" xfId="9089" xr:uid="{C5A38C09-3332-41EE-8AF9-DDA5C8885B35}"/>
    <cellStyle name="20% - Énfasis3 4 3" xfId="4110" xr:uid="{00000000-0005-0000-0000-00000E100000}"/>
    <cellStyle name="20% - Énfasis3 4 3 2" xfId="9090" xr:uid="{36A57894-3E95-4814-A0FC-680DE9A5B5FC}"/>
    <cellStyle name="20% - Énfasis3 4 4" xfId="9088" xr:uid="{0F24EDC2-90FD-45FD-9D42-FDE853B2BC8E}"/>
    <cellStyle name="20% - Énfasis3 5" xfId="4111" xr:uid="{00000000-0005-0000-0000-00000F100000}"/>
    <cellStyle name="20% - Énfasis3 5 2" xfId="4112" xr:uid="{00000000-0005-0000-0000-000010100000}"/>
    <cellStyle name="20% - Énfasis3 5 2 2" xfId="9092" xr:uid="{518AF3DE-9C4F-4388-AC08-C97E4BEAD35C}"/>
    <cellStyle name="20% - Énfasis3 5 3" xfId="9091" xr:uid="{106C8C41-32FA-48F8-9FD0-AA2FA50F840D}"/>
    <cellStyle name="20% - Énfasis3 6" xfId="4113" xr:uid="{00000000-0005-0000-0000-000011100000}"/>
    <cellStyle name="20% - Énfasis3 6 2" xfId="4114" xr:uid="{00000000-0005-0000-0000-000012100000}"/>
    <cellStyle name="20% - Énfasis3 6 2 2" xfId="9094" xr:uid="{FD482F6C-31DE-4032-AA05-021D7A76BDD8}"/>
    <cellStyle name="20% - Énfasis3 6 3" xfId="9093" xr:uid="{9E417175-C3BD-4F69-B2B7-D14A36D7C74F}"/>
    <cellStyle name="20% - Énfasis3 7" xfId="4115" xr:uid="{00000000-0005-0000-0000-000013100000}"/>
    <cellStyle name="20% - Énfasis3 7 2" xfId="4116" xr:uid="{00000000-0005-0000-0000-000014100000}"/>
    <cellStyle name="20% - Énfasis3 7 2 2" xfId="9096" xr:uid="{2755D5DD-51D1-4C14-8324-417C9A4E49CA}"/>
    <cellStyle name="20% - Énfasis3 7 3" xfId="9095" xr:uid="{A3EC00B8-E4BA-4290-B1D2-DB88D142B566}"/>
    <cellStyle name="20% - Énfasis3 8" xfId="4117" xr:uid="{00000000-0005-0000-0000-000015100000}"/>
    <cellStyle name="20% - Énfasis3 8 2" xfId="4118" xr:uid="{00000000-0005-0000-0000-000016100000}"/>
    <cellStyle name="20% - Énfasis3 8 2 2" xfId="9098" xr:uid="{B6E4534E-353A-45BD-8622-B8493F9A849B}"/>
    <cellStyle name="20% - Énfasis3 8 3" xfId="9097" xr:uid="{397AACCE-4BA5-4C57-8984-C55B6CF10FC5}"/>
    <cellStyle name="20% - Énfasis3 9" xfId="4119" xr:uid="{00000000-0005-0000-0000-000017100000}"/>
    <cellStyle name="20% - Énfasis3 9 2" xfId="4120" xr:uid="{00000000-0005-0000-0000-000018100000}"/>
    <cellStyle name="20% - Énfasis3 9 2 2" xfId="9100" xr:uid="{3446920F-5FF7-4C45-B67F-2F9DF86F2818}"/>
    <cellStyle name="20% - Énfasis3 9 3" xfId="9099" xr:uid="{F3F027FE-64FA-4100-B3E6-370EFE6D9488}"/>
    <cellStyle name="20% - Énfasis4 10" xfId="4121" xr:uid="{00000000-0005-0000-0000-000019100000}"/>
    <cellStyle name="20% - Énfasis4 10 2" xfId="4122" xr:uid="{00000000-0005-0000-0000-00001A100000}"/>
    <cellStyle name="20% - Énfasis4 10 2 2" xfId="9102" xr:uid="{BADF658A-B727-42C0-A12F-CB1C61AB9B87}"/>
    <cellStyle name="20% - Énfasis4 10 3" xfId="9101" xr:uid="{90C42CF5-3D68-41F2-B411-343DFF0B91CE}"/>
    <cellStyle name="20% - Énfasis4 11" xfId="4123" xr:uid="{00000000-0005-0000-0000-00001B100000}"/>
    <cellStyle name="20% - Énfasis4 11 2" xfId="4124" xr:uid="{00000000-0005-0000-0000-00001C100000}"/>
    <cellStyle name="20% - Énfasis4 11 2 2" xfId="9104" xr:uid="{502B09A4-C2B1-4C55-8BA9-BFBCABC05CEF}"/>
    <cellStyle name="20% - Énfasis4 11 3" xfId="9103" xr:uid="{77B1BC00-3788-40A7-B9BF-DBE2627E1EB6}"/>
    <cellStyle name="20% - Énfasis4 12" xfId="4125" xr:uid="{00000000-0005-0000-0000-00001D100000}"/>
    <cellStyle name="20% - Énfasis4 12 2" xfId="4126" xr:uid="{00000000-0005-0000-0000-00001E100000}"/>
    <cellStyle name="20% - Énfasis4 12 2 2" xfId="9106" xr:uid="{7AFF53BC-B485-49D8-8F90-2E15CD53161B}"/>
    <cellStyle name="20% - Énfasis4 12 3" xfId="9105" xr:uid="{32F5FD6C-1CAE-4E2B-BF6C-B5793BD1B747}"/>
    <cellStyle name="20% - Énfasis4 13" xfId="4127" xr:uid="{00000000-0005-0000-0000-00001F100000}"/>
    <cellStyle name="20% - Énfasis4 13 2" xfId="4128" xr:uid="{00000000-0005-0000-0000-000020100000}"/>
    <cellStyle name="20% - Énfasis4 13 2 2" xfId="9108" xr:uid="{EE1E9707-EA03-4EE8-AE32-D5259032C2A6}"/>
    <cellStyle name="20% - Énfasis4 13 3" xfId="9107" xr:uid="{E81FE81E-7045-4A2B-B30C-B623230A8792}"/>
    <cellStyle name="20% - Énfasis4 14" xfId="4129" xr:uid="{00000000-0005-0000-0000-000021100000}"/>
    <cellStyle name="20% - Énfasis4 14 2" xfId="4130" xr:uid="{00000000-0005-0000-0000-000022100000}"/>
    <cellStyle name="20% - Énfasis4 14 2 2" xfId="9110" xr:uid="{8A342642-904E-43F3-9B1F-5E1A47FBAAD7}"/>
    <cellStyle name="20% - Énfasis4 14 3" xfId="9109" xr:uid="{E3407A0B-C82C-4F63-83DB-354C8E99EE07}"/>
    <cellStyle name="20% - Énfasis4 15" xfId="4131" xr:uid="{00000000-0005-0000-0000-000023100000}"/>
    <cellStyle name="20% - Énfasis4 15 2" xfId="4132" xr:uid="{00000000-0005-0000-0000-000024100000}"/>
    <cellStyle name="20% - Énfasis4 15 2 2" xfId="9112" xr:uid="{C4FAF93E-EACD-4EA1-99C8-4F948569D890}"/>
    <cellStyle name="20% - Énfasis4 15 3" xfId="9111" xr:uid="{061AE749-5679-4DAE-AD8B-C3E4083B6624}"/>
    <cellStyle name="20% - Énfasis4 16" xfId="4133" xr:uid="{00000000-0005-0000-0000-000025100000}"/>
    <cellStyle name="20% - Énfasis4 16 2" xfId="4134" xr:uid="{00000000-0005-0000-0000-000026100000}"/>
    <cellStyle name="20% - Énfasis4 16 2 2" xfId="9114" xr:uid="{7A0EBB91-53BB-440B-AE5B-1EC6C2C9951A}"/>
    <cellStyle name="20% - Énfasis4 16 3" xfId="9113" xr:uid="{01FAF565-72D3-4522-9E09-30E91454BC7D}"/>
    <cellStyle name="20% - Énfasis4 17" xfId="4135" xr:uid="{00000000-0005-0000-0000-000027100000}"/>
    <cellStyle name="20% - Énfasis4 17 2" xfId="9115" xr:uid="{C89B1411-3627-4A33-ABF4-E4DBC86815FA}"/>
    <cellStyle name="20% - Énfasis4 2" xfId="876" xr:uid="{00000000-0005-0000-0000-00006C030000}"/>
    <cellStyle name="20% - Énfasis4 2 2" xfId="877" xr:uid="{00000000-0005-0000-0000-00006D030000}"/>
    <cellStyle name="20% - Énfasis4 2 2 2" xfId="4136" xr:uid="{00000000-0005-0000-0000-000028100000}"/>
    <cellStyle name="20% - Énfasis4 2 2 2 2" xfId="9116" xr:uid="{CEADFFAA-A38F-4D9C-B4C2-B0976498B7B6}"/>
    <cellStyle name="20% - Énfasis4 2 2 3" xfId="4137" xr:uid="{00000000-0005-0000-0000-000029100000}"/>
    <cellStyle name="20% - Énfasis4 2 2 3 2" xfId="9117" xr:uid="{9E75E2FB-AE11-41EB-AA6A-20BFCC8A6415}"/>
    <cellStyle name="20% - Énfasis4 2 2 4" xfId="4138" xr:uid="{00000000-0005-0000-0000-00002A100000}"/>
    <cellStyle name="20% - Énfasis4 2 2 4 2" xfId="4139" xr:uid="{00000000-0005-0000-0000-00002B100000}"/>
    <cellStyle name="20% - Énfasis4 2 2 4 2 2" xfId="9119" xr:uid="{CBE8FB8B-D21C-4FEC-87D2-BC9684BA6A0F}"/>
    <cellStyle name="20% - Énfasis4 2 2 4 3" xfId="9118" xr:uid="{FB1F6954-803B-4256-86E1-591A6EDF2DAD}"/>
    <cellStyle name="20% - Énfasis4 2 2 5" xfId="8018" xr:uid="{01FE28E6-0C1B-408B-824E-28BC9FD79FEA}"/>
    <cellStyle name="20% - Énfasis4 2 3" xfId="4140" xr:uid="{00000000-0005-0000-0000-00002C100000}"/>
    <cellStyle name="20% - Énfasis4 2 3 2" xfId="9120" xr:uid="{E1355921-C632-4E12-A78A-E9E38862CD64}"/>
    <cellStyle name="20% - Énfasis4 2 4" xfId="4141" xr:uid="{00000000-0005-0000-0000-00002D100000}"/>
    <cellStyle name="20% - Énfasis4 2 4 2" xfId="4142" xr:uid="{00000000-0005-0000-0000-00002E100000}"/>
    <cellStyle name="20% - Énfasis4 2 4 2 2" xfId="9122" xr:uid="{63541777-E4BC-4BE1-95DB-08BC509DD17F}"/>
    <cellStyle name="20% - Énfasis4 2 4 3" xfId="9121" xr:uid="{A07EBA3E-77DB-4169-818F-7E0CCB88DECC}"/>
    <cellStyle name="20% - Énfasis4 2 5" xfId="4143" xr:uid="{00000000-0005-0000-0000-00002F100000}"/>
    <cellStyle name="20% - Énfasis4 2 5 2" xfId="9123" xr:uid="{55CBD4CC-FFBE-4E89-BB0C-9CA8CA49C0DD}"/>
    <cellStyle name="20% - Énfasis4 2 6" xfId="4144" xr:uid="{00000000-0005-0000-0000-000030100000}"/>
    <cellStyle name="20% - Énfasis4 2 6 2" xfId="9124" xr:uid="{9E3CC351-961D-408C-94AA-1F2A904E1416}"/>
    <cellStyle name="20% - Énfasis4 2 7" xfId="8017" xr:uid="{A08A5140-0ADD-4F45-B14A-C16BF03F17C3}"/>
    <cellStyle name="20% - Énfasis4 2_Deuda septiembre_marcos" xfId="878" xr:uid="{00000000-0005-0000-0000-00006E030000}"/>
    <cellStyle name="20% - Énfasis4 3" xfId="879" xr:uid="{00000000-0005-0000-0000-00006F030000}"/>
    <cellStyle name="20% - Énfasis4 3 2" xfId="880" xr:uid="{00000000-0005-0000-0000-000070030000}"/>
    <cellStyle name="20% - Énfasis4 3 2 2" xfId="8020" xr:uid="{4071ED05-AE6A-4F3B-B9C1-F5BCD6A7110B}"/>
    <cellStyle name="20% - Énfasis4 3 3" xfId="8019" xr:uid="{95D0E12E-4815-4679-918B-87328211BBCA}"/>
    <cellStyle name="20% - Énfasis4 3_Deuda septiembre_marcos" xfId="881" xr:uid="{00000000-0005-0000-0000-000071030000}"/>
    <cellStyle name="20% - Énfasis4 4" xfId="4145" xr:uid="{00000000-0005-0000-0000-000031100000}"/>
    <cellStyle name="20% - Énfasis4 4 2" xfId="4146" xr:uid="{00000000-0005-0000-0000-000032100000}"/>
    <cellStyle name="20% - Énfasis4 4 2 2" xfId="9126" xr:uid="{E4E311A4-B6BA-4B0D-AD00-07B5746746F3}"/>
    <cellStyle name="20% - Énfasis4 4 3" xfId="4147" xr:uid="{00000000-0005-0000-0000-000033100000}"/>
    <cellStyle name="20% - Énfasis4 4 3 2" xfId="9127" xr:uid="{FD55054B-5F06-47A9-AFC1-E89C51F10996}"/>
    <cellStyle name="20% - Énfasis4 4 4" xfId="9125" xr:uid="{99377D8E-1A0B-466B-A0A5-B79648AE7D2E}"/>
    <cellStyle name="20% - Énfasis4 5" xfId="4148" xr:uid="{00000000-0005-0000-0000-000034100000}"/>
    <cellStyle name="20% - Énfasis4 5 2" xfId="4149" xr:uid="{00000000-0005-0000-0000-000035100000}"/>
    <cellStyle name="20% - Énfasis4 5 2 2" xfId="9129" xr:uid="{A9B6CB81-E3B4-44D7-A778-10A7EF9E920E}"/>
    <cellStyle name="20% - Énfasis4 5 3" xfId="4150" xr:uid="{00000000-0005-0000-0000-000036100000}"/>
    <cellStyle name="20% - Énfasis4 5 3 2" xfId="9130" xr:uid="{EA337BF1-60A9-4F0E-A5AD-C2B1085F17ED}"/>
    <cellStyle name="20% - Énfasis4 5 4" xfId="9128" xr:uid="{783C509B-AA51-4EE1-BE64-1E2A6AAAC584}"/>
    <cellStyle name="20% - Énfasis4 6" xfId="4151" xr:uid="{00000000-0005-0000-0000-000037100000}"/>
    <cellStyle name="20% - Énfasis4 6 2" xfId="4152" xr:uid="{00000000-0005-0000-0000-000038100000}"/>
    <cellStyle name="20% - Énfasis4 6 2 2" xfId="9132" xr:uid="{97C930CA-4E26-40FA-8841-538ECD1CFB82}"/>
    <cellStyle name="20% - Énfasis4 6 3" xfId="9131" xr:uid="{E421AAAE-B06B-428D-85D7-403666606FF4}"/>
    <cellStyle name="20% - Énfasis4 7" xfId="4153" xr:uid="{00000000-0005-0000-0000-000039100000}"/>
    <cellStyle name="20% - Énfasis4 7 2" xfId="4154" xr:uid="{00000000-0005-0000-0000-00003A100000}"/>
    <cellStyle name="20% - Énfasis4 7 2 2" xfId="9134" xr:uid="{DE9BEA83-40FC-48D1-B62B-998DD8883634}"/>
    <cellStyle name="20% - Énfasis4 7 3" xfId="9133" xr:uid="{31A96E59-37BE-4B8D-B882-F419EF23881F}"/>
    <cellStyle name="20% - Énfasis4 8" xfId="4155" xr:uid="{00000000-0005-0000-0000-00003B100000}"/>
    <cellStyle name="20% - Énfasis4 8 2" xfId="4156" xr:uid="{00000000-0005-0000-0000-00003C100000}"/>
    <cellStyle name="20% - Énfasis4 8 2 2" xfId="9136" xr:uid="{51504927-9AAE-4F6E-AD31-D7D4551E8E8C}"/>
    <cellStyle name="20% - Énfasis4 8 3" xfId="9135" xr:uid="{1B688E25-A15D-41E5-875B-170ECD6FA267}"/>
    <cellStyle name="20% - Énfasis4 9" xfId="4157" xr:uid="{00000000-0005-0000-0000-00003D100000}"/>
    <cellStyle name="20% - Énfasis4 9 2" xfId="4158" xr:uid="{00000000-0005-0000-0000-00003E100000}"/>
    <cellStyle name="20% - Énfasis4 9 2 2" xfId="9138" xr:uid="{F9CFA108-3BC4-4BFA-894A-3C133C1D3C43}"/>
    <cellStyle name="20% - Énfasis4 9 3" xfId="9137" xr:uid="{8C69B2C6-7CA9-4862-9448-3586A5B8C316}"/>
    <cellStyle name="20% - Énfasis5 10" xfId="4159" xr:uid="{00000000-0005-0000-0000-00003F100000}"/>
    <cellStyle name="20% - Énfasis5 10 2" xfId="4160" xr:uid="{00000000-0005-0000-0000-000040100000}"/>
    <cellStyle name="20% - Énfasis5 10 2 2" xfId="9140" xr:uid="{5DEC7122-6403-45BC-BD8B-4FA27EE60940}"/>
    <cellStyle name="20% - Énfasis5 10 3" xfId="9139" xr:uid="{53BD32D3-AFB0-4EB2-A261-7C7E9172979E}"/>
    <cellStyle name="20% - Énfasis5 11" xfId="4161" xr:uid="{00000000-0005-0000-0000-000041100000}"/>
    <cellStyle name="20% - Énfasis5 11 2" xfId="4162" xr:uid="{00000000-0005-0000-0000-000042100000}"/>
    <cellStyle name="20% - Énfasis5 11 2 2" xfId="9142" xr:uid="{E59A2723-565F-4A68-A9B4-AD93BEC55482}"/>
    <cellStyle name="20% - Énfasis5 11 3" xfId="9141" xr:uid="{A18B04E2-07D6-4AA6-BC2F-74EEA32DE389}"/>
    <cellStyle name="20% - Énfasis5 12" xfId="4163" xr:uid="{00000000-0005-0000-0000-000043100000}"/>
    <cellStyle name="20% - Énfasis5 12 2" xfId="4164" xr:uid="{00000000-0005-0000-0000-000044100000}"/>
    <cellStyle name="20% - Énfasis5 12 2 2" xfId="9144" xr:uid="{0FE48D52-C2A5-4A44-9D38-67C155FF8936}"/>
    <cellStyle name="20% - Énfasis5 12 3" xfId="9143" xr:uid="{D8AACA06-E366-4BAB-94C7-317419F5D601}"/>
    <cellStyle name="20% - Énfasis5 13" xfId="4165" xr:uid="{00000000-0005-0000-0000-000045100000}"/>
    <cellStyle name="20% - Énfasis5 13 2" xfId="4166" xr:uid="{00000000-0005-0000-0000-000046100000}"/>
    <cellStyle name="20% - Énfasis5 13 2 2" xfId="9146" xr:uid="{644A1392-689D-4B68-B99D-83330B95FD66}"/>
    <cellStyle name="20% - Énfasis5 13 3" xfId="9145" xr:uid="{D5D27E70-5B7C-487A-9E0B-69E929583F97}"/>
    <cellStyle name="20% - Énfasis5 14" xfId="4167" xr:uid="{00000000-0005-0000-0000-000047100000}"/>
    <cellStyle name="20% - Énfasis5 14 2" xfId="4168" xr:uid="{00000000-0005-0000-0000-000048100000}"/>
    <cellStyle name="20% - Énfasis5 14 2 2" xfId="9148" xr:uid="{E85E65B4-C0B5-4446-8190-16CDBD6587FB}"/>
    <cellStyle name="20% - Énfasis5 14 3" xfId="9147" xr:uid="{C591C05E-7A98-4379-A966-0E585F26346F}"/>
    <cellStyle name="20% - Énfasis5 15" xfId="4169" xr:uid="{00000000-0005-0000-0000-000049100000}"/>
    <cellStyle name="20% - Énfasis5 15 2" xfId="4170" xr:uid="{00000000-0005-0000-0000-00004A100000}"/>
    <cellStyle name="20% - Énfasis5 15 2 2" xfId="9150" xr:uid="{2D3C4D3A-0287-4BA3-B689-45DF2E3FC002}"/>
    <cellStyle name="20% - Énfasis5 15 3" xfId="9149" xr:uid="{BECAFEBF-AFCD-4127-954B-D369D93AF9E2}"/>
    <cellStyle name="20% - Énfasis5 16" xfId="4171" xr:uid="{00000000-0005-0000-0000-00004B100000}"/>
    <cellStyle name="20% - Énfasis5 16 2" xfId="9151" xr:uid="{AC6118BC-E00B-4216-87A0-AE662672910C}"/>
    <cellStyle name="20% - Énfasis5 2" xfId="882" xr:uid="{00000000-0005-0000-0000-000072030000}"/>
    <cellStyle name="20% - Énfasis5 2 2" xfId="883" xr:uid="{00000000-0005-0000-0000-000073030000}"/>
    <cellStyle name="20% - Énfasis5 2 2 2" xfId="4172" xr:uid="{00000000-0005-0000-0000-00004C100000}"/>
    <cellStyle name="20% - Énfasis5 2 2 2 2" xfId="9152" xr:uid="{770101DA-8EA1-450D-89E2-7624A01A9F31}"/>
    <cellStyle name="20% - Énfasis5 2 2 3" xfId="4173" xr:uid="{00000000-0005-0000-0000-00004D100000}"/>
    <cellStyle name="20% - Énfasis5 2 2 3 2" xfId="9153" xr:uid="{2BBC182D-98F6-4741-9D62-AAB0E67F6017}"/>
    <cellStyle name="20% - Énfasis5 2 2 4" xfId="4174" xr:uid="{00000000-0005-0000-0000-00004E100000}"/>
    <cellStyle name="20% - Énfasis5 2 2 4 2" xfId="4175" xr:uid="{00000000-0005-0000-0000-00004F100000}"/>
    <cellStyle name="20% - Énfasis5 2 2 4 2 2" xfId="9155" xr:uid="{63165CB4-52FE-44A7-AF43-81ADC3754BB9}"/>
    <cellStyle name="20% - Énfasis5 2 2 4 3" xfId="9154" xr:uid="{5D80E36C-067F-4630-94B9-A8091712880C}"/>
    <cellStyle name="20% - Énfasis5 2 2 5" xfId="8022" xr:uid="{8E1F9622-6559-4E6F-AC0D-9F2EE03CAE19}"/>
    <cellStyle name="20% - Énfasis5 2 3" xfId="4176" xr:uid="{00000000-0005-0000-0000-000050100000}"/>
    <cellStyle name="20% - Énfasis5 2 3 2" xfId="9156" xr:uid="{4A0CE64E-6B99-4D33-ADDC-267496A4D3FB}"/>
    <cellStyle name="20% - Énfasis5 2 4" xfId="4177" xr:uid="{00000000-0005-0000-0000-000051100000}"/>
    <cellStyle name="20% - Énfasis5 2 4 2" xfId="4178" xr:uid="{00000000-0005-0000-0000-000052100000}"/>
    <cellStyle name="20% - Énfasis5 2 4 2 2" xfId="9158" xr:uid="{F01B0254-B4B6-41FC-A7C8-1CE46FEFD264}"/>
    <cellStyle name="20% - Énfasis5 2 4 3" xfId="9157" xr:uid="{A290DA09-CB75-4F44-97E1-DFC42D4E0FFF}"/>
    <cellStyle name="20% - Énfasis5 2 5" xfId="4179" xr:uid="{00000000-0005-0000-0000-000053100000}"/>
    <cellStyle name="20% - Énfasis5 2 5 2" xfId="9159" xr:uid="{A5746A04-E716-4A99-B72D-EFD16A0F3634}"/>
    <cellStyle name="20% - Énfasis5 2 6" xfId="4180" xr:uid="{00000000-0005-0000-0000-000054100000}"/>
    <cellStyle name="20% - Énfasis5 2 6 2" xfId="9160" xr:uid="{1F47A26A-0F0D-4562-817A-68B53B34A897}"/>
    <cellStyle name="20% - Énfasis5 2 7" xfId="8021" xr:uid="{B7533E36-386D-433C-B2F2-EDB3AEC6BBF3}"/>
    <cellStyle name="20% - Énfasis5 2_Deuda septiembre_marcos" xfId="884" xr:uid="{00000000-0005-0000-0000-000074030000}"/>
    <cellStyle name="20% - Énfasis5 3" xfId="3315" xr:uid="{00000000-0005-0000-0000-0000F30C0000}"/>
    <cellStyle name="20% - Énfasis5 3 2" xfId="4181" xr:uid="{00000000-0005-0000-0000-000055100000}"/>
    <cellStyle name="20% - Énfasis5 3 2 2" xfId="9161" xr:uid="{EEAC61CC-6AC1-46B5-A8B0-6F2C5B40A8DC}"/>
    <cellStyle name="20% - Énfasis5 3 3" xfId="4182" xr:uid="{00000000-0005-0000-0000-000056100000}"/>
    <cellStyle name="20% - Énfasis5 3 3 2" xfId="9162" xr:uid="{6DC00A65-FEE2-4EE5-BD7C-62AAB0EA9EE5}"/>
    <cellStyle name="20% - Énfasis5 3 4" xfId="4183" xr:uid="{00000000-0005-0000-0000-000057100000}"/>
    <cellStyle name="20% - Énfasis5 3 4 2" xfId="9163" xr:uid="{93CFE1F8-450C-4EF9-82C9-9E58D73CAD2A}"/>
    <cellStyle name="20% - Énfasis5 3 5" xfId="8761" xr:uid="{28E428AE-78D1-4B46-962B-818354DBE809}"/>
    <cellStyle name="20% - Énfasis5 4" xfId="4184" xr:uid="{00000000-0005-0000-0000-000058100000}"/>
    <cellStyle name="20% - Énfasis5 4 2" xfId="4185" xr:uid="{00000000-0005-0000-0000-000059100000}"/>
    <cellStyle name="20% - Énfasis5 4 2 2" xfId="9165" xr:uid="{903CD1A4-8BA5-484F-82B3-BA25FBB0C6BA}"/>
    <cellStyle name="20% - Énfasis5 4 3" xfId="4186" xr:uid="{00000000-0005-0000-0000-00005A100000}"/>
    <cellStyle name="20% - Énfasis5 4 3 2" xfId="9166" xr:uid="{8CF111A8-3584-4880-9B5D-7A72E23B4396}"/>
    <cellStyle name="20% - Énfasis5 4 4" xfId="9164" xr:uid="{07577715-3F06-40A7-8F6A-FA386C24557B}"/>
    <cellStyle name="20% - Énfasis5 5" xfId="4187" xr:uid="{00000000-0005-0000-0000-00005B100000}"/>
    <cellStyle name="20% - Énfasis5 5 2" xfId="4188" xr:uid="{00000000-0005-0000-0000-00005C100000}"/>
    <cellStyle name="20% - Énfasis5 5 2 2" xfId="9168" xr:uid="{264D97B0-ADB1-46BB-BCC7-1C13B1A69F03}"/>
    <cellStyle name="20% - Énfasis5 5 3" xfId="9167" xr:uid="{58C874A8-0793-4728-AC7B-C4E88783756A}"/>
    <cellStyle name="20% - Énfasis5 6" xfId="4189" xr:uid="{00000000-0005-0000-0000-00005D100000}"/>
    <cellStyle name="20% - Énfasis5 6 2" xfId="4190" xr:uid="{00000000-0005-0000-0000-00005E100000}"/>
    <cellStyle name="20% - Énfasis5 6 2 2" xfId="9170" xr:uid="{FCC061CD-7188-4007-9010-144F801AF387}"/>
    <cellStyle name="20% - Énfasis5 6 3" xfId="9169" xr:uid="{4830BD6D-E867-4D76-8EB0-4B57C94D2AD8}"/>
    <cellStyle name="20% - Énfasis5 7" xfId="4191" xr:uid="{00000000-0005-0000-0000-00005F100000}"/>
    <cellStyle name="20% - Énfasis5 7 2" xfId="4192" xr:uid="{00000000-0005-0000-0000-000060100000}"/>
    <cellStyle name="20% - Énfasis5 7 2 2" xfId="9172" xr:uid="{0BDEE4E3-5B0A-4652-BDA9-74030FC1A615}"/>
    <cellStyle name="20% - Énfasis5 7 3" xfId="9171" xr:uid="{66EED4F1-FD3D-42EE-A9C3-F9DD0A2C91AF}"/>
    <cellStyle name="20% - Énfasis5 8" xfId="4193" xr:uid="{00000000-0005-0000-0000-000061100000}"/>
    <cellStyle name="20% - Énfasis5 8 2" xfId="4194" xr:uid="{00000000-0005-0000-0000-000062100000}"/>
    <cellStyle name="20% - Énfasis5 8 2 2" xfId="9174" xr:uid="{CBA24BAE-7817-45C9-AEA1-C25CC9338AB7}"/>
    <cellStyle name="20% - Énfasis5 8 3" xfId="9173" xr:uid="{249DB8E4-A861-4999-BF88-7EDDD46021AA}"/>
    <cellStyle name="20% - Énfasis5 9" xfId="4195" xr:uid="{00000000-0005-0000-0000-000063100000}"/>
    <cellStyle name="20% - Énfasis5 9 2" xfId="4196" xr:uid="{00000000-0005-0000-0000-000064100000}"/>
    <cellStyle name="20% - Énfasis5 9 2 2" xfId="9176" xr:uid="{32046845-1A5C-49B7-9D2E-00E3F382F851}"/>
    <cellStyle name="20% - Énfasis5 9 3" xfId="9175" xr:uid="{4ED59A75-9A8F-46BB-B575-5437849F7C80}"/>
    <cellStyle name="20% - Énfasis6 10" xfId="4197" xr:uid="{00000000-0005-0000-0000-000065100000}"/>
    <cellStyle name="20% - Énfasis6 10 2" xfId="4198" xr:uid="{00000000-0005-0000-0000-000066100000}"/>
    <cellStyle name="20% - Énfasis6 10 2 2" xfId="9178" xr:uid="{FA7F5DA2-9D4F-4A8E-9E22-7021560DED19}"/>
    <cellStyle name="20% - Énfasis6 10 3" xfId="9177" xr:uid="{23D00051-280C-4194-8CF2-DE317A9DFA24}"/>
    <cellStyle name="20% - Énfasis6 11" xfId="4199" xr:uid="{00000000-0005-0000-0000-000067100000}"/>
    <cellStyle name="20% - Énfasis6 11 2" xfId="4200" xr:uid="{00000000-0005-0000-0000-000068100000}"/>
    <cellStyle name="20% - Énfasis6 11 2 2" xfId="9180" xr:uid="{951816DD-8F1B-4C7A-8D93-5408DF3EDFF2}"/>
    <cellStyle name="20% - Énfasis6 11 3" xfId="9179" xr:uid="{2AF8B9C7-8F89-4483-B653-3ED452C97B71}"/>
    <cellStyle name="20% - Énfasis6 12" xfId="4201" xr:uid="{00000000-0005-0000-0000-000069100000}"/>
    <cellStyle name="20% - Énfasis6 12 2" xfId="4202" xr:uid="{00000000-0005-0000-0000-00006A100000}"/>
    <cellStyle name="20% - Énfasis6 12 2 2" xfId="9182" xr:uid="{B4E5FCFD-37EF-4E74-8163-AAD4824F58D4}"/>
    <cellStyle name="20% - Énfasis6 12 3" xfId="9181" xr:uid="{481E4706-E2EF-4D3C-959A-2132514463AB}"/>
    <cellStyle name="20% - Énfasis6 13" xfId="4203" xr:uid="{00000000-0005-0000-0000-00006B100000}"/>
    <cellStyle name="20% - Énfasis6 13 2" xfId="4204" xr:uid="{00000000-0005-0000-0000-00006C100000}"/>
    <cellStyle name="20% - Énfasis6 13 2 2" xfId="9184" xr:uid="{670A70E0-F156-4D8B-9A85-3558B49E3119}"/>
    <cellStyle name="20% - Énfasis6 13 3" xfId="9183" xr:uid="{69105342-3279-48C6-9665-64A7F9870589}"/>
    <cellStyle name="20% - Énfasis6 14" xfId="4205" xr:uid="{00000000-0005-0000-0000-00006D100000}"/>
    <cellStyle name="20% - Énfasis6 14 2" xfId="4206" xr:uid="{00000000-0005-0000-0000-00006E100000}"/>
    <cellStyle name="20% - Énfasis6 14 2 2" xfId="9186" xr:uid="{629A1591-F904-4B7E-939B-C3C35BDBDE02}"/>
    <cellStyle name="20% - Énfasis6 14 3" xfId="9185" xr:uid="{4FF735AF-9B63-4309-BBE2-09B3677404BC}"/>
    <cellStyle name="20% - Énfasis6 15" xfId="4207" xr:uid="{00000000-0005-0000-0000-00006F100000}"/>
    <cellStyle name="20% - Énfasis6 15 2" xfId="4208" xr:uid="{00000000-0005-0000-0000-000070100000}"/>
    <cellStyle name="20% - Énfasis6 15 2 2" xfId="9188" xr:uid="{B8F19CEE-C60C-4764-9BBC-ABEF4D88058F}"/>
    <cellStyle name="20% - Énfasis6 15 3" xfId="9187" xr:uid="{1E8F571F-CD83-484F-A3E6-2F581FB443EB}"/>
    <cellStyle name="20% - Énfasis6 16" xfId="4209" xr:uid="{00000000-0005-0000-0000-000071100000}"/>
    <cellStyle name="20% - Énfasis6 16 2" xfId="9189" xr:uid="{191E1091-EF09-40AB-A00C-178FD11E7C75}"/>
    <cellStyle name="20% - Énfasis6 2" xfId="885" xr:uid="{00000000-0005-0000-0000-000075030000}"/>
    <cellStyle name="20% - Énfasis6 2 2" xfId="886" xr:uid="{00000000-0005-0000-0000-000076030000}"/>
    <cellStyle name="20% - Énfasis6 2 2 2" xfId="4210" xr:uid="{00000000-0005-0000-0000-000072100000}"/>
    <cellStyle name="20% - Énfasis6 2 2 2 2" xfId="9190" xr:uid="{9717A291-D5C7-4C9F-9F8B-0AA4C783F4B1}"/>
    <cellStyle name="20% - Énfasis6 2 2 3" xfId="4211" xr:uid="{00000000-0005-0000-0000-000073100000}"/>
    <cellStyle name="20% - Énfasis6 2 2 3 2" xfId="9191" xr:uid="{0C278501-2538-4CDE-8323-104C5A4F5DA5}"/>
    <cellStyle name="20% - Énfasis6 2 2 4" xfId="4212" xr:uid="{00000000-0005-0000-0000-000074100000}"/>
    <cellStyle name="20% - Énfasis6 2 2 4 2" xfId="4213" xr:uid="{00000000-0005-0000-0000-000075100000}"/>
    <cellStyle name="20% - Énfasis6 2 2 4 2 2" xfId="9193" xr:uid="{7108617D-5996-46EB-8C22-48397D8C9C51}"/>
    <cellStyle name="20% - Énfasis6 2 2 4 3" xfId="9192" xr:uid="{843F2092-D06A-49CA-A611-9E29840B11AB}"/>
    <cellStyle name="20% - Énfasis6 2 2 5" xfId="8024" xr:uid="{C79763DC-54C9-4722-B6EE-FEDE801000BA}"/>
    <cellStyle name="20% - Énfasis6 2 3" xfId="4214" xr:uid="{00000000-0005-0000-0000-000076100000}"/>
    <cellStyle name="20% - Énfasis6 2 3 2" xfId="9194" xr:uid="{B2B65AC6-41BC-46E4-84CF-67D64871E2A5}"/>
    <cellStyle name="20% - Énfasis6 2 4" xfId="4215" xr:uid="{00000000-0005-0000-0000-000077100000}"/>
    <cellStyle name="20% - Énfasis6 2 4 2" xfId="4216" xr:uid="{00000000-0005-0000-0000-000078100000}"/>
    <cellStyle name="20% - Énfasis6 2 4 2 2" xfId="9196" xr:uid="{F6B4A667-BB71-498F-B70C-6636DDB11F48}"/>
    <cellStyle name="20% - Énfasis6 2 4 3" xfId="9195" xr:uid="{AEBB7D38-5C64-48C5-991D-4741E1BFB41B}"/>
    <cellStyle name="20% - Énfasis6 2 5" xfId="4217" xr:uid="{00000000-0005-0000-0000-000079100000}"/>
    <cellStyle name="20% - Énfasis6 2 5 2" xfId="9197" xr:uid="{D4E4B7F9-E050-456D-A87E-9706C94DDFE9}"/>
    <cellStyle name="20% - Énfasis6 2 6" xfId="4218" xr:uid="{00000000-0005-0000-0000-00007A100000}"/>
    <cellStyle name="20% - Énfasis6 2 6 2" xfId="9198" xr:uid="{18974061-F451-4F98-833D-AAAD8FC7D257}"/>
    <cellStyle name="20% - Énfasis6 2 7" xfId="8023" xr:uid="{32C04629-609A-4FA7-A46B-2060C87D8386}"/>
    <cellStyle name="20% - Énfasis6 2_Deuda septiembre_marcos" xfId="887" xr:uid="{00000000-0005-0000-0000-000077030000}"/>
    <cellStyle name="20% - Énfasis6 3" xfId="3316" xr:uid="{00000000-0005-0000-0000-0000F40C0000}"/>
    <cellStyle name="20% - Énfasis6 3 2" xfId="4219" xr:uid="{00000000-0005-0000-0000-00007B100000}"/>
    <cellStyle name="20% - Énfasis6 3 2 2" xfId="9199" xr:uid="{F1C54237-F3FD-4D5A-B060-785EE0269DF7}"/>
    <cellStyle name="20% - Énfasis6 3 3" xfId="4220" xr:uid="{00000000-0005-0000-0000-00007C100000}"/>
    <cellStyle name="20% - Énfasis6 3 3 2" xfId="9200" xr:uid="{BF37DB1B-1A3A-4864-87E9-5CEC3E63B076}"/>
    <cellStyle name="20% - Énfasis6 3 4" xfId="4221" xr:uid="{00000000-0005-0000-0000-00007D100000}"/>
    <cellStyle name="20% - Énfasis6 3 4 2" xfId="9201" xr:uid="{5F92C8F8-476A-406D-9574-AA5F3334591E}"/>
    <cellStyle name="20% - Énfasis6 3 5" xfId="8762" xr:uid="{52C24D2F-97A4-4782-BE86-4C8AB54A5AB2}"/>
    <cellStyle name="20% - Énfasis6 4" xfId="4222" xr:uid="{00000000-0005-0000-0000-00007E100000}"/>
    <cellStyle name="20% - Énfasis6 4 2" xfId="4223" xr:uid="{00000000-0005-0000-0000-00007F100000}"/>
    <cellStyle name="20% - Énfasis6 4 2 2" xfId="9203" xr:uid="{414228A4-7804-43FE-A838-7A43A12B813D}"/>
    <cellStyle name="20% - Énfasis6 4 3" xfId="4224" xr:uid="{00000000-0005-0000-0000-000080100000}"/>
    <cellStyle name="20% - Énfasis6 4 3 2" xfId="9204" xr:uid="{579DDD64-5722-4A2E-B065-8A0BD738CC4F}"/>
    <cellStyle name="20% - Énfasis6 4 4" xfId="9202" xr:uid="{BB6C6E15-8B9A-4DF2-A82C-D1584B95607D}"/>
    <cellStyle name="20% - Énfasis6 5" xfId="4225" xr:uid="{00000000-0005-0000-0000-000081100000}"/>
    <cellStyle name="20% - Énfasis6 5 2" xfId="4226" xr:uid="{00000000-0005-0000-0000-000082100000}"/>
    <cellStyle name="20% - Énfasis6 5 2 2" xfId="9206" xr:uid="{9CE7302A-9F86-4C37-9918-978ABFF2C4FC}"/>
    <cellStyle name="20% - Énfasis6 5 3" xfId="9205" xr:uid="{A762BDB6-737B-48D8-B48C-DA88BBBEDF02}"/>
    <cellStyle name="20% - Énfasis6 6" xfId="4227" xr:uid="{00000000-0005-0000-0000-000083100000}"/>
    <cellStyle name="20% - Énfasis6 6 2" xfId="4228" xr:uid="{00000000-0005-0000-0000-000084100000}"/>
    <cellStyle name="20% - Énfasis6 6 2 2" xfId="9208" xr:uid="{18ECD1E7-7702-4966-91F9-94B4721C18FF}"/>
    <cellStyle name="20% - Énfasis6 6 3" xfId="9207" xr:uid="{30057D1A-E936-4D16-BBA0-677CAE4B9230}"/>
    <cellStyle name="20% - Énfasis6 7" xfId="4229" xr:uid="{00000000-0005-0000-0000-000085100000}"/>
    <cellStyle name="20% - Énfasis6 7 2" xfId="4230" xr:uid="{00000000-0005-0000-0000-000086100000}"/>
    <cellStyle name="20% - Énfasis6 7 2 2" xfId="9210" xr:uid="{394D7B15-2D06-4742-9E8C-B5CC37235A0A}"/>
    <cellStyle name="20% - Énfasis6 7 3" xfId="9209" xr:uid="{46FF9E44-42D8-4A87-B0DB-ADACD2951E06}"/>
    <cellStyle name="20% - Énfasis6 8" xfId="4231" xr:uid="{00000000-0005-0000-0000-000087100000}"/>
    <cellStyle name="20% - Énfasis6 8 2" xfId="4232" xr:uid="{00000000-0005-0000-0000-000088100000}"/>
    <cellStyle name="20% - Énfasis6 8 2 2" xfId="9212" xr:uid="{349B5F62-BCF3-4C62-8E4B-B2DBE435C36D}"/>
    <cellStyle name="20% - Énfasis6 8 3" xfId="9211" xr:uid="{2FC50E77-9C92-41F1-836C-AE4F52009065}"/>
    <cellStyle name="20% - Énfasis6 9" xfId="4233" xr:uid="{00000000-0005-0000-0000-000089100000}"/>
    <cellStyle name="20% - Énfasis6 9 2" xfId="4234" xr:uid="{00000000-0005-0000-0000-00008A100000}"/>
    <cellStyle name="20% - Énfasis6 9 2 2" xfId="9214" xr:uid="{91C8A830-5F26-4547-BA4F-B29268B799A6}"/>
    <cellStyle name="20% - Énfasis6 9 3" xfId="9213" xr:uid="{0619F46B-2439-4234-88C1-AFF761EE78A6}"/>
    <cellStyle name="40% - Ênfase1" xfId="888" xr:uid="{00000000-0005-0000-0000-000078030000}"/>
    <cellStyle name="40% - Ênfase1 2" xfId="8025" xr:uid="{DAEEAA2E-DC1A-45A7-87A3-A585FC037989}"/>
    <cellStyle name="40% - Ênfase2" xfId="889" xr:uid="{00000000-0005-0000-0000-000079030000}"/>
    <cellStyle name="40% - Ênfase2 2" xfId="8026" xr:uid="{F1CE209F-C02B-43A3-8FF5-892EEC14D132}"/>
    <cellStyle name="40% - Ênfase3" xfId="890" xr:uid="{00000000-0005-0000-0000-00007A030000}"/>
    <cellStyle name="40% - Ênfase3 2" xfId="8027" xr:uid="{E4269B6F-6F2D-497A-A1E9-5AC8920F3ED3}"/>
    <cellStyle name="40% - Ênfase4" xfId="891" xr:uid="{00000000-0005-0000-0000-00007B030000}"/>
    <cellStyle name="40% - Ênfase4 2" xfId="8028" xr:uid="{B65F9F91-8F97-40C1-8B56-785214665545}"/>
    <cellStyle name="40% - Ênfase5" xfId="892" xr:uid="{00000000-0005-0000-0000-00007C030000}"/>
    <cellStyle name="40% - Ênfase5 2" xfId="8029" xr:uid="{92DAFC3E-71F5-4951-AA81-0AFA0E53C06F}"/>
    <cellStyle name="40% - Ênfase6" xfId="893" xr:uid="{00000000-0005-0000-0000-00007D030000}"/>
    <cellStyle name="40% - Ênfase6 2" xfId="8030" xr:uid="{1E13CCDA-E70B-4DAE-84C0-EE12BF3E17F5}"/>
    <cellStyle name="40% - Énfasis1 10" xfId="4235" xr:uid="{00000000-0005-0000-0000-00008B100000}"/>
    <cellStyle name="40% - Énfasis1 10 2" xfId="4236" xr:uid="{00000000-0005-0000-0000-00008C100000}"/>
    <cellStyle name="40% - Énfasis1 10 2 2" xfId="9216" xr:uid="{B046E286-B27A-4BC4-B98B-49F108CF8D41}"/>
    <cellStyle name="40% - Énfasis1 10 3" xfId="9215" xr:uid="{7380B7AE-F9BC-4FCA-B6CB-D572948CAC0B}"/>
    <cellStyle name="40% - Énfasis1 11" xfId="4237" xr:uid="{00000000-0005-0000-0000-00008D100000}"/>
    <cellStyle name="40% - Énfasis1 11 2" xfId="4238" xr:uid="{00000000-0005-0000-0000-00008E100000}"/>
    <cellStyle name="40% - Énfasis1 11 2 2" xfId="9218" xr:uid="{2F1CFDE1-DB2D-47D5-BC50-4A184AFE780A}"/>
    <cellStyle name="40% - Énfasis1 11 3" xfId="9217" xr:uid="{5688D87A-A86B-4432-8DFD-81871F0DD748}"/>
    <cellStyle name="40% - Énfasis1 12" xfId="4239" xr:uid="{00000000-0005-0000-0000-00008F100000}"/>
    <cellStyle name="40% - Énfasis1 12 2" xfId="4240" xr:uid="{00000000-0005-0000-0000-000090100000}"/>
    <cellStyle name="40% - Énfasis1 12 2 2" xfId="9220" xr:uid="{486408E8-B697-4E46-980B-D0059608ED84}"/>
    <cellStyle name="40% - Énfasis1 12 3" xfId="9219" xr:uid="{F1D30108-B4D8-40F8-AE0A-E492A788F364}"/>
    <cellStyle name="40% - Énfasis1 13" xfId="4241" xr:uid="{00000000-0005-0000-0000-000091100000}"/>
    <cellStyle name="40% - Énfasis1 13 2" xfId="4242" xr:uid="{00000000-0005-0000-0000-000092100000}"/>
    <cellStyle name="40% - Énfasis1 13 2 2" xfId="9222" xr:uid="{8FF6633F-5CB1-4816-BB81-2CAD0AD871F0}"/>
    <cellStyle name="40% - Énfasis1 13 3" xfId="9221" xr:uid="{DEA99594-8E23-476F-85FD-8255735F56FA}"/>
    <cellStyle name="40% - Énfasis1 14" xfId="4243" xr:uid="{00000000-0005-0000-0000-000093100000}"/>
    <cellStyle name="40% - Énfasis1 14 2" xfId="4244" xr:uid="{00000000-0005-0000-0000-000094100000}"/>
    <cellStyle name="40% - Énfasis1 14 2 2" xfId="9224" xr:uid="{C26F5F0E-82C2-42A5-844C-4AFAF5683CC5}"/>
    <cellStyle name="40% - Énfasis1 14 3" xfId="9223" xr:uid="{DB344052-B344-4ADB-8F08-5EF85311C2BE}"/>
    <cellStyle name="40% - Énfasis1 15" xfId="4245" xr:uid="{00000000-0005-0000-0000-000095100000}"/>
    <cellStyle name="40% - Énfasis1 15 2" xfId="4246" xr:uid="{00000000-0005-0000-0000-000096100000}"/>
    <cellStyle name="40% - Énfasis1 15 2 2" xfId="9226" xr:uid="{F31DB8E3-FEC9-4573-9F45-D904B5B94AE4}"/>
    <cellStyle name="40% - Énfasis1 15 3" xfId="9225" xr:uid="{35EC866D-3940-4406-BEAB-59FC0D30AC7A}"/>
    <cellStyle name="40% - Énfasis1 16" xfId="4247" xr:uid="{00000000-0005-0000-0000-000097100000}"/>
    <cellStyle name="40% - Énfasis1 16 2" xfId="9227" xr:uid="{AEF31539-E325-4729-9430-3E2034150EAE}"/>
    <cellStyle name="40% - Énfasis1 2" xfId="894" xr:uid="{00000000-0005-0000-0000-00007E030000}"/>
    <cellStyle name="40% - Énfasis1 2 2" xfId="895" xr:uid="{00000000-0005-0000-0000-00007F030000}"/>
    <cellStyle name="40% - Énfasis1 2 2 2" xfId="4248" xr:uid="{00000000-0005-0000-0000-000098100000}"/>
    <cellStyle name="40% - Énfasis1 2 2 2 2" xfId="9228" xr:uid="{D0E2618B-4AC6-4C55-B988-E2EC25705FED}"/>
    <cellStyle name="40% - Énfasis1 2 2 3" xfId="4249" xr:uid="{00000000-0005-0000-0000-000099100000}"/>
    <cellStyle name="40% - Énfasis1 2 2 3 2" xfId="9229" xr:uid="{E14E18E7-FADA-4D8F-9377-A7F9561FBF4A}"/>
    <cellStyle name="40% - Énfasis1 2 2 4" xfId="4250" xr:uid="{00000000-0005-0000-0000-00009A100000}"/>
    <cellStyle name="40% - Énfasis1 2 2 4 2" xfId="4251" xr:uid="{00000000-0005-0000-0000-00009B100000}"/>
    <cellStyle name="40% - Énfasis1 2 2 4 2 2" xfId="9231" xr:uid="{D67FD5A4-652A-41BF-90D9-16F80069C217}"/>
    <cellStyle name="40% - Énfasis1 2 2 4 3" xfId="9230" xr:uid="{C67478B6-F3B6-4638-AD1E-61AF871E134C}"/>
    <cellStyle name="40% - Énfasis1 2 2 5" xfId="8032" xr:uid="{B1A53259-7CF7-4CE4-9962-5F5396B108BF}"/>
    <cellStyle name="40% - Énfasis1 2 3" xfId="4252" xr:uid="{00000000-0005-0000-0000-00009C100000}"/>
    <cellStyle name="40% - Énfasis1 2 3 2" xfId="9232" xr:uid="{429B9C60-153B-40DC-9632-D13E00D506C1}"/>
    <cellStyle name="40% - Énfasis1 2 4" xfId="4253" xr:uid="{00000000-0005-0000-0000-00009D100000}"/>
    <cellStyle name="40% - Énfasis1 2 4 2" xfId="4254" xr:uid="{00000000-0005-0000-0000-00009E100000}"/>
    <cellStyle name="40% - Énfasis1 2 4 2 2" xfId="9234" xr:uid="{58B1C8D1-E851-4942-A1B9-40ED3DDE8BED}"/>
    <cellStyle name="40% - Énfasis1 2 4 3" xfId="9233" xr:uid="{1A82AFCD-4A34-47E5-84A8-F573D6150726}"/>
    <cellStyle name="40% - Énfasis1 2 5" xfId="4255" xr:uid="{00000000-0005-0000-0000-00009F100000}"/>
    <cellStyle name="40% - Énfasis1 2 5 2" xfId="9235" xr:uid="{28D9D7E9-3304-425E-832D-4BDDF090B303}"/>
    <cellStyle name="40% - Énfasis1 2 6" xfId="4256" xr:uid="{00000000-0005-0000-0000-0000A0100000}"/>
    <cellStyle name="40% - Énfasis1 2 6 2" xfId="9236" xr:uid="{E889D837-92E3-48E2-9D2D-BA660EF03FC1}"/>
    <cellStyle name="40% - Énfasis1 2 7" xfId="8031" xr:uid="{331A91FA-8946-45DD-A85A-B461DFF28F7C}"/>
    <cellStyle name="40% - Énfasis1 2_Deuda septiembre_marcos" xfId="896" xr:uid="{00000000-0005-0000-0000-000080030000}"/>
    <cellStyle name="40% - Énfasis1 3" xfId="3317" xr:uid="{00000000-0005-0000-0000-0000F50C0000}"/>
    <cellStyle name="40% - Énfasis1 3 2" xfId="4257" xr:uid="{00000000-0005-0000-0000-0000A1100000}"/>
    <cellStyle name="40% - Énfasis1 3 2 2" xfId="9237" xr:uid="{93D4F6DC-C639-46C1-A9FA-EACAF3B73DCF}"/>
    <cellStyle name="40% - Énfasis1 3 3" xfId="4258" xr:uid="{00000000-0005-0000-0000-0000A2100000}"/>
    <cellStyle name="40% - Énfasis1 3 3 2" xfId="9238" xr:uid="{81E3C3FB-F80E-4D1C-83B3-2CAB04F6596F}"/>
    <cellStyle name="40% - Énfasis1 3 4" xfId="4259" xr:uid="{00000000-0005-0000-0000-0000A3100000}"/>
    <cellStyle name="40% - Énfasis1 3 4 2" xfId="9239" xr:uid="{738E7482-F2C8-4786-83E8-6DE1629304A0}"/>
    <cellStyle name="40% - Énfasis1 3 5" xfId="8763" xr:uid="{F0D26869-CEA5-4BB0-B198-6E8C73DA2E82}"/>
    <cellStyle name="40% - Énfasis1 4" xfId="4260" xr:uid="{00000000-0005-0000-0000-0000A4100000}"/>
    <cellStyle name="40% - Énfasis1 4 2" xfId="4261" xr:uid="{00000000-0005-0000-0000-0000A5100000}"/>
    <cellStyle name="40% - Énfasis1 4 2 2" xfId="9241" xr:uid="{FECA265B-4E1B-461A-A291-A2ABD261EA85}"/>
    <cellStyle name="40% - Énfasis1 4 3" xfId="4262" xr:uid="{00000000-0005-0000-0000-0000A6100000}"/>
    <cellStyle name="40% - Énfasis1 4 3 2" xfId="9242" xr:uid="{806C112E-6B09-4501-8774-B6B988A12AB7}"/>
    <cellStyle name="40% - Énfasis1 4 4" xfId="9240" xr:uid="{F5E540F4-3749-4CE3-84DB-BC642ED4BFDC}"/>
    <cellStyle name="40% - Énfasis1 5" xfId="4263" xr:uid="{00000000-0005-0000-0000-0000A7100000}"/>
    <cellStyle name="40% - Énfasis1 5 2" xfId="4264" xr:uid="{00000000-0005-0000-0000-0000A8100000}"/>
    <cellStyle name="40% - Énfasis1 5 2 2" xfId="9244" xr:uid="{A8F6DE59-946E-4C5D-8623-4FE8EB2FB9AF}"/>
    <cellStyle name="40% - Énfasis1 5 3" xfId="9243" xr:uid="{F6927B17-C0D9-4AD0-95EF-698431D4A60B}"/>
    <cellStyle name="40% - Énfasis1 6" xfId="4265" xr:uid="{00000000-0005-0000-0000-0000A9100000}"/>
    <cellStyle name="40% - Énfasis1 6 2" xfId="4266" xr:uid="{00000000-0005-0000-0000-0000AA100000}"/>
    <cellStyle name="40% - Énfasis1 6 2 2" xfId="9246" xr:uid="{842AA0CD-B373-49D6-8A22-C4BF133AD244}"/>
    <cellStyle name="40% - Énfasis1 6 3" xfId="9245" xr:uid="{3877422F-9971-4BD3-A341-661E5445CECE}"/>
    <cellStyle name="40% - Énfasis1 7" xfId="4267" xr:uid="{00000000-0005-0000-0000-0000AB100000}"/>
    <cellStyle name="40% - Énfasis1 7 2" xfId="4268" xr:uid="{00000000-0005-0000-0000-0000AC100000}"/>
    <cellStyle name="40% - Énfasis1 7 2 2" xfId="9248" xr:uid="{0D6C2987-A126-4E58-9F8E-E532EB28C623}"/>
    <cellStyle name="40% - Énfasis1 7 3" xfId="9247" xr:uid="{3C4AA3B6-3F4A-4DAC-A6E5-DFE034B594B8}"/>
    <cellStyle name="40% - Énfasis1 8" xfId="4269" xr:uid="{00000000-0005-0000-0000-0000AD100000}"/>
    <cellStyle name="40% - Énfasis1 8 2" xfId="4270" xr:uid="{00000000-0005-0000-0000-0000AE100000}"/>
    <cellStyle name="40% - Énfasis1 8 2 2" xfId="9250" xr:uid="{06CEF7A7-CA28-495D-9494-D267089F8D43}"/>
    <cellStyle name="40% - Énfasis1 8 3" xfId="9249" xr:uid="{B7033F86-7853-4F66-B4D2-5668A591C745}"/>
    <cellStyle name="40% - Énfasis1 9" xfId="4271" xr:uid="{00000000-0005-0000-0000-0000AF100000}"/>
    <cellStyle name="40% - Énfasis1 9 2" xfId="4272" xr:uid="{00000000-0005-0000-0000-0000B0100000}"/>
    <cellStyle name="40% - Énfasis1 9 2 2" xfId="9252" xr:uid="{86BCB75B-8C4C-4B65-9F8B-806B7B780967}"/>
    <cellStyle name="40% - Énfasis1 9 3" xfId="9251" xr:uid="{12C176AF-2617-485D-8393-6A9463F3D9DE}"/>
    <cellStyle name="40% - Énfasis2 10" xfId="4273" xr:uid="{00000000-0005-0000-0000-0000B1100000}"/>
    <cellStyle name="40% - Énfasis2 10 2" xfId="4274" xr:uid="{00000000-0005-0000-0000-0000B2100000}"/>
    <cellStyle name="40% - Énfasis2 10 2 2" xfId="9254" xr:uid="{74F674BA-82FF-4681-9161-11B4EBFD098B}"/>
    <cellStyle name="40% - Énfasis2 10 3" xfId="9253" xr:uid="{E1B5E622-9FF3-498D-A54F-32601B4C85D8}"/>
    <cellStyle name="40% - Énfasis2 11" xfId="4275" xr:uid="{00000000-0005-0000-0000-0000B3100000}"/>
    <cellStyle name="40% - Énfasis2 11 2" xfId="4276" xr:uid="{00000000-0005-0000-0000-0000B4100000}"/>
    <cellStyle name="40% - Énfasis2 11 2 2" xfId="9256" xr:uid="{BCA0E99D-C8FA-4BED-8078-E72C82922572}"/>
    <cellStyle name="40% - Énfasis2 11 3" xfId="9255" xr:uid="{3E8B5616-B5EB-4800-8A55-16D82304A517}"/>
    <cellStyle name="40% - Énfasis2 12" xfId="4277" xr:uid="{00000000-0005-0000-0000-0000B5100000}"/>
    <cellStyle name="40% - Énfasis2 12 2" xfId="4278" xr:uid="{00000000-0005-0000-0000-0000B6100000}"/>
    <cellStyle name="40% - Énfasis2 12 2 2" xfId="9258" xr:uid="{813E6BE4-60CD-4D06-A515-A2F84CF5C38D}"/>
    <cellStyle name="40% - Énfasis2 12 3" xfId="9257" xr:uid="{740DF048-5608-479A-B1EA-27E14D56170E}"/>
    <cellStyle name="40% - Énfasis2 13" xfId="4279" xr:uid="{00000000-0005-0000-0000-0000B7100000}"/>
    <cellStyle name="40% - Énfasis2 13 2" xfId="4280" xr:uid="{00000000-0005-0000-0000-0000B8100000}"/>
    <cellStyle name="40% - Énfasis2 13 2 2" xfId="9260" xr:uid="{2424CDF4-F669-47A0-B13F-85C10BA13FA6}"/>
    <cellStyle name="40% - Énfasis2 13 3" xfId="9259" xr:uid="{95FAB924-95A4-432D-B180-C3AE6B681250}"/>
    <cellStyle name="40% - Énfasis2 14" xfId="4281" xr:uid="{00000000-0005-0000-0000-0000B9100000}"/>
    <cellStyle name="40% - Énfasis2 14 2" xfId="4282" xr:uid="{00000000-0005-0000-0000-0000BA100000}"/>
    <cellStyle name="40% - Énfasis2 14 2 2" xfId="9262" xr:uid="{C951752D-137C-42BE-8A83-D3DE92844564}"/>
    <cellStyle name="40% - Énfasis2 14 3" xfId="9261" xr:uid="{F4361661-77B1-4940-B8F0-DA9DC95B372B}"/>
    <cellStyle name="40% - Énfasis2 15" xfId="4283" xr:uid="{00000000-0005-0000-0000-0000BB100000}"/>
    <cellStyle name="40% - Énfasis2 15 2" xfId="9263" xr:uid="{27B47418-418A-4FBB-BF5F-5022FB1B81C9}"/>
    <cellStyle name="40% - Énfasis2 2" xfId="897" xr:uid="{00000000-0005-0000-0000-000081030000}"/>
    <cellStyle name="40% - Énfasis2 2 2" xfId="4284" xr:uid="{00000000-0005-0000-0000-0000BC100000}"/>
    <cellStyle name="40% - Énfasis2 2 2 2" xfId="4285" xr:uid="{00000000-0005-0000-0000-0000BD100000}"/>
    <cellStyle name="40% - Énfasis2 2 2 2 2" xfId="9265" xr:uid="{A0316410-208D-46A1-A405-2E8A91D70236}"/>
    <cellStyle name="40% - Énfasis2 2 2 3" xfId="9264" xr:uid="{81BCFF1D-28A6-4FB5-BCCD-EE5AA8D8ED4B}"/>
    <cellStyle name="40% - Énfasis2 2 3" xfId="4286" xr:uid="{00000000-0005-0000-0000-0000BE100000}"/>
    <cellStyle name="40% - Énfasis2 2 3 2" xfId="4287" xr:uid="{00000000-0005-0000-0000-0000BF100000}"/>
    <cellStyle name="40% - Énfasis2 2 3 2 2" xfId="9267" xr:uid="{5DA0A8B6-53C1-43B9-BA3F-D0CF36D989EA}"/>
    <cellStyle name="40% - Énfasis2 2 3 3" xfId="9266" xr:uid="{BDBE0AAB-3CFB-4836-8FA9-30F56506DB98}"/>
    <cellStyle name="40% - Énfasis2 2 4" xfId="4288" xr:uid="{00000000-0005-0000-0000-0000C0100000}"/>
    <cellStyle name="40% - Énfasis2 2 4 2" xfId="9268" xr:uid="{442B7248-198A-421D-B217-B64D70766A48}"/>
    <cellStyle name="40% - Énfasis2 2 5" xfId="4289" xr:uid="{00000000-0005-0000-0000-0000C1100000}"/>
    <cellStyle name="40% - Énfasis2 2 5 2" xfId="9269" xr:uid="{13BEAEC6-3E3F-4A1D-A36E-334045251960}"/>
    <cellStyle name="40% - Énfasis2 2 6" xfId="8033" xr:uid="{977DC352-B37D-4F8D-9142-2F4F0F9A2939}"/>
    <cellStyle name="40% - Énfasis2 3" xfId="3318" xr:uid="{00000000-0005-0000-0000-0000F60C0000}"/>
    <cellStyle name="40% - Énfasis2 3 2" xfId="4290" xr:uid="{00000000-0005-0000-0000-0000C2100000}"/>
    <cellStyle name="40% - Énfasis2 3 2 2" xfId="9270" xr:uid="{C9C6B3A3-321F-4818-812A-76EFA33FF330}"/>
    <cellStyle name="40% - Énfasis2 3 3" xfId="4291" xr:uid="{00000000-0005-0000-0000-0000C3100000}"/>
    <cellStyle name="40% - Énfasis2 3 3 2" xfId="9271" xr:uid="{89240B77-0DA4-4D17-89DA-BF724EEB556B}"/>
    <cellStyle name="40% - Énfasis2 3 4" xfId="4292" xr:uid="{00000000-0005-0000-0000-0000C4100000}"/>
    <cellStyle name="40% - Énfasis2 3 4 2" xfId="9272" xr:uid="{1BF5DB46-154E-417E-9CDF-24D5B9641FFF}"/>
    <cellStyle name="40% - Énfasis2 3 5" xfId="8764" xr:uid="{A22EAF26-8443-4B3F-AC95-8C7AC851669C}"/>
    <cellStyle name="40% - Énfasis2 4" xfId="4293" xr:uid="{00000000-0005-0000-0000-0000C5100000}"/>
    <cellStyle name="40% - Énfasis2 4 2" xfId="4294" xr:uid="{00000000-0005-0000-0000-0000C6100000}"/>
    <cellStyle name="40% - Énfasis2 4 2 2" xfId="9274" xr:uid="{1C6D6D90-18BE-40D2-A1B1-0DB3E722AED1}"/>
    <cellStyle name="40% - Énfasis2 4 3" xfId="4295" xr:uid="{00000000-0005-0000-0000-0000C7100000}"/>
    <cellStyle name="40% - Énfasis2 4 3 2" xfId="9275" xr:uid="{455F5312-BD8F-4D23-96D6-65B7D13B2E57}"/>
    <cellStyle name="40% - Énfasis2 4 4" xfId="9273" xr:uid="{C082B68F-E696-4AE7-B0CD-C4DCC882502C}"/>
    <cellStyle name="40% - Énfasis2 5" xfId="4296" xr:uid="{00000000-0005-0000-0000-0000C8100000}"/>
    <cellStyle name="40% - Énfasis2 5 2" xfId="4297" xr:uid="{00000000-0005-0000-0000-0000C9100000}"/>
    <cellStyle name="40% - Énfasis2 5 2 2" xfId="9277" xr:uid="{1D19BD87-868D-43C5-870B-179AA9027A63}"/>
    <cellStyle name="40% - Énfasis2 5 3" xfId="9276" xr:uid="{C47079D8-85A9-4BB6-A486-5B3B0ABF49EC}"/>
    <cellStyle name="40% - Énfasis2 6" xfId="4298" xr:uid="{00000000-0005-0000-0000-0000CA100000}"/>
    <cellStyle name="40% - Énfasis2 6 2" xfId="4299" xr:uid="{00000000-0005-0000-0000-0000CB100000}"/>
    <cellStyle name="40% - Énfasis2 6 2 2" xfId="9279" xr:uid="{6C116131-E534-4321-BFDD-8D1A24613735}"/>
    <cellStyle name="40% - Énfasis2 6 3" xfId="9278" xr:uid="{080B489A-6E53-4D22-893A-3B5F052338BD}"/>
    <cellStyle name="40% - Énfasis2 7" xfId="4300" xr:uid="{00000000-0005-0000-0000-0000CC100000}"/>
    <cellStyle name="40% - Énfasis2 7 2" xfId="4301" xr:uid="{00000000-0005-0000-0000-0000CD100000}"/>
    <cellStyle name="40% - Énfasis2 7 2 2" xfId="9281" xr:uid="{A260DBF9-7C9A-4AF4-85BF-1AAF95226866}"/>
    <cellStyle name="40% - Énfasis2 7 3" xfId="9280" xr:uid="{086BA56F-7A5A-46FB-BDBA-D70EFBDABB4B}"/>
    <cellStyle name="40% - Énfasis2 8" xfId="4302" xr:uid="{00000000-0005-0000-0000-0000CE100000}"/>
    <cellStyle name="40% - Énfasis2 8 2" xfId="4303" xr:uid="{00000000-0005-0000-0000-0000CF100000}"/>
    <cellStyle name="40% - Énfasis2 8 2 2" xfId="9283" xr:uid="{BAA07097-0AD1-4785-83CD-946806CB21E1}"/>
    <cellStyle name="40% - Énfasis2 8 3" xfId="9282" xr:uid="{91DB6A8C-89EB-4299-A65E-0CFD96600F99}"/>
    <cellStyle name="40% - Énfasis2 9" xfId="4304" xr:uid="{00000000-0005-0000-0000-0000D0100000}"/>
    <cellStyle name="40% - Énfasis2 9 2" xfId="4305" xr:uid="{00000000-0005-0000-0000-0000D1100000}"/>
    <cellStyle name="40% - Énfasis2 9 2 2" xfId="9285" xr:uid="{A0A1399B-E75E-4377-9764-29AF2BD86DF1}"/>
    <cellStyle name="40% - Énfasis2 9 3" xfId="9284" xr:uid="{7D7B69F4-8E75-4D61-9D11-492C58A9F3BB}"/>
    <cellStyle name="40% - Énfasis3 10" xfId="4306" xr:uid="{00000000-0005-0000-0000-0000D2100000}"/>
    <cellStyle name="40% - Énfasis3 10 2" xfId="4307" xr:uid="{00000000-0005-0000-0000-0000D3100000}"/>
    <cellStyle name="40% - Énfasis3 10 2 2" xfId="9287" xr:uid="{8B17CAC7-659F-4D45-8DCC-AC629A0BCEAE}"/>
    <cellStyle name="40% - Énfasis3 10 3" xfId="9286" xr:uid="{07E27BA1-CD70-42F0-8269-43EF0E78DA02}"/>
    <cellStyle name="40% - Énfasis3 11" xfId="4308" xr:uid="{00000000-0005-0000-0000-0000D4100000}"/>
    <cellStyle name="40% - Énfasis3 11 2" xfId="4309" xr:uid="{00000000-0005-0000-0000-0000D5100000}"/>
    <cellStyle name="40% - Énfasis3 11 2 2" xfId="9289" xr:uid="{48DD14B5-86CE-4B66-B014-7397D8B09BD6}"/>
    <cellStyle name="40% - Énfasis3 11 3" xfId="9288" xr:uid="{45A5722C-D9E1-4500-BFFE-F7CC3ADA57F4}"/>
    <cellStyle name="40% - Énfasis3 12" xfId="4310" xr:uid="{00000000-0005-0000-0000-0000D6100000}"/>
    <cellStyle name="40% - Énfasis3 12 2" xfId="4311" xr:uid="{00000000-0005-0000-0000-0000D7100000}"/>
    <cellStyle name="40% - Énfasis3 12 2 2" xfId="9291" xr:uid="{CF77E4B2-EA68-44F7-8CE8-D649F642E592}"/>
    <cellStyle name="40% - Énfasis3 12 3" xfId="9290" xr:uid="{8E1E802A-3CC0-4BE0-B976-A118C48F38BB}"/>
    <cellStyle name="40% - Énfasis3 13" xfId="4312" xr:uid="{00000000-0005-0000-0000-0000D8100000}"/>
    <cellStyle name="40% - Énfasis3 13 2" xfId="4313" xr:uid="{00000000-0005-0000-0000-0000D9100000}"/>
    <cellStyle name="40% - Énfasis3 13 2 2" xfId="9293" xr:uid="{66FF8E52-68E9-4AC1-B88F-EF0308A66315}"/>
    <cellStyle name="40% - Énfasis3 13 3" xfId="9292" xr:uid="{91CBBE53-2715-4CC7-8CD6-9422658AF3E4}"/>
    <cellStyle name="40% - Énfasis3 14" xfId="4314" xr:uid="{00000000-0005-0000-0000-0000DA100000}"/>
    <cellStyle name="40% - Énfasis3 14 2" xfId="4315" xr:uid="{00000000-0005-0000-0000-0000DB100000}"/>
    <cellStyle name="40% - Énfasis3 14 2 2" xfId="9295" xr:uid="{C99BC05C-13AD-48AA-9457-3611D08ED11A}"/>
    <cellStyle name="40% - Énfasis3 14 3" xfId="9294" xr:uid="{2E6232EF-0BC8-492F-AA44-E68CD8988C65}"/>
    <cellStyle name="40% - Énfasis3 15" xfId="4316" xr:uid="{00000000-0005-0000-0000-0000DC100000}"/>
    <cellStyle name="40% - Énfasis3 15 2" xfId="4317" xr:uid="{00000000-0005-0000-0000-0000DD100000}"/>
    <cellStyle name="40% - Énfasis3 15 2 2" xfId="9297" xr:uid="{0BE9AE76-71F3-4AD0-B83E-66301B836FA6}"/>
    <cellStyle name="40% - Énfasis3 15 3" xfId="9296" xr:uid="{D9FDD4FA-924A-4AD2-98C9-97AD3142ADFF}"/>
    <cellStyle name="40% - Énfasis3 16" xfId="4318" xr:uid="{00000000-0005-0000-0000-0000DE100000}"/>
    <cellStyle name="40% - Énfasis3 16 2" xfId="4319" xr:uid="{00000000-0005-0000-0000-0000DF100000}"/>
    <cellStyle name="40% - Énfasis3 16 2 2" xfId="9299" xr:uid="{40D94E72-C1A2-40AB-84CB-9082A3412834}"/>
    <cellStyle name="40% - Énfasis3 16 3" xfId="9298" xr:uid="{707DE3C3-B128-4B62-99A3-234F01F97C7B}"/>
    <cellStyle name="40% - Énfasis3 17" xfId="4320" xr:uid="{00000000-0005-0000-0000-0000E0100000}"/>
    <cellStyle name="40% - Énfasis3 17 2" xfId="9300" xr:uid="{1949CC82-D200-4FF2-A0FF-A4E2A7B9E3EC}"/>
    <cellStyle name="40% - Énfasis3 2" xfId="898" xr:uid="{00000000-0005-0000-0000-000082030000}"/>
    <cellStyle name="40% - Énfasis3 2 2" xfId="899" xr:uid="{00000000-0005-0000-0000-000083030000}"/>
    <cellStyle name="40% - Énfasis3 2 2 2" xfId="8035" xr:uid="{9651E54D-310E-4E1F-94DE-879C47651924}"/>
    <cellStyle name="40% - Énfasis3 2 3" xfId="4321" xr:uid="{00000000-0005-0000-0000-0000E1100000}"/>
    <cellStyle name="40% - Énfasis3 2 3 2" xfId="9301" xr:uid="{2D5BF996-F0EB-4C81-9674-F9A126FCD0C6}"/>
    <cellStyle name="40% - Énfasis3 2 4" xfId="4322" xr:uid="{00000000-0005-0000-0000-0000E2100000}"/>
    <cellStyle name="40% - Énfasis3 2 4 2" xfId="4323" xr:uid="{00000000-0005-0000-0000-0000E3100000}"/>
    <cellStyle name="40% - Énfasis3 2 4 2 2" xfId="9303" xr:uid="{BD162230-42E9-411C-B4BA-CA12C392BC7A}"/>
    <cellStyle name="40% - Énfasis3 2 4 3" xfId="9302" xr:uid="{2A9B6D33-BAC7-4A6D-8247-95539C246F86}"/>
    <cellStyle name="40% - Énfasis3 2 5" xfId="4324" xr:uid="{00000000-0005-0000-0000-0000E4100000}"/>
    <cellStyle name="40% - Énfasis3 2 5 2" xfId="9304" xr:uid="{BFC81318-9FEF-4705-875D-C6444E8076D7}"/>
    <cellStyle name="40% - Énfasis3 2 6" xfId="4325" xr:uid="{00000000-0005-0000-0000-0000E5100000}"/>
    <cellStyle name="40% - Énfasis3 2 6 2" xfId="9305" xr:uid="{6A06B973-31D1-40C9-8F10-70C3AADB4D81}"/>
    <cellStyle name="40% - Énfasis3 2 7" xfId="8034" xr:uid="{39DD3822-5053-418C-9557-D85A61DA62E2}"/>
    <cellStyle name="40% - Énfasis3 2_Deuda septiembre_marcos" xfId="900" xr:uid="{00000000-0005-0000-0000-000084030000}"/>
    <cellStyle name="40% - Énfasis3 3" xfId="901" xr:uid="{00000000-0005-0000-0000-000085030000}"/>
    <cellStyle name="40% - Énfasis3 3 2" xfId="902" xr:uid="{00000000-0005-0000-0000-000086030000}"/>
    <cellStyle name="40% - Énfasis3 3 2 2" xfId="8037" xr:uid="{DC584FFE-698E-4CEE-B410-D478DFC8881C}"/>
    <cellStyle name="40% - Énfasis3 3 3" xfId="8036" xr:uid="{DC9BA7EF-A688-4C2E-97E1-616F866C430B}"/>
    <cellStyle name="40% - Énfasis3 3_Deuda septiembre_marcos" xfId="903" xr:uid="{00000000-0005-0000-0000-000087030000}"/>
    <cellStyle name="40% - Énfasis3 4" xfId="904" xr:uid="{00000000-0005-0000-0000-000088030000}"/>
    <cellStyle name="40% - Énfasis3 4 2" xfId="4326" xr:uid="{00000000-0005-0000-0000-0000E6100000}"/>
    <cellStyle name="40% - Énfasis3 4 2 2" xfId="9306" xr:uid="{692FD10B-FF7D-4E4A-B41D-F7C1802B140B}"/>
    <cellStyle name="40% - Énfasis3 4 3" xfId="4327" xr:uid="{00000000-0005-0000-0000-0000E7100000}"/>
    <cellStyle name="40% - Énfasis3 4 3 2" xfId="9307" xr:uid="{32686BFD-0C26-44DE-A9FF-6011B3E27201}"/>
    <cellStyle name="40% - Énfasis3 4 4" xfId="8038" xr:uid="{70B51E27-B3FF-4C31-ACA7-9D82AED27424}"/>
    <cellStyle name="40% - Énfasis3 5" xfId="4328" xr:uid="{00000000-0005-0000-0000-0000E8100000}"/>
    <cellStyle name="40% - Énfasis3 5 2" xfId="4329" xr:uid="{00000000-0005-0000-0000-0000E9100000}"/>
    <cellStyle name="40% - Énfasis3 5 2 2" xfId="9309" xr:uid="{985DF6DD-556E-482B-ABBA-FCF051E3F67E}"/>
    <cellStyle name="40% - Énfasis3 5 3" xfId="4330" xr:uid="{00000000-0005-0000-0000-0000EA100000}"/>
    <cellStyle name="40% - Énfasis3 5 3 2" xfId="9310" xr:uid="{55166232-6710-405B-9CF0-D415C9C23EFC}"/>
    <cellStyle name="40% - Énfasis3 5 4" xfId="9308" xr:uid="{C50519D0-D158-49A1-AFD2-CDEC63E13FE0}"/>
    <cellStyle name="40% - Énfasis3 6" xfId="4331" xr:uid="{00000000-0005-0000-0000-0000EB100000}"/>
    <cellStyle name="40% - Énfasis3 6 2" xfId="4332" xr:uid="{00000000-0005-0000-0000-0000EC100000}"/>
    <cellStyle name="40% - Énfasis3 6 2 2" xfId="9312" xr:uid="{846D33A3-DE43-4904-8D37-531D3FAB2146}"/>
    <cellStyle name="40% - Énfasis3 6 3" xfId="9311" xr:uid="{E458E1EA-94BE-432F-BEF7-574DAA9309F4}"/>
    <cellStyle name="40% - Énfasis3 7" xfId="4333" xr:uid="{00000000-0005-0000-0000-0000ED100000}"/>
    <cellStyle name="40% - Énfasis3 7 2" xfId="4334" xr:uid="{00000000-0005-0000-0000-0000EE100000}"/>
    <cellStyle name="40% - Énfasis3 7 2 2" xfId="9314" xr:uid="{10B3A7B8-DD97-4707-9561-F0087BC8B5C4}"/>
    <cellStyle name="40% - Énfasis3 7 3" xfId="9313" xr:uid="{1E53B92A-3E93-4CAC-A705-0AD73C2D1120}"/>
    <cellStyle name="40% - Énfasis3 8" xfId="4335" xr:uid="{00000000-0005-0000-0000-0000EF100000}"/>
    <cellStyle name="40% - Énfasis3 8 2" xfId="4336" xr:uid="{00000000-0005-0000-0000-0000F0100000}"/>
    <cellStyle name="40% - Énfasis3 8 2 2" xfId="9316" xr:uid="{231AC999-D213-4301-AE38-6BB13C221DD9}"/>
    <cellStyle name="40% - Énfasis3 8 3" xfId="9315" xr:uid="{25F4BA5E-C30C-4CB3-831B-5E949ACA7851}"/>
    <cellStyle name="40% - Énfasis3 9" xfId="4337" xr:uid="{00000000-0005-0000-0000-0000F1100000}"/>
    <cellStyle name="40% - Énfasis3 9 2" xfId="4338" xr:uid="{00000000-0005-0000-0000-0000F2100000}"/>
    <cellStyle name="40% - Énfasis3 9 2 2" xfId="9318" xr:uid="{F68D430F-30D3-4ADC-928E-D0FA61D5E37A}"/>
    <cellStyle name="40% - Énfasis3 9 3" xfId="9317" xr:uid="{5D7FA611-C4BE-4F7B-BF6D-A6B94D0EF527}"/>
    <cellStyle name="40% - Énfasis4 10" xfId="4339" xr:uid="{00000000-0005-0000-0000-0000F3100000}"/>
    <cellStyle name="40% - Énfasis4 10 2" xfId="4340" xr:uid="{00000000-0005-0000-0000-0000F4100000}"/>
    <cellStyle name="40% - Énfasis4 10 2 2" xfId="9320" xr:uid="{DC37225B-AC24-4834-9187-4CAB4C4A34AE}"/>
    <cellStyle name="40% - Énfasis4 10 3" xfId="9319" xr:uid="{1807EF37-1386-4F8C-AA72-49E0FD05032D}"/>
    <cellStyle name="40% - Énfasis4 11" xfId="4341" xr:uid="{00000000-0005-0000-0000-0000F5100000}"/>
    <cellStyle name="40% - Énfasis4 11 2" xfId="4342" xr:uid="{00000000-0005-0000-0000-0000F6100000}"/>
    <cellStyle name="40% - Énfasis4 11 2 2" xfId="9322" xr:uid="{7CBC91D1-AE0A-45AA-AFC5-77BEC810E127}"/>
    <cellStyle name="40% - Énfasis4 11 3" xfId="9321" xr:uid="{9738DB3B-2CC9-4EF3-852C-AFFAE7A23C5E}"/>
    <cellStyle name="40% - Énfasis4 12" xfId="4343" xr:uid="{00000000-0005-0000-0000-0000F7100000}"/>
    <cellStyle name="40% - Énfasis4 12 2" xfId="4344" xr:uid="{00000000-0005-0000-0000-0000F8100000}"/>
    <cellStyle name="40% - Énfasis4 12 2 2" xfId="9324" xr:uid="{B2CF0D9A-C57C-44A2-9719-0D3CF90CF7CD}"/>
    <cellStyle name="40% - Énfasis4 12 3" xfId="9323" xr:uid="{DB10557D-02CF-493B-ACAF-45B4694751AE}"/>
    <cellStyle name="40% - Énfasis4 13" xfId="4345" xr:uid="{00000000-0005-0000-0000-0000F9100000}"/>
    <cellStyle name="40% - Énfasis4 13 2" xfId="4346" xr:uid="{00000000-0005-0000-0000-0000FA100000}"/>
    <cellStyle name="40% - Énfasis4 13 2 2" xfId="9326" xr:uid="{C3837A29-F7CF-46F4-8C1A-BB8A06DD8BF1}"/>
    <cellStyle name="40% - Énfasis4 13 3" xfId="9325" xr:uid="{55946735-59CE-4493-AE00-DFA53CD9AE05}"/>
    <cellStyle name="40% - Énfasis4 14" xfId="4347" xr:uid="{00000000-0005-0000-0000-0000FB100000}"/>
    <cellStyle name="40% - Énfasis4 14 2" xfId="4348" xr:uid="{00000000-0005-0000-0000-0000FC100000}"/>
    <cellStyle name="40% - Énfasis4 14 2 2" xfId="9328" xr:uid="{2EE7C9EB-DF9D-449E-93FD-00EF6CECAA0A}"/>
    <cellStyle name="40% - Énfasis4 14 3" xfId="9327" xr:uid="{62F2037D-33E9-49C0-9B19-561BD4B9F358}"/>
    <cellStyle name="40% - Énfasis4 15" xfId="4349" xr:uid="{00000000-0005-0000-0000-0000FD100000}"/>
    <cellStyle name="40% - Énfasis4 15 2" xfId="4350" xr:uid="{00000000-0005-0000-0000-0000FE100000}"/>
    <cellStyle name="40% - Énfasis4 15 2 2" xfId="9330" xr:uid="{5B81BB96-EF8A-4192-8E65-DDB2B74CE1C9}"/>
    <cellStyle name="40% - Énfasis4 15 3" xfId="9329" xr:uid="{B7AA1B72-EA29-420E-982E-F1952B7B2E73}"/>
    <cellStyle name="40% - Énfasis4 16" xfId="4351" xr:uid="{00000000-0005-0000-0000-0000FF100000}"/>
    <cellStyle name="40% - Énfasis4 16 2" xfId="9331" xr:uid="{CCB259A8-AAF4-4F6C-9851-F35B8E1A0014}"/>
    <cellStyle name="40% - Énfasis4 2" xfId="905" xr:uid="{00000000-0005-0000-0000-000089030000}"/>
    <cellStyle name="40% - Énfasis4 2 2" xfId="906" xr:uid="{00000000-0005-0000-0000-00008A030000}"/>
    <cellStyle name="40% - Énfasis4 2 2 2" xfId="4352" xr:uid="{00000000-0005-0000-0000-000000110000}"/>
    <cellStyle name="40% - Énfasis4 2 2 2 2" xfId="9332" xr:uid="{995CC9E1-534A-4C35-BC37-BBB7581E90A0}"/>
    <cellStyle name="40% - Énfasis4 2 2 3" xfId="4353" xr:uid="{00000000-0005-0000-0000-000001110000}"/>
    <cellStyle name="40% - Énfasis4 2 2 3 2" xfId="9333" xr:uid="{9AE6511A-A322-4FDB-98B2-41B919DEF363}"/>
    <cellStyle name="40% - Énfasis4 2 2 4" xfId="4354" xr:uid="{00000000-0005-0000-0000-000002110000}"/>
    <cellStyle name="40% - Énfasis4 2 2 4 2" xfId="4355" xr:uid="{00000000-0005-0000-0000-000003110000}"/>
    <cellStyle name="40% - Énfasis4 2 2 4 2 2" xfId="9335" xr:uid="{A4C3580D-3A95-400C-878F-1B4D324081BF}"/>
    <cellStyle name="40% - Énfasis4 2 2 4 3" xfId="9334" xr:uid="{15EEEF86-9D30-42C4-93E0-A2454DF9FCA8}"/>
    <cellStyle name="40% - Énfasis4 2 2 5" xfId="8040" xr:uid="{4F934588-9F67-4BFC-A913-A0514D9985D1}"/>
    <cellStyle name="40% - Énfasis4 2 3" xfId="4356" xr:uid="{00000000-0005-0000-0000-000004110000}"/>
    <cellStyle name="40% - Énfasis4 2 3 2" xfId="9336" xr:uid="{BEED1843-435D-41BE-A504-4951F2DCD1BF}"/>
    <cellStyle name="40% - Énfasis4 2 4" xfId="4357" xr:uid="{00000000-0005-0000-0000-000005110000}"/>
    <cellStyle name="40% - Énfasis4 2 4 2" xfId="4358" xr:uid="{00000000-0005-0000-0000-000006110000}"/>
    <cellStyle name="40% - Énfasis4 2 4 2 2" xfId="9338" xr:uid="{CAB15923-14A6-44CA-BFAE-93F0E694C2CE}"/>
    <cellStyle name="40% - Énfasis4 2 4 3" xfId="9337" xr:uid="{FF7281A2-6931-46E6-8260-B630445B2C73}"/>
    <cellStyle name="40% - Énfasis4 2 5" xfId="4359" xr:uid="{00000000-0005-0000-0000-000007110000}"/>
    <cellStyle name="40% - Énfasis4 2 5 2" xfId="9339" xr:uid="{1ED18777-449D-494F-BE9E-A60199B774C1}"/>
    <cellStyle name="40% - Énfasis4 2 6" xfId="4360" xr:uid="{00000000-0005-0000-0000-000008110000}"/>
    <cellStyle name="40% - Énfasis4 2 6 2" xfId="9340" xr:uid="{FDE0C5D8-7FF0-4E89-ABF9-194CAE3C887E}"/>
    <cellStyle name="40% - Énfasis4 2 7" xfId="8039" xr:uid="{CA7C2334-2ABB-48CB-980E-46A271CEBED3}"/>
    <cellStyle name="40% - Énfasis4 2_Deuda septiembre_marcos" xfId="907" xr:uid="{00000000-0005-0000-0000-00008B030000}"/>
    <cellStyle name="40% - Énfasis4 3" xfId="3319" xr:uid="{00000000-0005-0000-0000-0000F70C0000}"/>
    <cellStyle name="40% - Énfasis4 3 2" xfId="4361" xr:uid="{00000000-0005-0000-0000-000009110000}"/>
    <cellStyle name="40% - Énfasis4 3 2 2" xfId="9341" xr:uid="{942AABCE-576A-4EDE-8CB5-50EF3567C0EC}"/>
    <cellStyle name="40% - Énfasis4 3 3" xfId="4362" xr:uid="{00000000-0005-0000-0000-00000A110000}"/>
    <cellStyle name="40% - Énfasis4 3 3 2" xfId="9342" xr:uid="{534D4C3C-4D32-412E-B474-3A8FF53F1CCB}"/>
    <cellStyle name="40% - Énfasis4 3 4" xfId="4363" xr:uid="{00000000-0005-0000-0000-00000B110000}"/>
    <cellStyle name="40% - Énfasis4 3 4 2" xfId="9343" xr:uid="{9334A99A-E67D-466C-91FA-B856AD208632}"/>
    <cellStyle name="40% - Énfasis4 3 5" xfId="8765" xr:uid="{E3580CFE-D741-4EEF-9500-CF5FA761F6EF}"/>
    <cellStyle name="40% - Énfasis4 4" xfId="4364" xr:uid="{00000000-0005-0000-0000-00000C110000}"/>
    <cellStyle name="40% - Énfasis4 4 2" xfId="4365" xr:uid="{00000000-0005-0000-0000-00000D110000}"/>
    <cellStyle name="40% - Énfasis4 4 2 2" xfId="9345" xr:uid="{125351CD-0F07-483D-9BEA-3CD0789E3F55}"/>
    <cellStyle name="40% - Énfasis4 4 3" xfId="4366" xr:uid="{00000000-0005-0000-0000-00000E110000}"/>
    <cellStyle name="40% - Énfasis4 4 3 2" xfId="9346" xr:uid="{CEAFADE6-FD1B-49CD-B790-5248D14899F7}"/>
    <cellStyle name="40% - Énfasis4 4 4" xfId="9344" xr:uid="{3298B986-DEA5-4CCA-A3BB-2B0E4D63B67B}"/>
    <cellStyle name="40% - Énfasis4 5" xfId="4367" xr:uid="{00000000-0005-0000-0000-00000F110000}"/>
    <cellStyle name="40% - Énfasis4 5 2" xfId="4368" xr:uid="{00000000-0005-0000-0000-000010110000}"/>
    <cellStyle name="40% - Énfasis4 5 2 2" xfId="9348" xr:uid="{68ACC32E-9750-489F-8657-708CF80EE191}"/>
    <cellStyle name="40% - Énfasis4 5 3" xfId="9347" xr:uid="{9C6B08EF-9943-4180-92FA-3D61DCE06B4B}"/>
    <cellStyle name="40% - Énfasis4 6" xfId="4369" xr:uid="{00000000-0005-0000-0000-000011110000}"/>
    <cellStyle name="40% - Énfasis4 6 2" xfId="4370" xr:uid="{00000000-0005-0000-0000-000012110000}"/>
    <cellStyle name="40% - Énfasis4 6 2 2" xfId="9350" xr:uid="{EEE411AF-08D3-484D-9B9B-6919C8BF50D2}"/>
    <cellStyle name="40% - Énfasis4 6 3" xfId="9349" xr:uid="{A619F49F-8135-451B-B014-564D589AB743}"/>
    <cellStyle name="40% - Énfasis4 7" xfId="4371" xr:uid="{00000000-0005-0000-0000-000013110000}"/>
    <cellStyle name="40% - Énfasis4 7 2" xfId="4372" xr:uid="{00000000-0005-0000-0000-000014110000}"/>
    <cellStyle name="40% - Énfasis4 7 2 2" xfId="9352" xr:uid="{0BB45C55-EEAB-4238-8B05-82B393CF4E23}"/>
    <cellStyle name="40% - Énfasis4 7 3" xfId="9351" xr:uid="{6DF96376-E777-458E-B410-1E9657AB8D92}"/>
    <cellStyle name="40% - Énfasis4 8" xfId="4373" xr:uid="{00000000-0005-0000-0000-000015110000}"/>
    <cellStyle name="40% - Énfasis4 8 2" xfId="4374" xr:uid="{00000000-0005-0000-0000-000016110000}"/>
    <cellStyle name="40% - Énfasis4 8 2 2" xfId="9354" xr:uid="{8291FA4C-4450-4084-88F7-A56DCC18D302}"/>
    <cellStyle name="40% - Énfasis4 8 3" xfId="9353" xr:uid="{17773B4B-4623-4518-86A8-7A3A0E2D8715}"/>
    <cellStyle name="40% - Énfasis4 9" xfId="4375" xr:uid="{00000000-0005-0000-0000-000017110000}"/>
    <cellStyle name="40% - Énfasis4 9 2" xfId="4376" xr:uid="{00000000-0005-0000-0000-000018110000}"/>
    <cellStyle name="40% - Énfasis4 9 2 2" xfId="9356" xr:uid="{B8742854-213E-409B-8474-B521216766F7}"/>
    <cellStyle name="40% - Énfasis4 9 3" xfId="9355" xr:uid="{797815EC-BB70-4919-ADCA-525DDE93EBD9}"/>
    <cellStyle name="40% - Énfasis5 10" xfId="4377" xr:uid="{00000000-0005-0000-0000-000019110000}"/>
    <cellStyle name="40% - Énfasis5 10 2" xfId="4378" xr:uid="{00000000-0005-0000-0000-00001A110000}"/>
    <cellStyle name="40% - Énfasis5 10 2 2" xfId="9358" xr:uid="{A88930D0-A035-432F-AC3C-F22A4614BB30}"/>
    <cellStyle name="40% - Énfasis5 10 3" xfId="9357" xr:uid="{3277FC53-876A-40AA-8412-BDCA598EE32E}"/>
    <cellStyle name="40% - Énfasis5 11" xfId="4379" xr:uid="{00000000-0005-0000-0000-00001B110000}"/>
    <cellStyle name="40% - Énfasis5 11 2" xfId="4380" xr:uid="{00000000-0005-0000-0000-00001C110000}"/>
    <cellStyle name="40% - Énfasis5 11 2 2" xfId="9360" xr:uid="{DF76F488-3515-47C9-A796-1DD4AC19D1C1}"/>
    <cellStyle name="40% - Énfasis5 11 3" xfId="9359" xr:uid="{C83D40B1-932A-4E6B-86DD-86C6ADC54B1B}"/>
    <cellStyle name="40% - Énfasis5 12" xfId="4381" xr:uid="{00000000-0005-0000-0000-00001D110000}"/>
    <cellStyle name="40% - Énfasis5 12 2" xfId="4382" xr:uid="{00000000-0005-0000-0000-00001E110000}"/>
    <cellStyle name="40% - Énfasis5 12 2 2" xfId="9362" xr:uid="{474FC10E-78BF-40C0-850E-0CFFA1F50C02}"/>
    <cellStyle name="40% - Énfasis5 12 3" xfId="9361" xr:uid="{1A8A0FB3-1791-4F10-A8B5-91A45D1F333D}"/>
    <cellStyle name="40% - Énfasis5 13" xfId="4383" xr:uid="{00000000-0005-0000-0000-00001F110000}"/>
    <cellStyle name="40% - Énfasis5 13 2" xfId="4384" xr:uid="{00000000-0005-0000-0000-000020110000}"/>
    <cellStyle name="40% - Énfasis5 13 2 2" xfId="9364" xr:uid="{E63FF6C7-827D-4A31-B535-5F4A63C827C6}"/>
    <cellStyle name="40% - Énfasis5 13 3" xfId="9363" xr:uid="{10459DEB-2957-4D61-A13C-82F465D6B431}"/>
    <cellStyle name="40% - Énfasis5 14" xfId="4385" xr:uid="{00000000-0005-0000-0000-000021110000}"/>
    <cellStyle name="40% - Énfasis5 14 2" xfId="4386" xr:uid="{00000000-0005-0000-0000-000022110000}"/>
    <cellStyle name="40% - Énfasis5 14 2 2" xfId="9366" xr:uid="{066B34C3-4D54-467C-BB1D-1477DC271D31}"/>
    <cellStyle name="40% - Énfasis5 14 3" xfId="9365" xr:uid="{8C610853-CFE8-4A75-BBEB-7BC1D41D648C}"/>
    <cellStyle name="40% - Énfasis5 15" xfId="4387" xr:uid="{00000000-0005-0000-0000-000023110000}"/>
    <cellStyle name="40% - Énfasis5 15 2" xfId="4388" xr:uid="{00000000-0005-0000-0000-000024110000}"/>
    <cellStyle name="40% - Énfasis5 15 2 2" xfId="9368" xr:uid="{64942876-025A-482E-8898-EB8F9F4A21EA}"/>
    <cellStyle name="40% - Énfasis5 15 3" xfId="9367" xr:uid="{0AB4F313-2C09-4CC6-9C69-15CD46F149CD}"/>
    <cellStyle name="40% - Énfasis5 16" xfId="4389" xr:uid="{00000000-0005-0000-0000-000025110000}"/>
    <cellStyle name="40% - Énfasis5 16 2" xfId="9369" xr:uid="{97D7981F-1700-4141-BF57-15A1F4A25D32}"/>
    <cellStyle name="40% - Énfasis5 2" xfId="908" xr:uid="{00000000-0005-0000-0000-00008C030000}"/>
    <cellStyle name="40% - Énfasis5 2 2" xfId="909" xr:uid="{00000000-0005-0000-0000-00008D030000}"/>
    <cellStyle name="40% - Énfasis5 2 2 2" xfId="4390" xr:uid="{00000000-0005-0000-0000-000026110000}"/>
    <cellStyle name="40% - Énfasis5 2 2 2 2" xfId="9370" xr:uid="{8ED72877-548D-4733-8008-780789D660F5}"/>
    <cellStyle name="40% - Énfasis5 2 2 3" xfId="4391" xr:uid="{00000000-0005-0000-0000-000027110000}"/>
    <cellStyle name="40% - Énfasis5 2 2 3 2" xfId="9371" xr:uid="{708D0E7B-A9B6-4FBF-A06B-9E6C86BB140B}"/>
    <cellStyle name="40% - Énfasis5 2 2 4" xfId="4392" xr:uid="{00000000-0005-0000-0000-000028110000}"/>
    <cellStyle name="40% - Énfasis5 2 2 4 2" xfId="4393" xr:uid="{00000000-0005-0000-0000-000029110000}"/>
    <cellStyle name="40% - Énfasis5 2 2 4 2 2" xfId="9373" xr:uid="{EAC9AC7F-FBF6-478D-9D32-384C3855ABB3}"/>
    <cellStyle name="40% - Énfasis5 2 2 4 3" xfId="9372" xr:uid="{9EBBA24C-5048-428B-8F54-FAAED161B093}"/>
    <cellStyle name="40% - Énfasis5 2 2 5" xfId="8042" xr:uid="{91DA9B3C-8F03-429A-9DF9-4E35F25310FB}"/>
    <cellStyle name="40% - Énfasis5 2 3" xfId="4394" xr:uid="{00000000-0005-0000-0000-00002A110000}"/>
    <cellStyle name="40% - Énfasis5 2 3 2" xfId="9374" xr:uid="{0B9A658A-FB4F-49D3-A77E-F91AA6D360C8}"/>
    <cellStyle name="40% - Énfasis5 2 4" xfId="4395" xr:uid="{00000000-0005-0000-0000-00002B110000}"/>
    <cellStyle name="40% - Énfasis5 2 4 2" xfId="4396" xr:uid="{00000000-0005-0000-0000-00002C110000}"/>
    <cellStyle name="40% - Énfasis5 2 4 2 2" xfId="9376" xr:uid="{2A6C1AEA-96CE-4DC6-B4C2-626C1927086F}"/>
    <cellStyle name="40% - Énfasis5 2 4 3" xfId="9375" xr:uid="{5C37D0C4-89C5-4AFE-A771-649728A7FFD8}"/>
    <cellStyle name="40% - Énfasis5 2 5" xfId="4397" xr:uid="{00000000-0005-0000-0000-00002D110000}"/>
    <cellStyle name="40% - Énfasis5 2 5 2" xfId="9377" xr:uid="{45F15611-949F-49D6-9F9D-D205C722ADFB}"/>
    <cellStyle name="40% - Énfasis5 2 6" xfId="4398" xr:uid="{00000000-0005-0000-0000-00002E110000}"/>
    <cellStyle name="40% - Énfasis5 2 6 2" xfId="9378" xr:uid="{9130C9CF-9291-4AAA-9037-78DFE887738E}"/>
    <cellStyle name="40% - Énfasis5 2 7" xfId="8041" xr:uid="{4955D3FA-707C-4F68-93F2-DCBD9842BA47}"/>
    <cellStyle name="40% - Énfasis5 2_Deuda septiembre_marcos" xfId="910" xr:uid="{00000000-0005-0000-0000-00008E030000}"/>
    <cellStyle name="40% - Énfasis5 3" xfId="3320" xr:uid="{00000000-0005-0000-0000-0000F80C0000}"/>
    <cellStyle name="40% - Énfasis5 3 2" xfId="4399" xr:uid="{00000000-0005-0000-0000-00002F110000}"/>
    <cellStyle name="40% - Énfasis5 3 2 2" xfId="9379" xr:uid="{17453DE1-4F15-4661-8A9E-02E68CF19991}"/>
    <cellStyle name="40% - Énfasis5 3 3" xfId="4400" xr:uid="{00000000-0005-0000-0000-000030110000}"/>
    <cellStyle name="40% - Énfasis5 3 3 2" xfId="9380" xr:uid="{B939C56C-EA9D-4333-A138-2D95661A864D}"/>
    <cellStyle name="40% - Énfasis5 3 4" xfId="4401" xr:uid="{00000000-0005-0000-0000-000031110000}"/>
    <cellStyle name="40% - Énfasis5 3 4 2" xfId="9381" xr:uid="{FCED51F7-71AC-4C2A-9169-4A6C78D91B8C}"/>
    <cellStyle name="40% - Énfasis5 3 5" xfId="8766" xr:uid="{E4997470-C80A-4CF6-BC1A-A3F14C3B467F}"/>
    <cellStyle name="40% - Énfasis5 4" xfId="4402" xr:uid="{00000000-0005-0000-0000-000032110000}"/>
    <cellStyle name="40% - Énfasis5 4 2" xfId="4403" xr:uid="{00000000-0005-0000-0000-000033110000}"/>
    <cellStyle name="40% - Énfasis5 4 2 2" xfId="9383" xr:uid="{8E9E76D2-D42E-46A8-B140-F377EAD463D2}"/>
    <cellStyle name="40% - Énfasis5 4 3" xfId="4404" xr:uid="{00000000-0005-0000-0000-000034110000}"/>
    <cellStyle name="40% - Énfasis5 4 3 2" xfId="9384" xr:uid="{7B847598-84CD-40F2-844B-5EA467309A7A}"/>
    <cellStyle name="40% - Énfasis5 4 4" xfId="9382" xr:uid="{F0365308-7E04-4A83-B4B8-BF0C5BFFBC1A}"/>
    <cellStyle name="40% - Énfasis5 5" xfId="4405" xr:uid="{00000000-0005-0000-0000-000035110000}"/>
    <cellStyle name="40% - Énfasis5 5 2" xfId="4406" xr:uid="{00000000-0005-0000-0000-000036110000}"/>
    <cellStyle name="40% - Énfasis5 5 2 2" xfId="9386" xr:uid="{762E4DB2-AB79-43AE-A946-6D6200548142}"/>
    <cellStyle name="40% - Énfasis5 5 3" xfId="9385" xr:uid="{30A0033B-1CAB-4DD9-87FC-A32D5FEB199E}"/>
    <cellStyle name="40% - Énfasis5 6" xfId="4407" xr:uid="{00000000-0005-0000-0000-000037110000}"/>
    <cellStyle name="40% - Énfasis5 6 2" xfId="4408" xr:uid="{00000000-0005-0000-0000-000038110000}"/>
    <cellStyle name="40% - Énfasis5 6 2 2" xfId="9388" xr:uid="{E28297D1-414A-4D48-8C48-77DED9B780D6}"/>
    <cellStyle name="40% - Énfasis5 6 3" xfId="9387" xr:uid="{A6D7F790-E2CF-4C18-8FEF-643AB9471870}"/>
    <cellStyle name="40% - Énfasis5 7" xfId="4409" xr:uid="{00000000-0005-0000-0000-000039110000}"/>
    <cellStyle name="40% - Énfasis5 7 2" xfId="4410" xr:uid="{00000000-0005-0000-0000-00003A110000}"/>
    <cellStyle name="40% - Énfasis5 7 2 2" xfId="9390" xr:uid="{9F56BFB8-8603-4127-A32F-4FC78F208156}"/>
    <cellStyle name="40% - Énfasis5 7 3" xfId="9389" xr:uid="{A148F201-9729-4ABE-A987-C798E537A9AC}"/>
    <cellStyle name="40% - Énfasis5 8" xfId="4411" xr:uid="{00000000-0005-0000-0000-00003B110000}"/>
    <cellStyle name="40% - Énfasis5 8 2" xfId="4412" xr:uid="{00000000-0005-0000-0000-00003C110000}"/>
    <cellStyle name="40% - Énfasis5 8 2 2" xfId="9392" xr:uid="{9539290E-0EC4-41D3-B60B-CB2FEAEEEC93}"/>
    <cellStyle name="40% - Énfasis5 8 3" xfId="9391" xr:uid="{DB513C4E-C9D6-40EB-846D-74AC856D3644}"/>
    <cellStyle name="40% - Énfasis5 9" xfId="4413" xr:uid="{00000000-0005-0000-0000-00003D110000}"/>
    <cellStyle name="40% - Énfasis5 9 2" xfId="4414" xr:uid="{00000000-0005-0000-0000-00003E110000}"/>
    <cellStyle name="40% - Énfasis5 9 2 2" xfId="9394" xr:uid="{2C0BAAAE-F133-48D3-9104-B87EA9774DC4}"/>
    <cellStyle name="40% - Énfasis5 9 3" xfId="9393" xr:uid="{AA35CE2F-D45D-4E81-A936-1145F69C4DA8}"/>
    <cellStyle name="40% - Énfasis6 10" xfId="4415" xr:uid="{00000000-0005-0000-0000-00003F110000}"/>
    <cellStyle name="40% - Énfasis6 10 2" xfId="4416" xr:uid="{00000000-0005-0000-0000-000040110000}"/>
    <cellStyle name="40% - Énfasis6 10 2 2" xfId="9396" xr:uid="{F0222246-7915-4CBA-9102-470093ED52F7}"/>
    <cellStyle name="40% - Énfasis6 10 3" xfId="9395" xr:uid="{1234176F-F0D2-49CF-BB3C-F9AF8000015C}"/>
    <cellStyle name="40% - Énfasis6 11" xfId="4417" xr:uid="{00000000-0005-0000-0000-000041110000}"/>
    <cellStyle name="40% - Énfasis6 11 2" xfId="4418" xr:uid="{00000000-0005-0000-0000-000042110000}"/>
    <cellStyle name="40% - Énfasis6 11 2 2" xfId="9398" xr:uid="{E45D23C3-4B13-4B9A-9724-7E0BC6DE97B5}"/>
    <cellStyle name="40% - Énfasis6 11 3" xfId="9397" xr:uid="{BDFA64DF-ED74-47D6-89C6-58EA3F494158}"/>
    <cellStyle name="40% - Énfasis6 12" xfId="4419" xr:uid="{00000000-0005-0000-0000-000043110000}"/>
    <cellStyle name="40% - Énfasis6 12 2" xfId="4420" xr:uid="{00000000-0005-0000-0000-000044110000}"/>
    <cellStyle name="40% - Énfasis6 12 2 2" xfId="9400" xr:uid="{F469BBC5-B49F-47F1-ADA3-30D0ED248D1D}"/>
    <cellStyle name="40% - Énfasis6 12 3" xfId="9399" xr:uid="{5E437954-4A15-4429-B45B-E042C3B7BDC6}"/>
    <cellStyle name="40% - Énfasis6 13" xfId="4421" xr:uid="{00000000-0005-0000-0000-000045110000}"/>
    <cellStyle name="40% - Énfasis6 13 2" xfId="4422" xr:uid="{00000000-0005-0000-0000-000046110000}"/>
    <cellStyle name="40% - Énfasis6 13 2 2" xfId="9402" xr:uid="{DBC1614E-0154-4DBB-A8B3-25A488591401}"/>
    <cellStyle name="40% - Énfasis6 13 3" xfId="9401" xr:uid="{2EBDB77A-20C6-4C80-BB21-CA5955E78CE3}"/>
    <cellStyle name="40% - Énfasis6 14" xfId="4423" xr:uid="{00000000-0005-0000-0000-000047110000}"/>
    <cellStyle name="40% - Énfasis6 14 2" xfId="4424" xr:uid="{00000000-0005-0000-0000-000048110000}"/>
    <cellStyle name="40% - Énfasis6 14 2 2" xfId="9404" xr:uid="{284E93C3-542A-49B0-BDAD-FCA7E7DFC4D2}"/>
    <cellStyle name="40% - Énfasis6 14 3" xfId="9403" xr:uid="{E200DEB6-52C8-42E3-A757-63ECA4758093}"/>
    <cellStyle name="40% - Énfasis6 15" xfId="4425" xr:uid="{00000000-0005-0000-0000-000049110000}"/>
    <cellStyle name="40% - Énfasis6 15 2" xfId="9405" xr:uid="{6C115DCD-AF15-4092-AB61-EA277B353859}"/>
    <cellStyle name="40% - Énfasis6 2" xfId="911" xr:uid="{00000000-0005-0000-0000-00008F030000}"/>
    <cellStyle name="40% - Énfasis6 2 2" xfId="4426" xr:uid="{00000000-0005-0000-0000-00004A110000}"/>
    <cellStyle name="40% - Énfasis6 2 2 2" xfId="4427" xr:uid="{00000000-0005-0000-0000-00004B110000}"/>
    <cellStyle name="40% - Énfasis6 2 2 2 2" xfId="9407" xr:uid="{E34D082A-F4FD-4248-9D20-D313DCA1F207}"/>
    <cellStyle name="40% - Énfasis6 2 2 3" xfId="9406" xr:uid="{6A47F760-290D-4DA0-87BD-6E01C7AD9B3C}"/>
    <cellStyle name="40% - Énfasis6 2 3" xfId="4428" xr:uid="{00000000-0005-0000-0000-00004C110000}"/>
    <cellStyle name="40% - Énfasis6 2 3 2" xfId="4429" xr:uid="{00000000-0005-0000-0000-00004D110000}"/>
    <cellStyle name="40% - Énfasis6 2 3 2 2" xfId="9409" xr:uid="{D3F3466B-D4E7-4612-8169-AD4A79E234D0}"/>
    <cellStyle name="40% - Énfasis6 2 3 3" xfId="9408" xr:uid="{36F34B64-326E-401E-B9F7-E8AA018CF2C3}"/>
    <cellStyle name="40% - Énfasis6 2 4" xfId="4430" xr:uid="{00000000-0005-0000-0000-00004E110000}"/>
    <cellStyle name="40% - Énfasis6 2 4 2" xfId="9410" xr:uid="{7AE2A9B2-233E-439B-AEFE-910AEF3ADF33}"/>
    <cellStyle name="40% - Énfasis6 2 5" xfId="4431" xr:uid="{00000000-0005-0000-0000-00004F110000}"/>
    <cellStyle name="40% - Énfasis6 2 5 2" xfId="9411" xr:uid="{EA29E20F-ACF7-4CEF-92E2-B45B6856E97A}"/>
    <cellStyle name="40% - Énfasis6 2 6" xfId="8043" xr:uid="{D4E614FA-F2B9-4D04-BF94-AFF254118BE4}"/>
    <cellStyle name="40% - Énfasis6 3" xfId="3321" xr:uid="{00000000-0005-0000-0000-0000F90C0000}"/>
    <cellStyle name="40% - Énfasis6 3 2" xfId="4432" xr:uid="{00000000-0005-0000-0000-000050110000}"/>
    <cellStyle name="40% - Énfasis6 3 2 2" xfId="9412" xr:uid="{A6B04809-82D5-4A3C-A286-C6171173A607}"/>
    <cellStyle name="40% - Énfasis6 3 3" xfId="4433" xr:uid="{00000000-0005-0000-0000-000051110000}"/>
    <cellStyle name="40% - Énfasis6 3 3 2" xfId="9413" xr:uid="{5C83C44B-DE56-4761-A214-5C6C5EA6AAA4}"/>
    <cellStyle name="40% - Énfasis6 3 4" xfId="4434" xr:uid="{00000000-0005-0000-0000-000052110000}"/>
    <cellStyle name="40% - Énfasis6 3 4 2" xfId="9414" xr:uid="{29463821-70FB-4627-9F02-5534760E8EBE}"/>
    <cellStyle name="40% - Énfasis6 3 5" xfId="8767" xr:uid="{83E28BD6-24B3-41DA-BC6A-448F1681AF4C}"/>
    <cellStyle name="40% - Énfasis6 4" xfId="4435" xr:uid="{00000000-0005-0000-0000-000053110000}"/>
    <cellStyle name="40% - Énfasis6 4 2" xfId="4436" xr:uid="{00000000-0005-0000-0000-000054110000}"/>
    <cellStyle name="40% - Énfasis6 4 2 2" xfId="9416" xr:uid="{F97AD05C-357A-49CA-9934-2D4A37432800}"/>
    <cellStyle name="40% - Énfasis6 4 3" xfId="4437" xr:uid="{00000000-0005-0000-0000-000055110000}"/>
    <cellStyle name="40% - Énfasis6 4 3 2" xfId="9417" xr:uid="{7F510E72-C10A-4925-900C-3A79D729F766}"/>
    <cellStyle name="40% - Énfasis6 4 4" xfId="9415" xr:uid="{217ECD83-11B2-4529-88B0-C9A9AB81BDC7}"/>
    <cellStyle name="40% - Énfasis6 5" xfId="4438" xr:uid="{00000000-0005-0000-0000-000056110000}"/>
    <cellStyle name="40% - Énfasis6 5 2" xfId="4439" xr:uid="{00000000-0005-0000-0000-000057110000}"/>
    <cellStyle name="40% - Énfasis6 5 2 2" xfId="9419" xr:uid="{F08C5032-8E34-40C2-91A1-00DA293B5DBC}"/>
    <cellStyle name="40% - Énfasis6 5 3" xfId="9418" xr:uid="{72457EF8-33B6-4068-A9BB-16BA6681962C}"/>
    <cellStyle name="40% - Énfasis6 6" xfId="4440" xr:uid="{00000000-0005-0000-0000-000058110000}"/>
    <cellStyle name="40% - Énfasis6 6 2" xfId="4441" xr:uid="{00000000-0005-0000-0000-000059110000}"/>
    <cellStyle name="40% - Énfasis6 6 2 2" xfId="9421" xr:uid="{7D75FDD9-5AEE-4E29-980C-E1E1F02F45C5}"/>
    <cellStyle name="40% - Énfasis6 6 3" xfId="9420" xr:uid="{A22AAB51-90F8-499E-8D93-F0498AACCD3F}"/>
    <cellStyle name="40% - Énfasis6 7" xfId="4442" xr:uid="{00000000-0005-0000-0000-00005A110000}"/>
    <cellStyle name="40% - Énfasis6 7 2" xfId="4443" xr:uid="{00000000-0005-0000-0000-00005B110000}"/>
    <cellStyle name="40% - Énfasis6 7 2 2" xfId="9423" xr:uid="{B5CF3B01-DF69-4627-A19D-DB324EA3E59C}"/>
    <cellStyle name="40% - Énfasis6 7 3" xfId="9422" xr:uid="{86B54B69-7075-4703-89A3-3FEF513E9134}"/>
    <cellStyle name="40% - Énfasis6 8" xfId="4444" xr:uid="{00000000-0005-0000-0000-00005C110000}"/>
    <cellStyle name="40% - Énfasis6 8 2" xfId="4445" xr:uid="{00000000-0005-0000-0000-00005D110000}"/>
    <cellStyle name="40% - Énfasis6 8 2 2" xfId="9425" xr:uid="{C49A3726-0B3E-4928-BC44-AD1C6DDDE31F}"/>
    <cellStyle name="40% - Énfasis6 8 3" xfId="9424" xr:uid="{8208F005-A503-42A8-A1FE-14AC2F698A3C}"/>
    <cellStyle name="40% - Énfasis6 9" xfId="4446" xr:uid="{00000000-0005-0000-0000-00005E110000}"/>
    <cellStyle name="40% - Énfasis6 9 2" xfId="4447" xr:uid="{00000000-0005-0000-0000-00005F110000}"/>
    <cellStyle name="40% - Énfasis6 9 2 2" xfId="9427" xr:uid="{049C9937-2E70-4586-9192-4A4DAFB1C746}"/>
    <cellStyle name="40% - Énfasis6 9 3" xfId="9426" xr:uid="{A21F55CB-9B95-41C7-97FE-28CB19D853AE}"/>
    <cellStyle name="60% - Ênfase1" xfId="912" xr:uid="{00000000-0005-0000-0000-000090030000}"/>
    <cellStyle name="60% - Ênfase1 2" xfId="8044" xr:uid="{6E41950B-D4C4-4A7F-92EC-DB3954FC572F}"/>
    <cellStyle name="60% - Ênfase2" xfId="913" xr:uid="{00000000-0005-0000-0000-000091030000}"/>
    <cellStyle name="60% - Ênfase2 2" xfId="8045" xr:uid="{DFB280AE-641D-4A5A-90DF-BA379D4E5218}"/>
    <cellStyle name="60% - Ênfase3" xfId="914" xr:uid="{00000000-0005-0000-0000-000092030000}"/>
    <cellStyle name="60% - Ênfase3 2" xfId="8046" xr:uid="{0F2374B9-C85F-458C-8C47-F9D4FF6F296B}"/>
    <cellStyle name="60% - Ênfase4" xfId="915" xr:uid="{00000000-0005-0000-0000-000093030000}"/>
    <cellStyle name="60% - Ênfase4 2" xfId="8047" xr:uid="{5BE0C2C3-CB3A-4307-A7A6-8234C26A3280}"/>
    <cellStyle name="60% - Ênfase5" xfId="916" xr:uid="{00000000-0005-0000-0000-000094030000}"/>
    <cellStyle name="60% - Ênfase5 2" xfId="8048" xr:uid="{57BD5B07-1C5C-4CDA-B68F-7E6F85223B1D}"/>
    <cellStyle name="60% - Ênfase6" xfId="917" xr:uid="{00000000-0005-0000-0000-000095030000}"/>
    <cellStyle name="60% - Ênfase6 2" xfId="8049" xr:uid="{3165FD37-0D5F-465B-BFF9-B1276CEF6386}"/>
    <cellStyle name="60% - Énfasis1 10" xfId="4448" xr:uid="{00000000-0005-0000-0000-000060110000}"/>
    <cellStyle name="60% - Énfasis1 10 2" xfId="9428" xr:uid="{DD61D612-D6B8-4419-880A-2A9B2DA34BBA}"/>
    <cellStyle name="60% - Énfasis1 11" xfId="4449" xr:uid="{00000000-0005-0000-0000-000061110000}"/>
    <cellStyle name="60% - Énfasis1 11 2" xfId="4450" xr:uid="{00000000-0005-0000-0000-000062110000}"/>
    <cellStyle name="60% - Énfasis1 11 2 2" xfId="9430" xr:uid="{54078AA0-EA79-4AD1-BC78-2307C03B525A}"/>
    <cellStyle name="60% - Énfasis1 11 3" xfId="9429" xr:uid="{2CE4A9F9-C3BB-41A4-BCC9-1D552A6D1DC2}"/>
    <cellStyle name="60% - Énfasis1 12" xfId="4451" xr:uid="{00000000-0005-0000-0000-000063110000}"/>
    <cellStyle name="60% - Énfasis1 12 2" xfId="4452" xr:uid="{00000000-0005-0000-0000-000064110000}"/>
    <cellStyle name="60% - Énfasis1 12 2 2" xfId="9432" xr:uid="{2239E7E6-B2BA-4B84-ADAE-2734B952A548}"/>
    <cellStyle name="60% - Énfasis1 12 3" xfId="9431" xr:uid="{FF0D90FD-21FE-407A-B910-0636FE9AD6A3}"/>
    <cellStyle name="60% - Énfasis1 13" xfId="4453" xr:uid="{00000000-0005-0000-0000-000065110000}"/>
    <cellStyle name="60% - Énfasis1 13 2" xfId="4454" xr:uid="{00000000-0005-0000-0000-000066110000}"/>
    <cellStyle name="60% - Énfasis1 13 2 2" xfId="9434" xr:uid="{4F57D1CC-2031-40DE-8AC2-0D06295A03CA}"/>
    <cellStyle name="60% - Énfasis1 13 3" xfId="9433" xr:uid="{B2F1F0CE-2D07-4F38-AE4A-D6D8BB79725E}"/>
    <cellStyle name="60% - Énfasis1 14" xfId="4455" xr:uid="{00000000-0005-0000-0000-000067110000}"/>
    <cellStyle name="60% - Énfasis1 14 2" xfId="4456" xr:uid="{00000000-0005-0000-0000-000068110000}"/>
    <cellStyle name="60% - Énfasis1 14 2 2" xfId="9436" xr:uid="{34F88648-CD2B-46BB-B257-5029F573E0EB}"/>
    <cellStyle name="60% - Énfasis1 14 3" xfId="9435" xr:uid="{42F885B5-5091-4CDC-B9DE-88ACC1A0FB64}"/>
    <cellStyle name="60% - Énfasis1 15" xfId="4457" xr:uid="{00000000-0005-0000-0000-000069110000}"/>
    <cellStyle name="60% - Énfasis1 15 2" xfId="4458" xr:uid="{00000000-0005-0000-0000-00006A110000}"/>
    <cellStyle name="60% - Énfasis1 15 2 2" xfId="9438" xr:uid="{D416575F-B31B-4DA2-ACDD-1726B2CB5B55}"/>
    <cellStyle name="60% - Énfasis1 15 3" xfId="9437" xr:uid="{F5B86693-99A1-47EA-8BEA-D34821830569}"/>
    <cellStyle name="60% - Énfasis1 16" xfId="4459" xr:uid="{00000000-0005-0000-0000-00006B110000}"/>
    <cellStyle name="60% - Énfasis1 16 2" xfId="9439" xr:uid="{86EC9352-3C1D-4E29-A235-F3484FB6D440}"/>
    <cellStyle name="60% - Énfasis1 2" xfId="918" xr:uid="{00000000-0005-0000-0000-000096030000}"/>
    <cellStyle name="60% - Énfasis1 2 2" xfId="919" xr:uid="{00000000-0005-0000-0000-000097030000}"/>
    <cellStyle name="60% - Énfasis1 2 2 2" xfId="4460" xr:uid="{00000000-0005-0000-0000-00006C110000}"/>
    <cellStyle name="60% - Énfasis1 2 2 2 2" xfId="9440" xr:uid="{D3550A11-E4B2-4C8F-AA7C-18EF2D8E949C}"/>
    <cellStyle name="60% - Énfasis1 2 2 3" xfId="4461" xr:uid="{00000000-0005-0000-0000-00006D110000}"/>
    <cellStyle name="60% - Énfasis1 2 2 3 2" xfId="9441" xr:uid="{96705960-CDCC-43A6-B516-ADBD21C5B7A0}"/>
    <cellStyle name="60% - Énfasis1 2 2 4" xfId="4462" xr:uid="{00000000-0005-0000-0000-00006E110000}"/>
    <cellStyle name="60% - Énfasis1 2 2 4 2" xfId="4463" xr:uid="{00000000-0005-0000-0000-00006F110000}"/>
    <cellStyle name="60% - Énfasis1 2 2 4 2 2" xfId="9443" xr:uid="{184561B7-1A67-4CE1-B1C8-D84935EB6C34}"/>
    <cellStyle name="60% - Énfasis1 2 2 4 3" xfId="9442" xr:uid="{0C996A1E-CC1C-4A94-A078-1059D0BA65DF}"/>
    <cellStyle name="60% - Énfasis1 2 2 5" xfId="8051" xr:uid="{5B33E251-2B1C-4AE3-ADA7-BEBF283F6DFC}"/>
    <cellStyle name="60% - Énfasis1 2 3" xfId="4464" xr:uid="{00000000-0005-0000-0000-000070110000}"/>
    <cellStyle name="60% - Énfasis1 2 3 2" xfId="9444" xr:uid="{6081CD78-11DA-4670-9667-03C61DEF0359}"/>
    <cellStyle name="60% - Énfasis1 2 4" xfId="4465" xr:uid="{00000000-0005-0000-0000-000071110000}"/>
    <cellStyle name="60% - Énfasis1 2 4 2" xfId="4466" xr:uid="{00000000-0005-0000-0000-000072110000}"/>
    <cellStyle name="60% - Énfasis1 2 4 2 2" xfId="9446" xr:uid="{EA4F17ED-F4EE-46AE-AFB4-0473ECD9C835}"/>
    <cellStyle name="60% - Énfasis1 2 4 3" xfId="9445" xr:uid="{5BFEF22C-102B-4DC3-88E1-8F66588D2237}"/>
    <cellStyle name="60% - Énfasis1 2 5" xfId="4467" xr:uid="{00000000-0005-0000-0000-000073110000}"/>
    <cellStyle name="60% - Énfasis1 2 5 2" xfId="9447" xr:uid="{07449B64-8CBF-471C-83E6-47E59997F9DE}"/>
    <cellStyle name="60% - Énfasis1 2 6" xfId="8050" xr:uid="{BBDC3F76-3B57-404F-88E0-E58FF34FDEEB}"/>
    <cellStyle name="60% - Énfasis1 2_Deuda septiembre_marcos" xfId="920" xr:uid="{00000000-0005-0000-0000-000098030000}"/>
    <cellStyle name="60% - Énfasis1 3" xfId="3322" xr:uid="{00000000-0005-0000-0000-0000FA0C0000}"/>
    <cellStyle name="60% - Énfasis1 3 2" xfId="4468" xr:uid="{00000000-0005-0000-0000-000074110000}"/>
    <cellStyle name="60% - Énfasis1 3 2 2" xfId="9448" xr:uid="{D0D11510-65B7-4C5C-8CAE-36275A7CF115}"/>
    <cellStyle name="60% - Énfasis1 3 3" xfId="4469" xr:uid="{00000000-0005-0000-0000-000075110000}"/>
    <cellStyle name="60% - Énfasis1 3 3 2" xfId="9449" xr:uid="{D34994E6-FF9E-4864-BD5C-6A8A40E73748}"/>
    <cellStyle name="60% - Énfasis1 3 4" xfId="8768" xr:uid="{5A1991E3-962C-4B06-8BB6-084CFB788B1D}"/>
    <cellStyle name="60% - Énfasis1 4" xfId="4470" xr:uid="{00000000-0005-0000-0000-000076110000}"/>
    <cellStyle name="60% - Énfasis1 4 2" xfId="4471" xr:uid="{00000000-0005-0000-0000-000077110000}"/>
    <cellStyle name="60% - Énfasis1 4 2 2" xfId="9451" xr:uid="{99375F5B-067E-4E7D-887B-225C5BF7BE47}"/>
    <cellStyle name="60% - Énfasis1 4 3" xfId="4472" xr:uid="{00000000-0005-0000-0000-000078110000}"/>
    <cellStyle name="60% - Énfasis1 4 3 2" xfId="9452" xr:uid="{0871AAC1-A50C-46AB-B3B6-8B551764169D}"/>
    <cellStyle name="60% - Énfasis1 4 4" xfId="9450" xr:uid="{0A18D566-A131-4761-80E2-89374FD3E85D}"/>
    <cellStyle name="60% - Énfasis1 5" xfId="4473" xr:uid="{00000000-0005-0000-0000-000079110000}"/>
    <cellStyle name="60% - Énfasis1 5 2" xfId="9453" xr:uid="{4A1893E1-B56C-4FFC-A389-D2DFC26A7348}"/>
    <cellStyle name="60% - Énfasis1 6" xfId="4474" xr:uid="{00000000-0005-0000-0000-00007A110000}"/>
    <cellStyle name="60% - Énfasis1 6 2" xfId="9454" xr:uid="{6237EA3B-07A7-44A9-A843-178B0D47EEAD}"/>
    <cellStyle name="60% - Énfasis1 7" xfId="4475" xr:uid="{00000000-0005-0000-0000-00007B110000}"/>
    <cellStyle name="60% - Énfasis1 7 2" xfId="9455" xr:uid="{669A6B40-1407-4112-A508-FCF3067EA403}"/>
    <cellStyle name="60% - Énfasis1 8" xfId="4476" xr:uid="{00000000-0005-0000-0000-00007C110000}"/>
    <cellStyle name="60% - Énfasis1 8 2" xfId="9456" xr:uid="{9EDF752F-FBE0-4202-8829-769B098B7B6D}"/>
    <cellStyle name="60% - Énfasis1 9" xfId="4477" xr:uid="{00000000-0005-0000-0000-00007D110000}"/>
    <cellStyle name="60% - Énfasis1 9 2" xfId="9457" xr:uid="{47249F54-7B8A-4140-A1AE-911A188FCC0D}"/>
    <cellStyle name="60% - Énfasis2 10" xfId="4478" xr:uid="{00000000-0005-0000-0000-00007E110000}"/>
    <cellStyle name="60% - Énfasis2 10 2" xfId="4479" xr:uid="{00000000-0005-0000-0000-00007F110000}"/>
    <cellStyle name="60% - Énfasis2 10 2 2" xfId="9459" xr:uid="{9742AF0D-035A-4387-BF69-B918B59124FB}"/>
    <cellStyle name="60% - Énfasis2 10 3" xfId="9458" xr:uid="{5880742B-CD7E-4462-A934-AFFBEA3B2121}"/>
    <cellStyle name="60% - Énfasis2 11" xfId="4480" xr:uid="{00000000-0005-0000-0000-000080110000}"/>
    <cellStyle name="60% - Énfasis2 11 2" xfId="4481" xr:uid="{00000000-0005-0000-0000-000081110000}"/>
    <cellStyle name="60% - Énfasis2 11 2 2" xfId="9461" xr:uid="{30D329BB-663E-4434-8D10-6B2B2E73ECC7}"/>
    <cellStyle name="60% - Énfasis2 11 3" xfId="9460" xr:uid="{C4DA54D4-1BBC-4ED1-AF50-E43A2DB70271}"/>
    <cellStyle name="60% - Énfasis2 12" xfId="4482" xr:uid="{00000000-0005-0000-0000-000082110000}"/>
    <cellStyle name="60% - Énfasis2 12 2" xfId="4483" xr:uid="{00000000-0005-0000-0000-000083110000}"/>
    <cellStyle name="60% - Énfasis2 12 2 2" xfId="9463" xr:uid="{D1B09640-AC17-4BB5-B1D2-AB66296328B1}"/>
    <cellStyle name="60% - Énfasis2 12 3" xfId="9462" xr:uid="{6C63B8E2-E8B4-49B0-A6ED-9D9AD40F33AE}"/>
    <cellStyle name="60% - Énfasis2 13" xfId="4484" xr:uid="{00000000-0005-0000-0000-000084110000}"/>
    <cellStyle name="60% - Énfasis2 13 2" xfId="4485" xr:uid="{00000000-0005-0000-0000-000085110000}"/>
    <cellStyle name="60% - Énfasis2 13 2 2" xfId="9465" xr:uid="{2BF8A3FC-1CB8-432F-8D34-65246BD6115F}"/>
    <cellStyle name="60% - Énfasis2 13 3" xfId="9464" xr:uid="{0135D36B-AF0D-4EB8-B79C-FB3BEFA32545}"/>
    <cellStyle name="60% - Énfasis2 14" xfId="4486" xr:uid="{00000000-0005-0000-0000-000086110000}"/>
    <cellStyle name="60% - Énfasis2 14 2" xfId="4487" xr:uid="{00000000-0005-0000-0000-000087110000}"/>
    <cellStyle name="60% - Énfasis2 14 2 2" xfId="9467" xr:uid="{D674B92E-58C7-4182-BD99-DC2E87746E09}"/>
    <cellStyle name="60% - Énfasis2 14 3" xfId="9466" xr:uid="{AD631807-2DDF-4938-84E1-C24A24981441}"/>
    <cellStyle name="60% - Énfasis2 15" xfId="4488" xr:uid="{00000000-0005-0000-0000-000088110000}"/>
    <cellStyle name="60% - Énfasis2 15 2" xfId="9468" xr:uid="{97A0B7D6-9841-497C-9083-8C1F0CAB52B4}"/>
    <cellStyle name="60% - Énfasis2 2" xfId="3323" xr:uid="{00000000-0005-0000-0000-0000FB0C0000}"/>
    <cellStyle name="60% - Énfasis2 2 2" xfId="4489" xr:uid="{00000000-0005-0000-0000-000089110000}"/>
    <cellStyle name="60% - Énfasis2 2 2 2" xfId="9469" xr:uid="{43312053-1B28-4B82-AEFA-4BF3018242BF}"/>
    <cellStyle name="60% - Énfasis2 2 3" xfId="4490" xr:uid="{00000000-0005-0000-0000-00008A110000}"/>
    <cellStyle name="60% - Énfasis2 2 3 2" xfId="9470" xr:uid="{02E54088-D93A-4465-AE3D-32D337532E35}"/>
    <cellStyle name="60% - Énfasis2 2 4" xfId="4491" xr:uid="{00000000-0005-0000-0000-00008B110000}"/>
    <cellStyle name="60% - Énfasis2 2 4 2" xfId="9471" xr:uid="{1A846847-9727-4416-A73D-7B45F2E25143}"/>
    <cellStyle name="60% - Énfasis2 2 5" xfId="8769" xr:uid="{3178900C-54DD-4031-88B9-9F1F7ADAF1DD}"/>
    <cellStyle name="60% - Énfasis2 3" xfId="3324" xr:uid="{00000000-0005-0000-0000-0000FC0C0000}"/>
    <cellStyle name="60% - Énfasis2 3 2" xfId="4492" xr:uid="{00000000-0005-0000-0000-00008C110000}"/>
    <cellStyle name="60% - Énfasis2 3 2 2" xfId="9472" xr:uid="{6A592223-8902-4473-A8E1-503BACF2EE80}"/>
    <cellStyle name="60% - Énfasis2 3 3" xfId="4493" xr:uid="{00000000-0005-0000-0000-00008D110000}"/>
    <cellStyle name="60% - Énfasis2 3 3 2" xfId="9473" xr:uid="{D8C6B578-D7C9-42C9-8876-98DE8CFCA409}"/>
    <cellStyle name="60% - Énfasis2 3 4" xfId="8770" xr:uid="{DA1A4C59-8EF9-4C52-939F-DFF27853B89B}"/>
    <cellStyle name="60% - Énfasis2 4" xfId="4494" xr:uid="{00000000-0005-0000-0000-00008E110000}"/>
    <cellStyle name="60% - Énfasis2 4 2" xfId="4495" xr:uid="{00000000-0005-0000-0000-00008F110000}"/>
    <cellStyle name="60% - Énfasis2 4 2 2" xfId="9475" xr:uid="{76874D5C-EE9A-4027-8A9F-5CAFE2EC4000}"/>
    <cellStyle name="60% - Énfasis2 4 3" xfId="4496" xr:uid="{00000000-0005-0000-0000-000090110000}"/>
    <cellStyle name="60% - Énfasis2 4 3 2" xfId="9476" xr:uid="{DD657DBD-47AC-41DA-8312-C9BFADF0A3B5}"/>
    <cellStyle name="60% - Énfasis2 4 4" xfId="9474" xr:uid="{1A6ADF42-7D5A-4099-B588-5EF3ACFD74A6}"/>
    <cellStyle name="60% - Énfasis2 5" xfId="4497" xr:uid="{00000000-0005-0000-0000-000091110000}"/>
    <cellStyle name="60% - Énfasis2 5 2" xfId="9477" xr:uid="{4C8C28F3-2EF7-41AD-A1CF-AD44D4730F31}"/>
    <cellStyle name="60% - Énfasis2 6" xfId="4498" xr:uid="{00000000-0005-0000-0000-000092110000}"/>
    <cellStyle name="60% - Énfasis2 6 2" xfId="9478" xr:uid="{2D0837DA-1E02-480D-AB63-BD08E7C87B8B}"/>
    <cellStyle name="60% - Énfasis2 7" xfId="4499" xr:uid="{00000000-0005-0000-0000-000093110000}"/>
    <cellStyle name="60% - Énfasis2 7 2" xfId="9479" xr:uid="{B77D19EF-1954-40B0-BA33-04D9D772AC33}"/>
    <cellStyle name="60% - Énfasis2 8" xfId="4500" xr:uid="{00000000-0005-0000-0000-000094110000}"/>
    <cellStyle name="60% - Énfasis2 8 2" xfId="9480" xr:uid="{CF51EB47-B313-4019-B9AD-06D5632C4E34}"/>
    <cellStyle name="60% - Énfasis2 9" xfId="4501" xr:uid="{00000000-0005-0000-0000-000095110000}"/>
    <cellStyle name="60% - Énfasis2 9 2" xfId="9481" xr:uid="{C4C288AE-A4DD-4721-8304-66A598C85449}"/>
    <cellStyle name="60% - Énfasis3 10" xfId="4502" xr:uid="{00000000-0005-0000-0000-000096110000}"/>
    <cellStyle name="60% - Énfasis3 10 2" xfId="9482" xr:uid="{C729C1B5-9F7C-4A36-BD89-B8BD9FA45635}"/>
    <cellStyle name="60% - Énfasis3 11" xfId="4503" xr:uid="{00000000-0005-0000-0000-000097110000}"/>
    <cellStyle name="60% - Énfasis3 11 2" xfId="4504" xr:uid="{00000000-0005-0000-0000-000098110000}"/>
    <cellStyle name="60% - Énfasis3 11 2 2" xfId="9484" xr:uid="{56A81C5F-96A6-4102-AF5C-416204C47B0B}"/>
    <cellStyle name="60% - Énfasis3 11 3" xfId="9483" xr:uid="{5D64DE57-7671-4B93-937C-0C65E73058D8}"/>
    <cellStyle name="60% - Énfasis3 12" xfId="4505" xr:uid="{00000000-0005-0000-0000-000099110000}"/>
    <cellStyle name="60% - Énfasis3 12 2" xfId="4506" xr:uid="{00000000-0005-0000-0000-00009A110000}"/>
    <cellStyle name="60% - Énfasis3 12 2 2" xfId="9486" xr:uid="{2170A234-2469-409A-B8E4-A2FE65212A6E}"/>
    <cellStyle name="60% - Énfasis3 12 3" xfId="9485" xr:uid="{786B189D-894C-4646-ACA8-32DA835C1E50}"/>
    <cellStyle name="60% - Énfasis3 13" xfId="4507" xr:uid="{00000000-0005-0000-0000-00009B110000}"/>
    <cellStyle name="60% - Énfasis3 13 2" xfId="4508" xr:uid="{00000000-0005-0000-0000-00009C110000}"/>
    <cellStyle name="60% - Énfasis3 13 2 2" xfId="9488" xr:uid="{9C52536E-2253-4923-A5FE-52E3B7F8CABC}"/>
    <cellStyle name="60% - Énfasis3 13 3" xfId="9487" xr:uid="{4469D341-3CC1-4C8C-AF72-A994828158B1}"/>
    <cellStyle name="60% - Énfasis3 14" xfId="4509" xr:uid="{00000000-0005-0000-0000-00009D110000}"/>
    <cellStyle name="60% - Énfasis3 14 2" xfId="4510" xr:uid="{00000000-0005-0000-0000-00009E110000}"/>
    <cellStyle name="60% - Énfasis3 14 2 2" xfId="9490" xr:uid="{13499352-E4C9-4251-A972-BAB31AEB3475}"/>
    <cellStyle name="60% - Énfasis3 14 3" xfId="9489" xr:uid="{E6A26D3D-D318-4C9C-89A1-488B53839E24}"/>
    <cellStyle name="60% - Énfasis3 15" xfId="4511" xr:uid="{00000000-0005-0000-0000-00009F110000}"/>
    <cellStyle name="60% - Énfasis3 15 2" xfId="4512" xr:uid="{00000000-0005-0000-0000-0000A0110000}"/>
    <cellStyle name="60% - Énfasis3 15 2 2" xfId="9492" xr:uid="{B7D4EF81-C7D9-4B0C-A4F6-1D1C638BB4DB}"/>
    <cellStyle name="60% - Énfasis3 15 3" xfId="9491" xr:uid="{993E8126-C205-4864-9DDB-08F64EB1570A}"/>
    <cellStyle name="60% - Énfasis3 16" xfId="4513" xr:uid="{00000000-0005-0000-0000-0000A1110000}"/>
    <cellStyle name="60% - Énfasis3 16 2" xfId="9493" xr:uid="{7E00BC3E-B8EC-47DC-A378-BCD2C7B89A7A}"/>
    <cellStyle name="60% - Énfasis3 2" xfId="921" xr:uid="{00000000-0005-0000-0000-000099030000}"/>
    <cellStyle name="60% - Énfasis3 2 2" xfId="922" xr:uid="{00000000-0005-0000-0000-00009A030000}"/>
    <cellStyle name="60% - Énfasis3 2 2 2" xfId="4514" xr:uid="{00000000-0005-0000-0000-0000A2110000}"/>
    <cellStyle name="60% - Énfasis3 2 2 2 2" xfId="9494" xr:uid="{70A8ED54-6355-4BBD-B3C1-9A41591101BE}"/>
    <cellStyle name="60% - Énfasis3 2 2 3" xfId="4515" xr:uid="{00000000-0005-0000-0000-0000A3110000}"/>
    <cellStyle name="60% - Énfasis3 2 2 3 2" xfId="9495" xr:uid="{97FAB84E-209B-4B7D-8BA9-B8497EB9693D}"/>
    <cellStyle name="60% - Énfasis3 2 2 4" xfId="4516" xr:uid="{00000000-0005-0000-0000-0000A4110000}"/>
    <cellStyle name="60% - Énfasis3 2 2 4 2" xfId="4517" xr:uid="{00000000-0005-0000-0000-0000A5110000}"/>
    <cellStyle name="60% - Énfasis3 2 2 4 2 2" xfId="9497" xr:uid="{039E6E73-1AA9-4566-9D2D-A716D47058B6}"/>
    <cellStyle name="60% - Énfasis3 2 2 4 3" xfId="9496" xr:uid="{9D149777-1113-4C82-A5A0-919FE6F2D7F2}"/>
    <cellStyle name="60% - Énfasis3 2 2 5" xfId="8053" xr:uid="{773AED82-95F0-4EEF-8015-64D26E44D593}"/>
    <cellStyle name="60% - Énfasis3 2 3" xfId="4518" xr:uid="{00000000-0005-0000-0000-0000A6110000}"/>
    <cellStyle name="60% - Énfasis3 2 3 2" xfId="9498" xr:uid="{75441704-C54D-4EF4-98F4-26E616A0D50E}"/>
    <cellStyle name="60% - Énfasis3 2 4" xfId="4519" xr:uid="{00000000-0005-0000-0000-0000A7110000}"/>
    <cellStyle name="60% - Énfasis3 2 4 2" xfId="4520" xr:uid="{00000000-0005-0000-0000-0000A8110000}"/>
    <cellStyle name="60% - Énfasis3 2 4 2 2" xfId="9500" xr:uid="{051575E7-C793-41A9-AC96-01E748838444}"/>
    <cellStyle name="60% - Énfasis3 2 4 3" xfId="9499" xr:uid="{254A4EFF-464B-48DE-9491-8BDEB0B63B4C}"/>
    <cellStyle name="60% - Énfasis3 2 5" xfId="4521" xr:uid="{00000000-0005-0000-0000-0000A9110000}"/>
    <cellStyle name="60% - Énfasis3 2 5 2" xfId="9501" xr:uid="{6B703F4F-FFE9-466B-8CE4-92D93E96F95E}"/>
    <cellStyle name="60% - Énfasis3 2 6" xfId="8052" xr:uid="{0D5CFF95-D8F2-4BFF-8608-D8C76E4EA901}"/>
    <cellStyle name="60% - Énfasis3 2_Deuda septiembre_marcos" xfId="923" xr:uid="{00000000-0005-0000-0000-00009B030000}"/>
    <cellStyle name="60% - Énfasis3 3" xfId="3325" xr:uid="{00000000-0005-0000-0000-0000FD0C0000}"/>
    <cellStyle name="60% - Énfasis3 3 2" xfId="4522" xr:uid="{00000000-0005-0000-0000-0000AA110000}"/>
    <cellStyle name="60% - Énfasis3 3 2 2" xfId="9502" xr:uid="{A842A481-6F83-4F5A-BA4E-540636104645}"/>
    <cellStyle name="60% - Énfasis3 3 3" xfId="4523" xr:uid="{00000000-0005-0000-0000-0000AB110000}"/>
    <cellStyle name="60% - Énfasis3 3 3 2" xfId="9503" xr:uid="{84DFFEBB-E019-40F2-B107-58F377BE0AA6}"/>
    <cellStyle name="60% - Énfasis3 3 4" xfId="8771" xr:uid="{C1F5B428-3DC4-40A1-8640-2DF99503A9BE}"/>
    <cellStyle name="60% - Énfasis3 4" xfId="4524" xr:uid="{00000000-0005-0000-0000-0000AC110000}"/>
    <cellStyle name="60% - Énfasis3 4 2" xfId="4525" xr:uid="{00000000-0005-0000-0000-0000AD110000}"/>
    <cellStyle name="60% - Énfasis3 4 2 2" xfId="9505" xr:uid="{DB8D00FB-5588-4DF4-9A26-01A5F2530C3B}"/>
    <cellStyle name="60% - Énfasis3 4 3" xfId="4526" xr:uid="{00000000-0005-0000-0000-0000AE110000}"/>
    <cellStyle name="60% - Énfasis3 4 3 2" xfId="9506" xr:uid="{ADE6F9EE-7B02-441A-A8D1-54F097963111}"/>
    <cellStyle name="60% - Énfasis3 4 4" xfId="9504" xr:uid="{CB515B22-64EC-4091-A7DC-D5BFCF63831C}"/>
    <cellStyle name="60% - Énfasis3 5" xfId="4527" xr:uid="{00000000-0005-0000-0000-0000AF110000}"/>
    <cellStyle name="60% - Énfasis3 5 2" xfId="9507" xr:uid="{C01366F5-6784-4BE6-BF09-A78257B567F1}"/>
    <cellStyle name="60% - Énfasis3 6" xfId="4528" xr:uid="{00000000-0005-0000-0000-0000B0110000}"/>
    <cellStyle name="60% - Énfasis3 6 2" xfId="9508" xr:uid="{C3485550-1CCF-47C5-AB7A-FB2043750662}"/>
    <cellStyle name="60% - Énfasis3 7" xfId="4529" xr:uid="{00000000-0005-0000-0000-0000B1110000}"/>
    <cellStyle name="60% - Énfasis3 7 2" xfId="9509" xr:uid="{F0F41DD4-2C56-4207-BF1B-59CF112814F4}"/>
    <cellStyle name="60% - Énfasis3 8" xfId="4530" xr:uid="{00000000-0005-0000-0000-0000B2110000}"/>
    <cellStyle name="60% - Énfasis3 8 2" xfId="9510" xr:uid="{308B3C04-FF0A-428E-B5DC-AB8877A02321}"/>
    <cellStyle name="60% - Énfasis3 9" xfId="4531" xr:uid="{00000000-0005-0000-0000-0000B3110000}"/>
    <cellStyle name="60% - Énfasis3 9 2" xfId="9511" xr:uid="{3752974A-9A41-4AA2-9928-5A9C125D4D69}"/>
    <cellStyle name="60% - Énfasis4 10" xfId="4532" xr:uid="{00000000-0005-0000-0000-0000B4110000}"/>
    <cellStyle name="60% - Énfasis4 10 2" xfId="4533" xr:uid="{00000000-0005-0000-0000-0000B5110000}"/>
    <cellStyle name="60% - Énfasis4 10 2 2" xfId="9513" xr:uid="{1ECB54C7-E8F7-486A-848F-FC68B81364B1}"/>
    <cellStyle name="60% - Énfasis4 10 3" xfId="9512" xr:uid="{9A591118-2E71-43BD-9EBB-0F0BA8CAA4D5}"/>
    <cellStyle name="60% - Énfasis4 11" xfId="4534" xr:uid="{00000000-0005-0000-0000-0000B6110000}"/>
    <cellStyle name="60% - Énfasis4 11 2" xfId="4535" xr:uid="{00000000-0005-0000-0000-0000B7110000}"/>
    <cellStyle name="60% - Énfasis4 11 2 2" xfId="9515" xr:uid="{C78A1F63-6910-4922-960E-6CD76F5FE61C}"/>
    <cellStyle name="60% - Énfasis4 11 3" xfId="9514" xr:uid="{560F4F6E-22E9-49F4-8225-4FEE22D447E5}"/>
    <cellStyle name="60% - Énfasis4 12" xfId="4536" xr:uid="{00000000-0005-0000-0000-0000B8110000}"/>
    <cellStyle name="60% - Énfasis4 12 2" xfId="4537" xr:uid="{00000000-0005-0000-0000-0000B9110000}"/>
    <cellStyle name="60% - Énfasis4 12 2 2" xfId="9517" xr:uid="{5BC0EEC5-7E61-462C-A489-718E980354FA}"/>
    <cellStyle name="60% - Énfasis4 12 3" xfId="9516" xr:uid="{DA8CB9C4-FDB3-4621-A781-253874ADE1FA}"/>
    <cellStyle name="60% - Énfasis4 13" xfId="4538" xr:uid="{00000000-0005-0000-0000-0000BA110000}"/>
    <cellStyle name="60% - Énfasis4 13 2" xfId="4539" xr:uid="{00000000-0005-0000-0000-0000BB110000}"/>
    <cellStyle name="60% - Énfasis4 13 2 2" xfId="9519" xr:uid="{2EE3555F-A80F-4D5C-9A32-413103495D04}"/>
    <cellStyle name="60% - Énfasis4 13 3" xfId="9518" xr:uid="{A4ED96AA-304F-49A8-BA2B-2EF6401684D9}"/>
    <cellStyle name="60% - Énfasis4 14" xfId="4540" xr:uid="{00000000-0005-0000-0000-0000BC110000}"/>
    <cellStyle name="60% - Énfasis4 14 2" xfId="4541" xr:uid="{00000000-0005-0000-0000-0000BD110000}"/>
    <cellStyle name="60% - Énfasis4 14 2 2" xfId="9521" xr:uid="{55300AF6-AB4C-4121-8CE9-618BDE5724D1}"/>
    <cellStyle name="60% - Énfasis4 14 3" xfId="9520" xr:uid="{E95DD401-E132-4EF6-B1F3-E16227EFCBE5}"/>
    <cellStyle name="60% - Énfasis4 15" xfId="4542" xr:uid="{00000000-0005-0000-0000-0000BE110000}"/>
    <cellStyle name="60% - Énfasis4 15 2" xfId="9522" xr:uid="{5CF71126-09A2-4C77-8F96-F00C79B17F5D}"/>
    <cellStyle name="60% - Énfasis4 2" xfId="3326" xr:uid="{00000000-0005-0000-0000-0000FE0C0000}"/>
    <cellStyle name="60% - Énfasis4 2 2" xfId="4543" xr:uid="{00000000-0005-0000-0000-0000BF110000}"/>
    <cellStyle name="60% - Énfasis4 2 2 2" xfId="9523" xr:uid="{50DD53C3-6C19-43E4-8B39-BA872A53B979}"/>
    <cellStyle name="60% - Énfasis4 2 3" xfId="4544" xr:uid="{00000000-0005-0000-0000-0000C0110000}"/>
    <cellStyle name="60% - Énfasis4 2 3 2" xfId="9524" xr:uid="{5ACEB83B-9589-4D34-8673-4C05D8669F96}"/>
    <cellStyle name="60% - Énfasis4 2 4" xfId="4545" xr:uid="{00000000-0005-0000-0000-0000C1110000}"/>
    <cellStyle name="60% - Énfasis4 2 4 2" xfId="9525" xr:uid="{9CAF94CA-C13E-41B6-A8A9-6F6A7F139A30}"/>
    <cellStyle name="60% - Énfasis4 2 5" xfId="8772" xr:uid="{70E03794-2ABD-4326-AA71-5EAB85493421}"/>
    <cellStyle name="60% - Énfasis4 3" xfId="3327" xr:uid="{00000000-0005-0000-0000-0000FF0C0000}"/>
    <cellStyle name="60% - Énfasis4 3 2" xfId="4546" xr:uid="{00000000-0005-0000-0000-0000C2110000}"/>
    <cellStyle name="60% - Énfasis4 3 2 2" xfId="9526" xr:uid="{0667E65C-586C-45A4-B050-4F4843B3CDB0}"/>
    <cellStyle name="60% - Énfasis4 3 3" xfId="4547" xr:uid="{00000000-0005-0000-0000-0000C3110000}"/>
    <cellStyle name="60% - Énfasis4 3 3 2" xfId="9527" xr:uid="{86978810-8CEB-46CF-ACE6-B5CED35ECD8D}"/>
    <cellStyle name="60% - Énfasis4 3 4" xfId="8773" xr:uid="{BE00A2C9-A49A-480C-BE4A-751049B6B174}"/>
    <cellStyle name="60% - Énfasis4 4" xfId="4548" xr:uid="{00000000-0005-0000-0000-0000C4110000}"/>
    <cellStyle name="60% - Énfasis4 4 2" xfId="4549" xr:uid="{00000000-0005-0000-0000-0000C5110000}"/>
    <cellStyle name="60% - Énfasis4 4 2 2" xfId="9529" xr:uid="{85B4D481-529B-49CA-A94C-4BB7766BE6C5}"/>
    <cellStyle name="60% - Énfasis4 4 3" xfId="4550" xr:uid="{00000000-0005-0000-0000-0000C6110000}"/>
    <cellStyle name="60% - Énfasis4 4 3 2" xfId="9530" xr:uid="{C4F3FB6A-EE8D-444C-BF63-1590EB2E02EB}"/>
    <cellStyle name="60% - Énfasis4 4 4" xfId="9528" xr:uid="{F7C4BCE7-7483-4441-AB6C-86024A87AD40}"/>
    <cellStyle name="60% - Énfasis4 5" xfId="4551" xr:uid="{00000000-0005-0000-0000-0000C7110000}"/>
    <cellStyle name="60% - Énfasis4 5 2" xfId="9531" xr:uid="{5E51896C-F83B-4083-8A77-CF60DA156FBA}"/>
    <cellStyle name="60% - Énfasis4 6" xfId="4552" xr:uid="{00000000-0005-0000-0000-0000C8110000}"/>
    <cellStyle name="60% - Énfasis4 6 2" xfId="9532" xr:uid="{254C506A-D855-4CCA-954C-B4142A8130E8}"/>
    <cellStyle name="60% - Énfasis4 7" xfId="4553" xr:uid="{00000000-0005-0000-0000-0000C9110000}"/>
    <cellStyle name="60% - Énfasis4 7 2" xfId="9533" xr:uid="{C221FACA-A371-4CC2-9E1D-24B55CE7853F}"/>
    <cellStyle name="60% - Énfasis4 8" xfId="4554" xr:uid="{00000000-0005-0000-0000-0000CA110000}"/>
    <cellStyle name="60% - Énfasis4 8 2" xfId="9534" xr:uid="{EB153A6C-1074-494C-B5AD-AD15555736D2}"/>
    <cellStyle name="60% - Énfasis4 9" xfId="4555" xr:uid="{00000000-0005-0000-0000-0000CB110000}"/>
    <cellStyle name="60% - Énfasis4 9 2" xfId="9535" xr:uid="{86B13191-F7F7-451C-BBBD-362BE7FBB14D}"/>
    <cellStyle name="60% - Énfasis5 10" xfId="4556" xr:uid="{00000000-0005-0000-0000-0000CC110000}"/>
    <cellStyle name="60% - Énfasis5 10 2" xfId="4557" xr:uid="{00000000-0005-0000-0000-0000CD110000}"/>
    <cellStyle name="60% - Énfasis5 10 2 2" xfId="9537" xr:uid="{3690201C-A215-42A6-B64F-E8FAA058BEB1}"/>
    <cellStyle name="60% - Énfasis5 10 3" xfId="9536" xr:uid="{FD3653AD-44F5-4D5C-B492-3968E6F80B31}"/>
    <cellStyle name="60% - Énfasis5 11" xfId="4558" xr:uid="{00000000-0005-0000-0000-0000CE110000}"/>
    <cellStyle name="60% - Énfasis5 11 2" xfId="4559" xr:uid="{00000000-0005-0000-0000-0000CF110000}"/>
    <cellStyle name="60% - Énfasis5 11 2 2" xfId="9539" xr:uid="{728D00D1-D7A3-4980-9219-83F7F0DD0494}"/>
    <cellStyle name="60% - Énfasis5 11 3" xfId="9538" xr:uid="{B8EF6E64-A9F1-4851-9E15-CF7DA3FF9CC1}"/>
    <cellStyle name="60% - Énfasis5 12" xfId="4560" xr:uid="{00000000-0005-0000-0000-0000D0110000}"/>
    <cellStyle name="60% - Énfasis5 12 2" xfId="4561" xr:uid="{00000000-0005-0000-0000-0000D1110000}"/>
    <cellStyle name="60% - Énfasis5 12 2 2" xfId="9541" xr:uid="{BD3BB905-9241-47BD-BD9F-947D57636C2B}"/>
    <cellStyle name="60% - Énfasis5 12 3" xfId="9540" xr:uid="{A7C69EAA-DBDF-4DC4-8740-C7B356CAC85E}"/>
    <cellStyle name="60% - Énfasis5 13" xfId="4562" xr:uid="{00000000-0005-0000-0000-0000D2110000}"/>
    <cellStyle name="60% - Énfasis5 13 2" xfId="4563" xr:uid="{00000000-0005-0000-0000-0000D3110000}"/>
    <cellStyle name="60% - Énfasis5 13 2 2" xfId="9543" xr:uid="{DBBE1B80-CC43-4107-9A5B-E1BF1504FBAD}"/>
    <cellStyle name="60% - Énfasis5 13 3" xfId="9542" xr:uid="{3556489F-10CC-4D03-91D5-0CFE4BC6B0F7}"/>
    <cellStyle name="60% - Énfasis5 14" xfId="4564" xr:uid="{00000000-0005-0000-0000-0000D4110000}"/>
    <cellStyle name="60% - Énfasis5 14 2" xfId="4565" xr:uid="{00000000-0005-0000-0000-0000D5110000}"/>
    <cellStyle name="60% - Énfasis5 14 2 2" xfId="9545" xr:uid="{CD43D010-7892-47EA-8FA6-30C5DD942510}"/>
    <cellStyle name="60% - Énfasis5 14 3" xfId="9544" xr:uid="{B24D86E6-8FC7-4EEA-8A33-D1EDC00536B1}"/>
    <cellStyle name="60% - Énfasis5 15" xfId="4566" xr:uid="{00000000-0005-0000-0000-0000D6110000}"/>
    <cellStyle name="60% - Énfasis5 15 2" xfId="9546" xr:uid="{F0B79D51-3898-488E-A7A2-7A7D444F8822}"/>
    <cellStyle name="60% - Énfasis5 2" xfId="3328" xr:uid="{00000000-0005-0000-0000-0000000D0000}"/>
    <cellStyle name="60% - Énfasis5 2 2" xfId="4567" xr:uid="{00000000-0005-0000-0000-0000D7110000}"/>
    <cellStyle name="60% - Énfasis5 2 2 2" xfId="9547" xr:uid="{C20D9228-B381-40C2-BDC1-78886171B2BC}"/>
    <cellStyle name="60% - Énfasis5 2 3" xfId="4568" xr:uid="{00000000-0005-0000-0000-0000D8110000}"/>
    <cellStyle name="60% - Énfasis5 2 3 2" xfId="9548" xr:uid="{EE3CA2A1-4E60-420F-9920-CA869A1D41E3}"/>
    <cellStyle name="60% - Énfasis5 2 4" xfId="4569" xr:uid="{00000000-0005-0000-0000-0000D9110000}"/>
    <cellStyle name="60% - Énfasis5 2 4 2" xfId="9549" xr:uid="{B9892F1D-4D92-4BBF-B06A-01CC70CBA0A9}"/>
    <cellStyle name="60% - Énfasis5 2 5" xfId="8774" xr:uid="{FB90C9E8-9ED0-4B53-9364-ACDA7AC9BE69}"/>
    <cellStyle name="60% - Énfasis5 3" xfId="3329" xr:uid="{00000000-0005-0000-0000-0000010D0000}"/>
    <cellStyle name="60% - Énfasis5 3 2" xfId="4570" xr:uid="{00000000-0005-0000-0000-0000DA110000}"/>
    <cellStyle name="60% - Énfasis5 3 2 2" xfId="9550" xr:uid="{8F7C8A64-FCC0-4D83-8E8F-9B3B66C4338D}"/>
    <cellStyle name="60% - Énfasis5 3 3" xfId="4571" xr:uid="{00000000-0005-0000-0000-0000DB110000}"/>
    <cellStyle name="60% - Énfasis5 3 3 2" xfId="9551" xr:uid="{B3C70AB4-5B3E-4274-AA5D-229322D306DE}"/>
    <cellStyle name="60% - Énfasis5 3 4" xfId="8775" xr:uid="{89127A7D-D27B-464E-B2D0-EF7065F0F63A}"/>
    <cellStyle name="60% - Énfasis5 4" xfId="4572" xr:uid="{00000000-0005-0000-0000-0000DC110000}"/>
    <cellStyle name="60% - Énfasis5 4 2" xfId="4573" xr:uid="{00000000-0005-0000-0000-0000DD110000}"/>
    <cellStyle name="60% - Énfasis5 4 2 2" xfId="9553" xr:uid="{A55F3C29-85AB-4F33-AA9B-FC5DA53E867B}"/>
    <cellStyle name="60% - Énfasis5 4 3" xfId="4574" xr:uid="{00000000-0005-0000-0000-0000DE110000}"/>
    <cellStyle name="60% - Énfasis5 4 3 2" xfId="9554" xr:uid="{A184AF48-ABCB-4C21-96AD-F5CEFF6B4939}"/>
    <cellStyle name="60% - Énfasis5 4 4" xfId="9552" xr:uid="{5C01BDCF-4E34-490B-93F3-5543011C404A}"/>
    <cellStyle name="60% - Énfasis5 5" xfId="4575" xr:uid="{00000000-0005-0000-0000-0000DF110000}"/>
    <cellStyle name="60% - Énfasis5 5 2" xfId="9555" xr:uid="{F715311C-9755-49EF-8E38-A0438899DADA}"/>
    <cellStyle name="60% - Énfasis5 6" xfId="4576" xr:uid="{00000000-0005-0000-0000-0000E0110000}"/>
    <cellStyle name="60% - Énfasis5 6 2" xfId="9556" xr:uid="{8292326C-745C-41C0-9762-81691D45DB86}"/>
    <cellStyle name="60% - Énfasis5 7" xfId="4577" xr:uid="{00000000-0005-0000-0000-0000E1110000}"/>
    <cellStyle name="60% - Énfasis5 7 2" xfId="9557" xr:uid="{B517C5B7-B1E3-4E9D-BCFD-DE4815413F17}"/>
    <cellStyle name="60% - Énfasis5 8" xfId="4578" xr:uid="{00000000-0005-0000-0000-0000E2110000}"/>
    <cellStyle name="60% - Énfasis5 8 2" xfId="9558" xr:uid="{03141BAC-CA4F-4088-9687-11F5ECFC4903}"/>
    <cellStyle name="60% - Énfasis5 9" xfId="4579" xr:uid="{00000000-0005-0000-0000-0000E3110000}"/>
    <cellStyle name="60% - Énfasis5 9 2" xfId="9559" xr:uid="{C071B0A5-6406-4DC8-9FA5-F8DEC518E4C2}"/>
    <cellStyle name="60% - Énfasis6 10" xfId="4580" xr:uid="{00000000-0005-0000-0000-0000E4110000}"/>
    <cellStyle name="60% - Énfasis6 10 2" xfId="4581" xr:uid="{00000000-0005-0000-0000-0000E5110000}"/>
    <cellStyle name="60% - Énfasis6 10 2 2" xfId="9561" xr:uid="{E1458468-1E3F-4DE2-B4D8-F3B1A1702727}"/>
    <cellStyle name="60% - Énfasis6 10 3" xfId="9560" xr:uid="{33128E67-CB04-41D9-990F-24C5303BDAF0}"/>
    <cellStyle name="60% - Énfasis6 11" xfId="4582" xr:uid="{00000000-0005-0000-0000-0000E6110000}"/>
    <cellStyle name="60% - Énfasis6 11 2" xfId="4583" xr:uid="{00000000-0005-0000-0000-0000E7110000}"/>
    <cellStyle name="60% - Énfasis6 11 2 2" xfId="9563" xr:uid="{8ADB4E2E-E381-466C-9D1C-D876D6DD06DA}"/>
    <cellStyle name="60% - Énfasis6 11 3" xfId="9562" xr:uid="{BBC23AD7-022D-4171-93BA-658DAC3E89DF}"/>
    <cellStyle name="60% - Énfasis6 12" xfId="4584" xr:uid="{00000000-0005-0000-0000-0000E8110000}"/>
    <cellStyle name="60% - Énfasis6 12 2" xfId="4585" xr:uid="{00000000-0005-0000-0000-0000E9110000}"/>
    <cellStyle name="60% - Énfasis6 12 2 2" xfId="9565" xr:uid="{919F3057-94BE-4142-A126-F2E7C35E323C}"/>
    <cellStyle name="60% - Énfasis6 12 3" xfId="9564" xr:uid="{5616C9AD-FBAA-4B1D-8E26-8E779C42732D}"/>
    <cellStyle name="60% - Énfasis6 13" xfId="4586" xr:uid="{00000000-0005-0000-0000-0000EA110000}"/>
    <cellStyle name="60% - Énfasis6 13 2" xfId="4587" xr:uid="{00000000-0005-0000-0000-0000EB110000}"/>
    <cellStyle name="60% - Énfasis6 13 2 2" xfId="9567" xr:uid="{D06BC260-EB43-41E4-B816-F469595B1F76}"/>
    <cellStyle name="60% - Énfasis6 13 3" xfId="9566" xr:uid="{F66BD21F-6FB5-490D-A57C-C9B740733A1F}"/>
    <cellStyle name="60% - Énfasis6 14" xfId="4588" xr:uid="{00000000-0005-0000-0000-0000EC110000}"/>
    <cellStyle name="60% - Énfasis6 14 2" xfId="4589" xr:uid="{00000000-0005-0000-0000-0000ED110000}"/>
    <cellStyle name="60% - Énfasis6 14 2 2" xfId="9569" xr:uid="{38F130C9-2823-4E0D-9412-13475C5ECDAA}"/>
    <cellStyle name="60% - Énfasis6 14 3" xfId="9568" xr:uid="{CA8572E5-12CB-4C11-93F3-F2ABB8772ADF}"/>
    <cellStyle name="60% - Énfasis6 15" xfId="4590" xr:uid="{00000000-0005-0000-0000-0000EE110000}"/>
    <cellStyle name="60% - Énfasis6 15 2" xfId="9570" xr:uid="{78267FF6-4CAB-4E27-9B8C-4E5809308BAD}"/>
    <cellStyle name="60% - Énfasis6 2" xfId="3330" xr:uid="{00000000-0005-0000-0000-0000020D0000}"/>
    <cellStyle name="60% - Énfasis6 2 2" xfId="4591" xr:uid="{00000000-0005-0000-0000-0000EF110000}"/>
    <cellStyle name="60% - Énfasis6 2 2 2" xfId="9571" xr:uid="{9BAC5941-2DD7-4085-B076-DEF554B36EEF}"/>
    <cellStyle name="60% - Énfasis6 2 3" xfId="4592" xr:uid="{00000000-0005-0000-0000-0000F0110000}"/>
    <cellStyle name="60% - Énfasis6 2 3 2" xfId="9572" xr:uid="{CA392B86-1FBE-44B9-97E3-F05EF0F4D58C}"/>
    <cellStyle name="60% - Énfasis6 2 4" xfId="4593" xr:uid="{00000000-0005-0000-0000-0000F1110000}"/>
    <cellStyle name="60% - Énfasis6 2 4 2" xfId="9573" xr:uid="{E200D455-B494-404E-8FDC-43320B0E94C0}"/>
    <cellStyle name="60% - Énfasis6 2 5" xfId="8776" xr:uid="{2E0C1713-1B21-4C55-9852-5D674FCB78D9}"/>
    <cellStyle name="60% - Énfasis6 3" xfId="3331" xr:uid="{00000000-0005-0000-0000-0000030D0000}"/>
    <cellStyle name="60% - Énfasis6 3 2" xfId="4594" xr:uid="{00000000-0005-0000-0000-0000F2110000}"/>
    <cellStyle name="60% - Énfasis6 3 2 2" xfId="9574" xr:uid="{00173557-8608-4529-A6DE-2101F91E73B7}"/>
    <cellStyle name="60% - Énfasis6 3 3" xfId="4595" xr:uid="{00000000-0005-0000-0000-0000F3110000}"/>
    <cellStyle name="60% - Énfasis6 3 3 2" xfId="9575" xr:uid="{8C3A1426-2C93-43F7-9020-B557C2DC0FB0}"/>
    <cellStyle name="60% - Énfasis6 3 4" xfId="8777" xr:uid="{FF888AFB-F388-4B92-A01D-28AA70793107}"/>
    <cellStyle name="60% - Énfasis6 4" xfId="4596" xr:uid="{00000000-0005-0000-0000-0000F4110000}"/>
    <cellStyle name="60% - Énfasis6 4 2" xfId="4597" xr:uid="{00000000-0005-0000-0000-0000F5110000}"/>
    <cellStyle name="60% - Énfasis6 4 2 2" xfId="9577" xr:uid="{8BF9829A-4C69-4140-966D-71F7C71525D2}"/>
    <cellStyle name="60% - Énfasis6 4 3" xfId="4598" xr:uid="{00000000-0005-0000-0000-0000F6110000}"/>
    <cellStyle name="60% - Énfasis6 4 3 2" xfId="9578" xr:uid="{695208AE-A99D-437E-8569-2F44D311D49E}"/>
    <cellStyle name="60% - Énfasis6 4 4" xfId="9576" xr:uid="{688C2D35-D7A7-4267-9A65-0CCB956437A9}"/>
    <cellStyle name="60% - Énfasis6 5" xfId="4599" xr:uid="{00000000-0005-0000-0000-0000F7110000}"/>
    <cellStyle name="60% - Énfasis6 5 2" xfId="9579" xr:uid="{599687EE-C14D-4F25-BFC2-B34583319E25}"/>
    <cellStyle name="60% - Énfasis6 6" xfId="4600" xr:uid="{00000000-0005-0000-0000-0000F8110000}"/>
    <cellStyle name="60% - Énfasis6 6 2" xfId="9580" xr:uid="{B59AAC32-3458-4B33-AFB4-E27237860821}"/>
    <cellStyle name="60% - Énfasis6 7" xfId="4601" xr:uid="{00000000-0005-0000-0000-0000F9110000}"/>
    <cellStyle name="60% - Énfasis6 7 2" xfId="9581" xr:uid="{3DC1DA73-19A7-438C-93AB-A4B76A9305D0}"/>
    <cellStyle name="60% - Énfasis6 8" xfId="4602" xr:uid="{00000000-0005-0000-0000-0000FA110000}"/>
    <cellStyle name="60% - Énfasis6 8 2" xfId="9582" xr:uid="{74546FB2-5E6B-4772-A3E2-246BE27F76AE}"/>
    <cellStyle name="60% - Énfasis6 9" xfId="4603" xr:uid="{00000000-0005-0000-0000-0000FB110000}"/>
    <cellStyle name="60% - Énfasis6 9 2" xfId="9583" xr:uid="{63E78881-849C-42C6-A7E6-E5BC2E8D8D65}"/>
    <cellStyle name="AA" xfId="924" xr:uid="{00000000-0005-0000-0000-00009C030000}"/>
    <cellStyle name="AA 10" xfId="3332" xr:uid="{00000000-0005-0000-0000-0000040D0000}"/>
    <cellStyle name="AA 10 2" xfId="8778" xr:uid="{0AE93C75-DC89-4BA4-9A02-AE40B16A42D4}"/>
    <cellStyle name="AA 11" xfId="8054" xr:uid="{A86ACE7D-CEE1-4E83-A0FB-F57FE0C9319E}"/>
    <cellStyle name="AA 2" xfId="3333" xr:uid="{00000000-0005-0000-0000-0000050D0000}"/>
    <cellStyle name="AA 2 2" xfId="8779" xr:uid="{1024D0C3-9241-4E94-AAC0-EA7EADFCEE1C}"/>
    <cellStyle name="AA 3" xfId="3334" xr:uid="{00000000-0005-0000-0000-0000060D0000}"/>
    <cellStyle name="AA 3 2" xfId="8780" xr:uid="{E64C2406-09BD-4948-B50A-8F6EEAD0C7DF}"/>
    <cellStyle name="AA 4" xfId="3335" xr:uid="{00000000-0005-0000-0000-0000070D0000}"/>
    <cellStyle name="AA 4 2" xfId="8781" xr:uid="{CFFA1196-98D6-46E0-B1DB-7E007D420F76}"/>
    <cellStyle name="AA 5" xfId="3336" xr:uid="{00000000-0005-0000-0000-0000080D0000}"/>
    <cellStyle name="AA 5 2" xfId="8782" xr:uid="{AAB42D86-A62B-4630-BD56-6BDA72C738DB}"/>
    <cellStyle name="AA 6" xfId="3337" xr:uid="{00000000-0005-0000-0000-0000090D0000}"/>
    <cellStyle name="AA 6 2" xfId="8783" xr:uid="{2868FC47-83B4-4449-B788-1765B02457C9}"/>
    <cellStyle name="AA 7" xfId="3338" xr:uid="{00000000-0005-0000-0000-00000A0D0000}"/>
    <cellStyle name="AA 7 2" xfId="8784" xr:uid="{1AF8E565-AD98-4914-ADD8-246AEF0EB8D5}"/>
    <cellStyle name="AA 8" xfId="3339" xr:uid="{00000000-0005-0000-0000-00000B0D0000}"/>
    <cellStyle name="AA 8 2" xfId="8785" xr:uid="{F79FF4AE-3C51-4CC6-A950-E2EC03E94F24}"/>
    <cellStyle name="AA 9" xfId="3340" xr:uid="{00000000-0005-0000-0000-00000C0D0000}"/>
    <cellStyle name="AA 9 2" xfId="8786" xr:uid="{D2E43316-09DA-4E40-88CC-BCD095B9A837}"/>
    <cellStyle name="AA_TRANSELCA" xfId="3341" xr:uid="{00000000-0005-0000-0000-00000D0D0000}"/>
    <cellStyle name="Actual Date" xfId="925" xr:uid="{00000000-0005-0000-0000-00009D030000}"/>
    <cellStyle name="Actual Date 2" xfId="926" xr:uid="{00000000-0005-0000-0000-00009E030000}"/>
    <cellStyle name="Actual Date 2 2" xfId="927" xr:uid="{00000000-0005-0000-0000-00009F030000}"/>
    <cellStyle name="Actual Date 2 3" xfId="928" xr:uid="{00000000-0005-0000-0000-0000A0030000}"/>
    <cellStyle name="Actual Date 2 4" xfId="929" xr:uid="{00000000-0005-0000-0000-0000A1030000}"/>
    <cellStyle name="Actual Date 2 5" xfId="930" xr:uid="{00000000-0005-0000-0000-0000A2030000}"/>
    <cellStyle name="Actual Date 2 6" xfId="931" xr:uid="{00000000-0005-0000-0000-0000A3030000}"/>
    <cellStyle name="Actual Date 2 7" xfId="932" xr:uid="{00000000-0005-0000-0000-0000A4030000}"/>
    <cellStyle name="Actual Date 2 8" xfId="933" xr:uid="{00000000-0005-0000-0000-0000A5030000}"/>
    <cellStyle name="Actual Date 2_ActiFijos" xfId="934" xr:uid="{00000000-0005-0000-0000-0000A6030000}"/>
    <cellStyle name="Actual Date 3" xfId="935" xr:uid="{00000000-0005-0000-0000-0000A7030000}"/>
    <cellStyle name="Actual Date 3 2" xfId="936" xr:uid="{00000000-0005-0000-0000-0000A8030000}"/>
    <cellStyle name="Actual Date 3 3" xfId="937" xr:uid="{00000000-0005-0000-0000-0000A9030000}"/>
    <cellStyle name="Actual Date 3 4" xfId="938" xr:uid="{00000000-0005-0000-0000-0000AA030000}"/>
    <cellStyle name="Actual Date 3 5" xfId="939" xr:uid="{00000000-0005-0000-0000-0000AB030000}"/>
    <cellStyle name="Actual Date 3 6" xfId="940" xr:uid="{00000000-0005-0000-0000-0000AC030000}"/>
    <cellStyle name="Actual Date 3 7" xfId="941" xr:uid="{00000000-0005-0000-0000-0000AD030000}"/>
    <cellStyle name="Actual Date 3 8" xfId="942" xr:uid="{00000000-0005-0000-0000-0000AE030000}"/>
    <cellStyle name="Actual Date 3_ActiFijos" xfId="943" xr:uid="{00000000-0005-0000-0000-0000AF030000}"/>
    <cellStyle name="Actual Date 4" xfId="944" xr:uid="{00000000-0005-0000-0000-0000B0030000}"/>
    <cellStyle name="Actual Date 4 2" xfId="945" xr:uid="{00000000-0005-0000-0000-0000B1030000}"/>
    <cellStyle name="Actual Date 4 3" xfId="946" xr:uid="{00000000-0005-0000-0000-0000B2030000}"/>
    <cellStyle name="Actual Date 4 4" xfId="947" xr:uid="{00000000-0005-0000-0000-0000B3030000}"/>
    <cellStyle name="Actual Date 4 5" xfId="948" xr:uid="{00000000-0005-0000-0000-0000B4030000}"/>
    <cellStyle name="Actual Date 4 6" xfId="949" xr:uid="{00000000-0005-0000-0000-0000B5030000}"/>
    <cellStyle name="Actual Date 4 7" xfId="950" xr:uid="{00000000-0005-0000-0000-0000B6030000}"/>
    <cellStyle name="Actual Date 4 8" xfId="951" xr:uid="{00000000-0005-0000-0000-0000B7030000}"/>
    <cellStyle name="Actual Date 4_ActiFijos" xfId="952" xr:uid="{00000000-0005-0000-0000-0000B8030000}"/>
    <cellStyle name="Actual Date_Bases_Generales" xfId="953" xr:uid="{00000000-0005-0000-0000-0000B9030000}"/>
    <cellStyle name="año" xfId="954" xr:uid="{00000000-0005-0000-0000-0000BA030000}"/>
    <cellStyle name="año 10" xfId="8055" xr:uid="{CC6F2CC6-9440-4B0C-98DB-DA5E6D4A0A15}"/>
    <cellStyle name="año 2" xfId="955" xr:uid="{00000000-0005-0000-0000-0000BB030000}"/>
    <cellStyle name="año 2 2" xfId="956" xr:uid="{00000000-0005-0000-0000-0000BC030000}"/>
    <cellStyle name="año 2 2 2" xfId="957" xr:uid="{00000000-0005-0000-0000-0000BD030000}"/>
    <cellStyle name="año 2 2 2 2" xfId="958" xr:uid="{00000000-0005-0000-0000-0000BE030000}"/>
    <cellStyle name="año 2 2 2 2 2" xfId="8059" xr:uid="{14753594-D0A2-4522-A141-90EDD2F66199}"/>
    <cellStyle name="año 2 2 2 3" xfId="959" xr:uid="{00000000-0005-0000-0000-0000BF030000}"/>
    <cellStyle name="año 2 2 2 3 2" xfId="8060" xr:uid="{D4E32637-8025-4114-91A6-03A890A66000}"/>
    <cellStyle name="año 2 2 2 4" xfId="8058" xr:uid="{FB44D795-6F66-4ACA-8D9D-936A60AD5B9F}"/>
    <cellStyle name="año 2 2 2_Deuda septiembre_marcos" xfId="960" xr:uid="{00000000-0005-0000-0000-0000C0030000}"/>
    <cellStyle name="año 2 2 3" xfId="961" xr:uid="{00000000-0005-0000-0000-0000C1030000}"/>
    <cellStyle name="año 2 2 3 2" xfId="8061" xr:uid="{E92330B8-4A7E-476B-87C3-B9AB8C8B0E4C}"/>
    <cellStyle name="año 2 2 4" xfId="962" xr:uid="{00000000-0005-0000-0000-0000C2030000}"/>
    <cellStyle name="año 2 2 4 2" xfId="8062" xr:uid="{9F11CD8B-D5D3-4B89-BFCC-DDE6E4DD84D1}"/>
    <cellStyle name="año 2 2 5" xfId="8057" xr:uid="{B475519B-64A5-44C7-BB50-D463C4B9ED2E}"/>
    <cellStyle name="año 2 2_Deuda septiembre_marcos" xfId="963" xr:uid="{00000000-0005-0000-0000-0000C3030000}"/>
    <cellStyle name="año 2 3" xfId="964" xr:uid="{00000000-0005-0000-0000-0000C4030000}"/>
    <cellStyle name="año 2 3 2" xfId="965" xr:uid="{00000000-0005-0000-0000-0000C5030000}"/>
    <cellStyle name="año 2 3 2 2" xfId="966" xr:uid="{00000000-0005-0000-0000-0000C6030000}"/>
    <cellStyle name="año 2 3 2 2 2" xfId="8065" xr:uid="{6020C44F-BE51-4C64-B64E-4850E61C6A88}"/>
    <cellStyle name="año 2 3 2 3" xfId="967" xr:uid="{00000000-0005-0000-0000-0000C7030000}"/>
    <cellStyle name="año 2 3 2 3 2" xfId="8066" xr:uid="{A566B2B0-EB8D-44C9-A39F-7B3FD8234FB9}"/>
    <cellStyle name="año 2 3 2 4" xfId="8064" xr:uid="{6EA23C95-B807-4DBF-AD29-58554ED7F6AF}"/>
    <cellStyle name="año 2 3 2_Deuda septiembre_marcos" xfId="968" xr:uid="{00000000-0005-0000-0000-0000C8030000}"/>
    <cellStyle name="año 2 3 3" xfId="969" xr:uid="{00000000-0005-0000-0000-0000C9030000}"/>
    <cellStyle name="año 2 3 3 2" xfId="8067" xr:uid="{579ED3BA-1FBF-4D06-98AB-30FA55F13C0C}"/>
    <cellStyle name="año 2 3 4" xfId="970" xr:uid="{00000000-0005-0000-0000-0000CA030000}"/>
    <cellStyle name="año 2 3 4 2" xfId="8068" xr:uid="{5714BC0D-3D0F-400A-BD27-D9F1109F208F}"/>
    <cellStyle name="año 2 3 5" xfId="8063" xr:uid="{E3B1DBAF-828D-497F-8094-8F6772D43DC6}"/>
    <cellStyle name="año 2 3_Deuda septiembre_marcos" xfId="971" xr:uid="{00000000-0005-0000-0000-0000CB030000}"/>
    <cellStyle name="año 2 4" xfId="972" xr:uid="{00000000-0005-0000-0000-0000CC030000}"/>
    <cellStyle name="año 2 4 2" xfId="973" xr:uid="{00000000-0005-0000-0000-0000CD030000}"/>
    <cellStyle name="año 2 4 2 2" xfId="974" xr:uid="{00000000-0005-0000-0000-0000CE030000}"/>
    <cellStyle name="año 2 4 2 2 2" xfId="8071" xr:uid="{6D64FA56-5FCA-4431-A94F-280ACF253793}"/>
    <cellStyle name="año 2 4 2 3" xfId="975" xr:uid="{00000000-0005-0000-0000-0000CF030000}"/>
    <cellStyle name="año 2 4 2 3 2" xfId="8072" xr:uid="{E2A8EE3D-A4E3-4DA9-8E02-135927B6539E}"/>
    <cellStyle name="año 2 4 2 4" xfId="8070" xr:uid="{BCE457BD-C578-4424-BD2D-A19A4E1D1ABA}"/>
    <cellStyle name="año 2 4 2_Deuda septiembre_marcos" xfId="976" xr:uid="{00000000-0005-0000-0000-0000D0030000}"/>
    <cellStyle name="año 2 4 3" xfId="977" xr:uid="{00000000-0005-0000-0000-0000D1030000}"/>
    <cellStyle name="año 2 4 3 2" xfId="8073" xr:uid="{1E466EE2-0F10-4376-9DBC-977D9FD11277}"/>
    <cellStyle name="año 2 4 4" xfId="978" xr:uid="{00000000-0005-0000-0000-0000D2030000}"/>
    <cellStyle name="año 2 4 4 2" xfId="8074" xr:uid="{06A7C5EB-A61B-46DB-A3DE-0AE1A1A9BD95}"/>
    <cellStyle name="año 2 4 5" xfId="8069" xr:uid="{A3E0EAB9-F8BC-4AC1-87DC-240C12256E4D}"/>
    <cellStyle name="año 2 4_Deuda septiembre_marcos" xfId="979" xr:uid="{00000000-0005-0000-0000-0000D3030000}"/>
    <cellStyle name="año 2 5" xfId="980" xr:uid="{00000000-0005-0000-0000-0000D4030000}"/>
    <cellStyle name="año 2 5 2" xfId="981" xr:uid="{00000000-0005-0000-0000-0000D5030000}"/>
    <cellStyle name="año 2 5 2 2" xfId="8076" xr:uid="{30F37D4A-7B75-458F-9D50-AA07945E4556}"/>
    <cellStyle name="año 2 5 3" xfId="982" xr:uid="{00000000-0005-0000-0000-0000D6030000}"/>
    <cellStyle name="año 2 5 3 2" xfId="8077" xr:uid="{F2810AC9-40D8-4963-875A-A33B3292E1C5}"/>
    <cellStyle name="año 2 5 4" xfId="8075" xr:uid="{E8204574-FA70-4A37-B4C0-0CA12B72A587}"/>
    <cellStyle name="año 2 5_Deuda septiembre_marcos" xfId="983" xr:uid="{00000000-0005-0000-0000-0000D7030000}"/>
    <cellStyle name="año 2 6" xfId="984" xr:uid="{00000000-0005-0000-0000-0000D8030000}"/>
    <cellStyle name="año 2 6 2" xfId="985" xr:uid="{00000000-0005-0000-0000-0000D9030000}"/>
    <cellStyle name="año 2 6 2 2" xfId="8079" xr:uid="{B805B68D-4F24-4AE2-99F2-B39F232A6C10}"/>
    <cellStyle name="año 2 6 3" xfId="986" xr:uid="{00000000-0005-0000-0000-0000DA030000}"/>
    <cellStyle name="año 2 6 3 2" xfId="8080" xr:uid="{1A49D891-9D8A-4F70-8723-8023FCC2CAE8}"/>
    <cellStyle name="año 2 6 4" xfId="8078" xr:uid="{FB76AAFC-08F4-485B-8E05-4B7A06B60DDE}"/>
    <cellStyle name="año 2 6_Deuda septiembre_marcos" xfId="987" xr:uid="{00000000-0005-0000-0000-0000DB030000}"/>
    <cellStyle name="año 2 7" xfId="988" xr:uid="{00000000-0005-0000-0000-0000DC030000}"/>
    <cellStyle name="año 2 7 2" xfId="8081" xr:uid="{56FCD897-F6D9-4711-AF03-1934C76B1657}"/>
    <cellStyle name="año 2 8" xfId="989" xr:uid="{00000000-0005-0000-0000-0000DD030000}"/>
    <cellStyle name="año 2 8 2" xfId="8082" xr:uid="{582DC025-82E2-4B40-B5D5-29A35388CBC4}"/>
    <cellStyle name="año 2 9" xfId="8056" xr:uid="{989076A5-8C26-4C25-AF1D-26CE290BFFF8}"/>
    <cellStyle name="año 2_ActiFijos" xfId="990" xr:uid="{00000000-0005-0000-0000-0000DE030000}"/>
    <cellStyle name="año 3" xfId="991" xr:uid="{00000000-0005-0000-0000-0000DF030000}"/>
    <cellStyle name="año 3 2" xfId="992" xr:uid="{00000000-0005-0000-0000-0000E0030000}"/>
    <cellStyle name="año 3 2 2" xfId="993" xr:uid="{00000000-0005-0000-0000-0000E1030000}"/>
    <cellStyle name="año 3 2 2 2" xfId="994" xr:uid="{00000000-0005-0000-0000-0000E2030000}"/>
    <cellStyle name="año 3 2 2 2 2" xfId="8086" xr:uid="{B3C3CE90-CFDE-4B97-9FCF-5F289179EDAD}"/>
    <cellStyle name="año 3 2 2 3" xfId="995" xr:uid="{00000000-0005-0000-0000-0000E3030000}"/>
    <cellStyle name="año 3 2 2 3 2" xfId="8087" xr:uid="{F2315B1B-CBD3-478C-BC67-1998F52722B8}"/>
    <cellStyle name="año 3 2 2 4" xfId="8085" xr:uid="{A70FA597-C9EC-4812-9D5A-C9527291E89A}"/>
    <cellStyle name="año 3 2 2_Deuda septiembre_marcos" xfId="996" xr:uid="{00000000-0005-0000-0000-0000E4030000}"/>
    <cellStyle name="año 3 2 3" xfId="997" xr:uid="{00000000-0005-0000-0000-0000E5030000}"/>
    <cellStyle name="año 3 2 3 2" xfId="8088" xr:uid="{5976DF30-F619-4C28-A4FC-2F2F4DA7F374}"/>
    <cellStyle name="año 3 2 4" xfId="998" xr:uid="{00000000-0005-0000-0000-0000E6030000}"/>
    <cellStyle name="año 3 2 4 2" xfId="8089" xr:uid="{00708DCB-E719-4FA0-9B74-24F5D81FE964}"/>
    <cellStyle name="año 3 2 5" xfId="8084" xr:uid="{ADF53241-B7B2-4FE0-8DF6-6111F85FBC14}"/>
    <cellStyle name="año 3 2_Deuda septiembre_marcos" xfId="999" xr:uid="{00000000-0005-0000-0000-0000E7030000}"/>
    <cellStyle name="año 3 3" xfId="1000" xr:uid="{00000000-0005-0000-0000-0000E8030000}"/>
    <cellStyle name="año 3 3 2" xfId="1001" xr:uid="{00000000-0005-0000-0000-0000E9030000}"/>
    <cellStyle name="año 3 3 2 2" xfId="1002" xr:uid="{00000000-0005-0000-0000-0000EA030000}"/>
    <cellStyle name="año 3 3 2 2 2" xfId="8092" xr:uid="{62A0306F-32E2-43E4-AE1B-7C2447E63C84}"/>
    <cellStyle name="año 3 3 2 3" xfId="1003" xr:uid="{00000000-0005-0000-0000-0000EB030000}"/>
    <cellStyle name="año 3 3 2 3 2" xfId="8093" xr:uid="{6AB11932-F675-4CFB-88F5-BBCAA8C9901C}"/>
    <cellStyle name="año 3 3 2 4" xfId="8091" xr:uid="{549BE317-6745-4B2F-8456-50D498E9BF78}"/>
    <cellStyle name="año 3 3 2_Deuda septiembre_marcos" xfId="1004" xr:uid="{00000000-0005-0000-0000-0000EC030000}"/>
    <cellStyle name="año 3 3 3" xfId="1005" xr:uid="{00000000-0005-0000-0000-0000ED030000}"/>
    <cellStyle name="año 3 3 3 2" xfId="8094" xr:uid="{81EDF263-5DFF-47A5-AAB6-E138B366509F}"/>
    <cellStyle name="año 3 3 4" xfId="1006" xr:uid="{00000000-0005-0000-0000-0000EE030000}"/>
    <cellStyle name="año 3 3 4 2" xfId="8095" xr:uid="{B3EE6DC0-147D-40AE-B77D-1E4A4620049C}"/>
    <cellStyle name="año 3 3 5" xfId="8090" xr:uid="{32914022-E606-4E6D-9AB1-A78FCCF788D4}"/>
    <cellStyle name="año 3 3_Deuda septiembre_marcos" xfId="1007" xr:uid="{00000000-0005-0000-0000-0000EF030000}"/>
    <cellStyle name="año 3 4" xfId="1008" xr:uid="{00000000-0005-0000-0000-0000F0030000}"/>
    <cellStyle name="año 3 4 2" xfId="1009" xr:uid="{00000000-0005-0000-0000-0000F1030000}"/>
    <cellStyle name="año 3 4 2 2" xfId="1010" xr:uid="{00000000-0005-0000-0000-0000F2030000}"/>
    <cellStyle name="año 3 4 2 2 2" xfId="8098" xr:uid="{F3556FA8-2FF9-49C0-8FEE-F3022EB66F1D}"/>
    <cellStyle name="año 3 4 2 3" xfId="1011" xr:uid="{00000000-0005-0000-0000-0000F3030000}"/>
    <cellStyle name="año 3 4 2 3 2" xfId="8099" xr:uid="{1B5E90F2-55F3-427D-925C-B6C339251947}"/>
    <cellStyle name="año 3 4 2 4" xfId="8097" xr:uid="{225860A0-7D41-4169-BD93-5D4DB147A254}"/>
    <cellStyle name="año 3 4 2_Deuda septiembre_marcos" xfId="1012" xr:uid="{00000000-0005-0000-0000-0000F4030000}"/>
    <cellStyle name="año 3 4 3" xfId="1013" xr:uid="{00000000-0005-0000-0000-0000F5030000}"/>
    <cellStyle name="año 3 4 3 2" xfId="8100" xr:uid="{8920DAFE-F688-4C27-8C67-B3BF5A80B371}"/>
    <cellStyle name="año 3 4 4" xfId="1014" xr:uid="{00000000-0005-0000-0000-0000F6030000}"/>
    <cellStyle name="año 3 4 4 2" xfId="8101" xr:uid="{305FF1D6-AB1E-426E-8E3E-8772C8EAFAE8}"/>
    <cellStyle name="año 3 4 5" xfId="8096" xr:uid="{39E8C194-E9F5-4E2C-A488-768EBE9E52B0}"/>
    <cellStyle name="año 3 4_Deuda septiembre_marcos" xfId="1015" xr:uid="{00000000-0005-0000-0000-0000F7030000}"/>
    <cellStyle name="año 3 5" xfId="1016" xr:uid="{00000000-0005-0000-0000-0000F8030000}"/>
    <cellStyle name="año 3 5 2" xfId="1017" xr:uid="{00000000-0005-0000-0000-0000F9030000}"/>
    <cellStyle name="año 3 5 2 2" xfId="8103" xr:uid="{A8FAA7AE-8D62-4346-84D3-8327B8DDFC3A}"/>
    <cellStyle name="año 3 5 3" xfId="1018" xr:uid="{00000000-0005-0000-0000-0000FA030000}"/>
    <cellStyle name="año 3 5 3 2" xfId="8104" xr:uid="{5A0FA056-B390-43A6-9EFE-3D0EC9ED2A0E}"/>
    <cellStyle name="año 3 5 4" xfId="8102" xr:uid="{761F305C-0BFB-4263-945E-D704E8AF369E}"/>
    <cellStyle name="año 3 5_Deuda septiembre_marcos" xfId="1019" xr:uid="{00000000-0005-0000-0000-0000FB030000}"/>
    <cellStyle name="año 3 6" xfId="1020" xr:uid="{00000000-0005-0000-0000-0000FC030000}"/>
    <cellStyle name="año 3 6 2" xfId="1021" xr:uid="{00000000-0005-0000-0000-0000FD030000}"/>
    <cellStyle name="año 3 6 2 2" xfId="8106" xr:uid="{9E309263-82B4-40BA-B8DE-D5AA4AC7FEDB}"/>
    <cellStyle name="año 3 6 3" xfId="1022" xr:uid="{00000000-0005-0000-0000-0000FE030000}"/>
    <cellStyle name="año 3 6 3 2" xfId="8107" xr:uid="{E5A8B898-6F5E-4B94-BFB3-81B3073EE230}"/>
    <cellStyle name="año 3 6 4" xfId="8105" xr:uid="{DCA3542C-4DE0-4AD4-AF9B-E81E65CAE774}"/>
    <cellStyle name="año 3 6_Deuda septiembre_marcos" xfId="1023" xr:uid="{00000000-0005-0000-0000-0000FF030000}"/>
    <cellStyle name="año 3 7" xfId="1024" xr:uid="{00000000-0005-0000-0000-000000040000}"/>
    <cellStyle name="año 3 7 2" xfId="8108" xr:uid="{12BE95A5-A7FA-4023-BAD6-F21CC29A730F}"/>
    <cellStyle name="año 3 8" xfId="1025" xr:uid="{00000000-0005-0000-0000-000001040000}"/>
    <cellStyle name="año 3 8 2" xfId="8109" xr:uid="{41C1AE86-49AC-484C-9CBF-88655FE46A03}"/>
    <cellStyle name="año 3 9" xfId="8083" xr:uid="{19EF2172-541B-4325-A8E6-8EE63BAF4AA5}"/>
    <cellStyle name="año 3_ActiFijos" xfId="1026" xr:uid="{00000000-0005-0000-0000-000002040000}"/>
    <cellStyle name="año 4" xfId="1027" xr:uid="{00000000-0005-0000-0000-000003040000}"/>
    <cellStyle name="año 4 2" xfId="1028" xr:uid="{00000000-0005-0000-0000-000004040000}"/>
    <cellStyle name="año 4 2 2" xfId="1029" xr:uid="{00000000-0005-0000-0000-000005040000}"/>
    <cellStyle name="año 4 2 2 2" xfId="1030" xr:uid="{00000000-0005-0000-0000-000006040000}"/>
    <cellStyle name="año 4 2 2 2 2" xfId="8113" xr:uid="{8F19FC8C-BC98-4301-BF8F-5B35D58E1B20}"/>
    <cellStyle name="año 4 2 2 3" xfId="1031" xr:uid="{00000000-0005-0000-0000-000007040000}"/>
    <cellStyle name="año 4 2 2 3 2" xfId="8114" xr:uid="{5E238070-DD6F-4FCA-BF20-06CE1484253B}"/>
    <cellStyle name="año 4 2 2 4" xfId="8112" xr:uid="{5E1A6800-6F34-46C2-A76D-3C4405D7D6F7}"/>
    <cellStyle name="año 4 2 2_Deuda septiembre_marcos" xfId="1032" xr:uid="{00000000-0005-0000-0000-000008040000}"/>
    <cellStyle name="año 4 2 3" xfId="1033" xr:uid="{00000000-0005-0000-0000-000009040000}"/>
    <cellStyle name="año 4 2 3 2" xfId="8115" xr:uid="{505CF271-2219-4217-A424-976713280305}"/>
    <cellStyle name="año 4 2 4" xfId="1034" xr:uid="{00000000-0005-0000-0000-00000A040000}"/>
    <cellStyle name="año 4 2 4 2" xfId="8116" xr:uid="{0B2DB044-DAEA-418A-B64C-A90A937A621F}"/>
    <cellStyle name="año 4 2 5" xfId="8111" xr:uid="{A0AD5E18-339B-4E3D-B5F3-782A1CDF5858}"/>
    <cellStyle name="año 4 2_Deuda septiembre_marcos" xfId="1035" xr:uid="{00000000-0005-0000-0000-00000B040000}"/>
    <cellStyle name="año 4 3" xfId="1036" xr:uid="{00000000-0005-0000-0000-00000C040000}"/>
    <cellStyle name="año 4 3 2" xfId="1037" xr:uid="{00000000-0005-0000-0000-00000D040000}"/>
    <cellStyle name="año 4 3 2 2" xfId="1038" xr:uid="{00000000-0005-0000-0000-00000E040000}"/>
    <cellStyle name="año 4 3 2 2 2" xfId="8119" xr:uid="{1408AC0C-5F95-4295-9398-3E7DC170E5EE}"/>
    <cellStyle name="año 4 3 2 3" xfId="1039" xr:uid="{00000000-0005-0000-0000-00000F040000}"/>
    <cellStyle name="año 4 3 2 3 2" xfId="8120" xr:uid="{F540E8C0-B726-4601-93CB-779612DF10C1}"/>
    <cellStyle name="año 4 3 2 4" xfId="8118" xr:uid="{B7810653-05F1-4781-848A-8C46E2D1A84B}"/>
    <cellStyle name="año 4 3 2_Deuda septiembre_marcos" xfId="1040" xr:uid="{00000000-0005-0000-0000-000010040000}"/>
    <cellStyle name="año 4 3 3" xfId="1041" xr:uid="{00000000-0005-0000-0000-000011040000}"/>
    <cellStyle name="año 4 3 3 2" xfId="8121" xr:uid="{7FD3C2D6-7CCD-48CA-8EFF-815390BBB878}"/>
    <cellStyle name="año 4 3 4" xfId="1042" xr:uid="{00000000-0005-0000-0000-000012040000}"/>
    <cellStyle name="año 4 3 4 2" xfId="8122" xr:uid="{01EA743E-32CC-4CAF-8CBF-AE07756C934A}"/>
    <cellStyle name="año 4 3 5" xfId="8117" xr:uid="{EF4147FC-FE86-483D-96E4-42E29ABDCD18}"/>
    <cellStyle name="año 4 3_Deuda septiembre_marcos" xfId="1043" xr:uid="{00000000-0005-0000-0000-000013040000}"/>
    <cellStyle name="año 4 4" xfId="1044" xr:uid="{00000000-0005-0000-0000-000014040000}"/>
    <cellStyle name="año 4 4 2" xfId="1045" xr:uid="{00000000-0005-0000-0000-000015040000}"/>
    <cellStyle name="año 4 4 2 2" xfId="1046" xr:uid="{00000000-0005-0000-0000-000016040000}"/>
    <cellStyle name="año 4 4 2 2 2" xfId="8125" xr:uid="{5D4BBD32-6757-4BA2-BF9F-27B6671D31B6}"/>
    <cellStyle name="año 4 4 2 3" xfId="1047" xr:uid="{00000000-0005-0000-0000-000017040000}"/>
    <cellStyle name="año 4 4 2 3 2" xfId="8126" xr:uid="{08835677-16A4-42F0-AA8A-6793012FB8BB}"/>
    <cellStyle name="año 4 4 2 4" xfId="8124" xr:uid="{C3411E5D-BC89-45F8-8209-A8BC590CBBA5}"/>
    <cellStyle name="año 4 4 2_Deuda septiembre_marcos" xfId="1048" xr:uid="{00000000-0005-0000-0000-000018040000}"/>
    <cellStyle name="año 4 4 3" xfId="1049" xr:uid="{00000000-0005-0000-0000-000019040000}"/>
    <cellStyle name="año 4 4 3 2" xfId="8127" xr:uid="{5746A108-2D31-442D-87B9-7ED384EDA4E5}"/>
    <cellStyle name="año 4 4 4" xfId="1050" xr:uid="{00000000-0005-0000-0000-00001A040000}"/>
    <cellStyle name="año 4 4 4 2" xfId="8128" xr:uid="{71EA7B56-7526-4D89-90AC-8AC8C0126791}"/>
    <cellStyle name="año 4 4 5" xfId="8123" xr:uid="{956AAB15-DA9A-4FE7-B47E-7035A4E00544}"/>
    <cellStyle name="año 4 4_Deuda septiembre_marcos" xfId="1051" xr:uid="{00000000-0005-0000-0000-00001B040000}"/>
    <cellStyle name="año 4 5" xfId="1052" xr:uid="{00000000-0005-0000-0000-00001C040000}"/>
    <cellStyle name="año 4 5 2" xfId="1053" xr:uid="{00000000-0005-0000-0000-00001D040000}"/>
    <cellStyle name="año 4 5 2 2" xfId="8130" xr:uid="{E53B6BA7-1CB2-4E41-AC0B-E840B0FCB9E7}"/>
    <cellStyle name="año 4 5 3" xfId="1054" xr:uid="{00000000-0005-0000-0000-00001E040000}"/>
    <cellStyle name="año 4 5 3 2" xfId="8131" xr:uid="{CB6C175C-F07E-40C9-9B76-130F858F1193}"/>
    <cellStyle name="año 4 5 4" xfId="8129" xr:uid="{145C4280-95FD-41F7-A9AA-296ACE30626A}"/>
    <cellStyle name="año 4 5_Deuda septiembre_marcos" xfId="1055" xr:uid="{00000000-0005-0000-0000-00001F040000}"/>
    <cellStyle name="año 4 6" xfId="1056" xr:uid="{00000000-0005-0000-0000-000020040000}"/>
    <cellStyle name="año 4 6 2" xfId="1057" xr:uid="{00000000-0005-0000-0000-000021040000}"/>
    <cellStyle name="año 4 6 2 2" xfId="8133" xr:uid="{F51F9063-9869-49EA-9D73-ED2AEBD0780E}"/>
    <cellStyle name="año 4 6 3" xfId="1058" xr:uid="{00000000-0005-0000-0000-000022040000}"/>
    <cellStyle name="año 4 6 3 2" xfId="8134" xr:uid="{6620C18C-BCF9-4473-ACD5-F8E92E02AE55}"/>
    <cellStyle name="año 4 6 4" xfId="8132" xr:uid="{756174AB-08C7-4B8F-A6C8-07506E91A39A}"/>
    <cellStyle name="año 4 6_Deuda septiembre_marcos" xfId="1059" xr:uid="{00000000-0005-0000-0000-000023040000}"/>
    <cellStyle name="año 4 7" xfId="1060" xr:uid="{00000000-0005-0000-0000-000024040000}"/>
    <cellStyle name="año 4 7 2" xfId="8135" xr:uid="{369FCE8F-2618-4456-AD04-0DFF8C8EA690}"/>
    <cellStyle name="año 4 8" xfId="1061" xr:uid="{00000000-0005-0000-0000-000025040000}"/>
    <cellStyle name="año 4 8 2" xfId="8136" xr:uid="{B300CD52-FFFB-44CE-ADB0-959E3903F6A3}"/>
    <cellStyle name="año 4 9" xfId="8110" xr:uid="{6A81C051-1313-40E2-85B7-5A56661E9C5A}"/>
    <cellStyle name="año 4_ActiFijos" xfId="1062" xr:uid="{00000000-0005-0000-0000-000026040000}"/>
    <cellStyle name="año 5" xfId="1063" xr:uid="{00000000-0005-0000-0000-000027040000}"/>
    <cellStyle name="año 5 2" xfId="1064" xr:uid="{00000000-0005-0000-0000-000028040000}"/>
    <cellStyle name="año 5 2 2" xfId="8138" xr:uid="{4374CE9E-CA84-4D33-B20D-6DE90A2E818A}"/>
    <cellStyle name="año 5 3" xfId="1065" xr:uid="{00000000-0005-0000-0000-000029040000}"/>
    <cellStyle name="año 5 3 2" xfId="8139" xr:uid="{E78D75CC-65B9-44B5-8F7D-84FC50049C9E}"/>
    <cellStyle name="año 5 4" xfId="8137" xr:uid="{F5CED926-C8C1-4B32-B743-A635F4EBCD88}"/>
    <cellStyle name="año 5_Deuda septiembre_marcos" xfId="1066" xr:uid="{00000000-0005-0000-0000-00002A040000}"/>
    <cellStyle name="año 6" xfId="1067" xr:uid="{00000000-0005-0000-0000-00002B040000}"/>
    <cellStyle name="año 6 2" xfId="1068" xr:uid="{00000000-0005-0000-0000-00002C040000}"/>
    <cellStyle name="año 6 2 2" xfId="8141" xr:uid="{3DC1AC2F-CD19-4CD4-B108-E2970594ADB3}"/>
    <cellStyle name="año 6 3" xfId="8140" xr:uid="{EC4CDAAF-F856-4AF4-8AF7-7F4ED593604F}"/>
    <cellStyle name="año 6_Deuda septiembre_marcos" xfId="1069" xr:uid="{00000000-0005-0000-0000-00002D040000}"/>
    <cellStyle name="año 7" xfId="1070" xr:uid="{00000000-0005-0000-0000-00002E040000}"/>
    <cellStyle name="año 7 2" xfId="1071" xr:uid="{00000000-0005-0000-0000-00002F040000}"/>
    <cellStyle name="año 7 2 2" xfId="8143" xr:uid="{C86A5884-92B9-450E-8FDD-5BD2D015DA2C}"/>
    <cellStyle name="año 7 3" xfId="8142" xr:uid="{E6807DA7-E6BF-4AAF-9B41-F6D48FAFABA8}"/>
    <cellStyle name="año 7_Deuda septiembre_marcos" xfId="1072" xr:uid="{00000000-0005-0000-0000-000030040000}"/>
    <cellStyle name="año 8" xfId="1073" xr:uid="{00000000-0005-0000-0000-000031040000}"/>
    <cellStyle name="año 8 2" xfId="8144" xr:uid="{22852692-1B4B-4469-A4C7-6E692014D442}"/>
    <cellStyle name="año 9" xfId="1074" xr:uid="{00000000-0005-0000-0000-000032040000}"/>
    <cellStyle name="año 9 2" xfId="8145" xr:uid="{9A24EA05-26D0-4D05-AA4C-4D32D838BF0E}"/>
    <cellStyle name="año_Bases_Generales" xfId="1075" xr:uid="{00000000-0005-0000-0000-000033040000}"/>
    <cellStyle name="basis points" xfId="1076" xr:uid="{00000000-0005-0000-0000-000034040000}"/>
    <cellStyle name="basis points 2" xfId="1077" xr:uid="{00000000-0005-0000-0000-000035040000}"/>
    <cellStyle name="basis points 2 2" xfId="1078" xr:uid="{00000000-0005-0000-0000-000036040000}"/>
    <cellStyle name="basis points 2 2 2" xfId="4604" xr:uid="{00000000-0005-0000-0000-0000FC110000}"/>
    <cellStyle name="basis points 2 3" xfId="1079" xr:uid="{00000000-0005-0000-0000-000037040000}"/>
    <cellStyle name="basis points 2 3 2" xfId="4605" xr:uid="{00000000-0005-0000-0000-0000FD110000}"/>
    <cellStyle name="basis points 2 4" xfId="1080" xr:uid="{00000000-0005-0000-0000-000038040000}"/>
    <cellStyle name="basis points 2 4 2" xfId="4606" xr:uid="{00000000-0005-0000-0000-0000FE110000}"/>
    <cellStyle name="basis points 2 5" xfId="1081" xr:uid="{00000000-0005-0000-0000-000039040000}"/>
    <cellStyle name="basis points 2 5 2" xfId="4607" xr:uid="{00000000-0005-0000-0000-0000FF110000}"/>
    <cellStyle name="basis points 2 6" xfId="1082" xr:uid="{00000000-0005-0000-0000-00003A040000}"/>
    <cellStyle name="basis points 2 6 2" xfId="4608" xr:uid="{00000000-0005-0000-0000-000000120000}"/>
    <cellStyle name="basis points 2 7" xfId="1083" xr:uid="{00000000-0005-0000-0000-00003B040000}"/>
    <cellStyle name="basis points 2 8" xfId="1084" xr:uid="{00000000-0005-0000-0000-00003C040000}"/>
    <cellStyle name="basis points 3" xfId="1085" xr:uid="{00000000-0005-0000-0000-00003D040000}"/>
    <cellStyle name="basis points 3 2" xfId="1086" xr:uid="{00000000-0005-0000-0000-00003E040000}"/>
    <cellStyle name="basis points 3 2 2" xfId="4609" xr:uid="{00000000-0005-0000-0000-000001120000}"/>
    <cellStyle name="basis points 3 3" xfId="1087" xr:uid="{00000000-0005-0000-0000-00003F040000}"/>
    <cellStyle name="basis points 3 3 2" xfId="4610" xr:uid="{00000000-0005-0000-0000-000002120000}"/>
    <cellStyle name="basis points 3 4" xfId="1088" xr:uid="{00000000-0005-0000-0000-000040040000}"/>
    <cellStyle name="basis points 3 4 2" xfId="4611" xr:uid="{00000000-0005-0000-0000-000003120000}"/>
    <cellStyle name="basis points 3 5" xfId="1089" xr:uid="{00000000-0005-0000-0000-000041040000}"/>
    <cellStyle name="basis points 3 5 2" xfId="4612" xr:uid="{00000000-0005-0000-0000-000004120000}"/>
    <cellStyle name="basis points 3 6" xfId="1090" xr:uid="{00000000-0005-0000-0000-000042040000}"/>
    <cellStyle name="basis points 3 6 2" xfId="4613" xr:uid="{00000000-0005-0000-0000-000005120000}"/>
    <cellStyle name="basis points 3 7" xfId="1091" xr:uid="{00000000-0005-0000-0000-000043040000}"/>
    <cellStyle name="basis points 3 8" xfId="1092" xr:uid="{00000000-0005-0000-0000-000044040000}"/>
    <cellStyle name="basis points 4" xfId="1093" xr:uid="{00000000-0005-0000-0000-000045040000}"/>
    <cellStyle name="basis points 4 2" xfId="1094" xr:uid="{00000000-0005-0000-0000-000046040000}"/>
    <cellStyle name="basis points 4 2 2" xfId="4614" xr:uid="{00000000-0005-0000-0000-000006120000}"/>
    <cellStyle name="basis points 4 3" xfId="1095" xr:uid="{00000000-0005-0000-0000-000047040000}"/>
    <cellStyle name="basis points 4 3 2" xfId="4615" xr:uid="{00000000-0005-0000-0000-000007120000}"/>
    <cellStyle name="basis points 4 4" xfId="1096" xr:uid="{00000000-0005-0000-0000-000048040000}"/>
    <cellStyle name="basis points 4 4 2" xfId="4616" xr:uid="{00000000-0005-0000-0000-000008120000}"/>
    <cellStyle name="basis points 4 5" xfId="1097" xr:uid="{00000000-0005-0000-0000-000049040000}"/>
    <cellStyle name="basis points 4 5 2" xfId="4617" xr:uid="{00000000-0005-0000-0000-000009120000}"/>
    <cellStyle name="basis points 4 6" xfId="1098" xr:uid="{00000000-0005-0000-0000-00004A040000}"/>
    <cellStyle name="basis points 4 6 2" xfId="4618" xr:uid="{00000000-0005-0000-0000-00000A120000}"/>
    <cellStyle name="basis points 4 7" xfId="1099" xr:uid="{00000000-0005-0000-0000-00004B040000}"/>
    <cellStyle name="basis points 4 8" xfId="1100" xr:uid="{00000000-0005-0000-0000-00004C040000}"/>
    <cellStyle name="basis points 5" xfId="4619" xr:uid="{00000000-0005-0000-0000-00000B120000}"/>
    <cellStyle name="bb" xfId="1101" xr:uid="{00000000-0005-0000-0000-00004D040000}"/>
    <cellStyle name="bb 10" xfId="3342" xr:uid="{00000000-0005-0000-0000-00000E0D0000}"/>
    <cellStyle name="bb 10 2" xfId="8787" xr:uid="{A13B3A9F-C5F5-46D4-A0D8-4FD08CBD6E3C}"/>
    <cellStyle name="bb 10 3" xfId="7956" xr:uid="{5CBFEF9E-9E1A-4FB6-AFC5-F1A88074D8CC}"/>
    <cellStyle name="bb 11" xfId="8147" xr:uid="{6EAD8FA1-245C-4D6D-8AB5-BC9AED4E92F6}"/>
    <cellStyle name="bb 12" xfId="8688" xr:uid="{B1D72DBE-5647-43E7-ADF0-7DAA8D950742}"/>
    <cellStyle name="bb 2" xfId="3343" xr:uid="{00000000-0005-0000-0000-00000F0D0000}"/>
    <cellStyle name="bb 2 2" xfId="8788" xr:uid="{E8262970-71E0-4C11-A571-577CC804AF37}"/>
    <cellStyle name="bb 2 3" xfId="7955" xr:uid="{3B6D6E61-9AA2-4D01-BC01-BE6020920697}"/>
    <cellStyle name="bb 3" xfId="3344" xr:uid="{00000000-0005-0000-0000-0000100D0000}"/>
    <cellStyle name="bb 3 2" xfId="8789" xr:uid="{BACF32C3-C81C-47D9-B54E-2F7E4F772361}"/>
    <cellStyle name="bb 3 3" xfId="7954" xr:uid="{C2A12CF4-D6C6-42E2-AA12-D2F7468D6B78}"/>
    <cellStyle name="bb 4" xfId="3345" xr:uid="{00000000-0005-0000-0000-0000110D0000}"/>
    <cellStyle name="bb 4 2" xfId="8790" xr:uid="{49304026-5C43-42BD-9FBD-0FF34017ABA5}"/>
    <cellStyle name="bb 4 3" xfId="7953" xr:uid="{E7CE62EF-CC67-4711-AED3-CE9CAB820287}"/>
    <cellStyle name="bb 5" xfId="3346" xr:uid="{00000000-0005-0000-0000-0000120D0000}"/>
    <cellStyle name="bb 5 2" xfId="8791" xr:uid="{BD4F4A33-38D9-49CD-A78F-402FF106F799}"/>
    <cellStyle name="bb 5 3" xfId="7952" xr:uid="{7CE57FA0-0492-43BB-AA38-ABBF3C8D2119}"/>
    <cellStyle name="bb 6" xfId="3347" xr:uid="{00000000-0005-0000-0000-0000130D0000}"/>
    <cellStyle name="bb 6 2" xfId="8792" xr:uid="{8EA0756D-9E4F-447F-838D-AD8D679C1BDD}"/>
    <cellStyle name="bb 6 3" xfId="7951" xr:uid="{F2B44F33-011C-4D43-9A96-47E52E786F51}"/>
    <cellStyle name="bb 7" xfId="3348" xr:uid="{00000000-0005-0000-0000-0000140D0000}"/>
    <cellStyle name="bb 7 2" xfId="8793" xr:uid="{F236FF05-369C-4673-9466-B466796BF120}"/>
    <cellStyle name="bb 7 3" xfId="7950" xr:uid="{1ECEE0C7-63C7-46EC-A1F5-A81E7F16F602}"/>
    <cellStyle name="bb 8" xfId="3349" xr:uid="{00000000-0005-0000-0000-0000150D0000}"/>
    <cellStyle name="bb 8 2" xfId="8794" xr:uid="{D92C67EE-F50F-4624-B1C1-416446049E69}"/>
    <cellStyle name="bb 8 3" xfId="7949" xr:uid="{457E028A-2490-4061-B657-94AC75CFDFA9}"/>
    <cellStyle name="bb 9" xfId="3350" xr:uid="{00000000-0005-0000-0000-0000160D0000}"/>
    <cellStyle name="bb 9 2" xfId="8795" xr:uid="{FB5B5A4C-51FE-482C-90F8-8BE74986F140}"/>
    <cellStyle name="bb 9 3" xfId="7948" xr:uid="{AD838C59-9A76-4E75-BE43-EC74E3D6F833}"/>
    <cellStyle name="bb_TRANSELCA" xfId="3351" xr:uid="{00000000-0005-0000-0000-0000170D0000}"/>
    <cellStyle name="Bom" xfId="1102" xr:uid="{00000000-0005-0000-0000-00004E040000}"/>
    <cellStyle name="Bom 2" xfId="8148" xr:uid="{40C47DE2-0BC9-4D68-869B-F5DEEE11235D}"/>
    <cellStyle name="Buena 10" xfId="4620" xr:uid="{00000000-0005-0000-0000-00000C120000}"/>
    <cellStyle name="Buena 10 2" xfId="4621" xr:uid="{00000000-0005-0000-0000-00000D120000}"/>
    <cellStyle name="Buena 10 2 2" xfId="9585" xr:uid="{A915CC29-D4FF-44CC-A728-CA47E3F17D61}"/>
    <cellStyle name="Buena 10 3" xfId="9584" xr:uid="{37C73BFE-65BA-4BA4-9746-B27600F2F072}"/>
    <cellStyle name="Buena 11" xfId="4622" xr:uid="{00000000-0005-0000-0000-00000E120000}"/>
    <cellStyle name="Buena 11 2" xfId="4623" xr:uid="{00000000-0005-0000-0000-00000F120000}"/>
    <cellStyle name="Buena 11 2 2" xfId="9587" xr:uid="{DBA30F5B-C042-4C0C-80E2-A673C66742BC}"/>
    <cellStyle name="Buena 11 3" xfId="9586" xr:uid="{74C7E64C-6220-4E55-A8D7-9DD28BFC7A2A}"/>
    <cellStyle name="Buena 12" xfId="4624" xr:uid="{00000000-0005-0000-0000-000010120000}"/>
    <cellStyle name="Buena 12 2" xfId="4625" xr:uid="{00000000-0005-0000-0000-000011120000}"/>
    <cellStyle name="Buena 12 2 2" xfId="9589" xr:uid="{49782320-AC03-40B0-A6B5-9870009DBD7C}"/>
    <cellStyle name="Buena 12 3" xfId="9588" xr:uid="{F71CF160-980E-4CA1-859B-63716653415E}"/>
    <cellStyle name="Buena 13" xfId="4626" xr:uid="{00000000-0005-0000-0000-000012120000}"/>
    <cellStyle name="Buena 13 2" xfId="4627" xr:uid="{00000000-0005-0000-0000-000013120000}"/>
    <cellStyle name="Buena 13 2 2" xfId="9591" xr:uid="{105628C9-90C6-4606-8B14-A90BE49C0B37}"/>
    <cellStyle name="Buena 13 3" xfId="9590" xr:uid="{33D38E52-35DD-4588-9D39-DF36BCA6D134}"/>
    <cellStyle name="Buena 14" xfId="4628" xr:uid="{00000000-0005-0000-0000-000014120000}"/>
    <cellStyle name="Buena 14 2" xfId="4629" xr:uid="{00000000-0005-0000-0000-000015120000}"/>
    <cellStyle name="Buena 14 2 2" xfId="9593" xr:uid="{5396199F-D3FD-4E4B-9E64-0CF6B8B7CAAD}"/>
    <cellStyle name="Buena 14 3" xfId="9592" xr:uid="{DAB121CE-1FB0-4840-9436-8938D3674B99}"/>
    <cellStyle name="Buena 15" xfId="4630" xr:uid="{00000000-0005-0000-0000-000016120000}"/>
    <cellStyle name="Buena 15 2" xfId="9594" xr:uid="{272A6828-ADAE-4C8D-8173-1F7EC02F5BE9}"/>
    <cellStyle name="Buena 2" xfId="3352" xr:uid="{00000000-0005-0000-0000-0000180D0000}"/>
    <cellStyle name="Buena 2 2" xfId="4631" xr:uid="{00000000-0005-0000-0000-000017120000}"/>
    <cellStyle name="Buena 2 2 2" xfId="4632" xr:uid="{00000000-0005-0000-0000-000018120000}"/>
    <cellStyle name="Buena 2 2 2 2" xfId="9596" xr:uid="{15D56BB9-B05F-4DC2-AF53-D0FD73605A8F}"/>
    <cellStyle name="Buena 2 2 3" xfId="9595" xr:uid="{1E253B92-92C0-4A87-993D-F293537A919F}"/>
    <cellStyle name="Buena 2 3" xfId="4633" xr:uid="{00000000-0005-0000-0000-000019120000}"/>
    <cellStyle name="Buena 2 3 2" xfId="4634" xr:uid="{00000000-0005-0000-0000-00001A120000}"/>
    <cellStyle name="Buena 2 3 2 2" xfId="9598" xr:uid="{86D11764-F68B-402D-A118-693B3F4EA983}"/>
    <cellStyle name="Buena 2 3 3" xfId="9597" xr:uid="{D2FFE331-206E-4E94-9099-6324C1491E6F}"/>
    <cellStyle name="Buena 2 4" xfId="4635" xr:uid="{00000000-0005-0000-0000-00001B120000}"/>
    <cellStyle name="Buena 2 4 2" xfId="9599" xr:uid="{0F3543C7-718B-4B7D-8F6D-ACDF05300540}"/>
    <cellStyle name="Buena 2 5" xfId="8796" xr:uid="{98924F99-9E3E-4258-BFA3-AD5134472960}"/>
    <cellStyle name="Buena 3" xfId="3353" xr:uid="{00000000-0005-0000-0000-0000190D0000}"/>
    <cellStyle name="Buena 3 2" xfId="4636" xr:uid="{00000000-0005-0000-0000-00001C120000}"/>
    <cellStyle name="Buena 3 2 2" xfId="9600" xr:uid="{9D19A3C2-AFE8-4DD6-9086-EEC4030E7FDE}"/>
    <cellStyle name="Buena 3 3" xfId="4637" xr:uid="{00000000-0005-0000-0000-00001D120000}"/>
    <cellStyle name="Buena 3 3 2" xfId="9601" xr:uid="{6214802D-BC48-44B6-857B-D930FB2FBF0A}"/>
    <cellStyle name="Buena 3 4" xfId="8797" xr:uid="{A0853F44-208E-4E90-B9F9-B3194F921238}"/>
    <cellStyle name="Buena 4" xfId="4638" xr:uid="{00000000-0005-0000-0000-00001E120000}"/>
    <cellStyle name="Buena 4 2" xfId="4639" xr:uid="{00000000-0005-0000-0000-00001F120000}"/>
    <cellStyle name="Buena 4 2 2" xfId="9603" xr:uid="{91133AD9-DADD-41A0-BB38-37001C1EE130}"/>
    <cellStyle name="Buena 4 3" xfId="4640" xr:uid="{00000000-0005-0000-0000-000020120000}"/>
    <cellStyle name="Buena 4 3 2" xfId="9604" xr:uid="{8D259A0D-3B1A-4140-82B5-83AC95C5ADF6}"/>
    <cellStyle name="Buena 4 4" xfId="9602" xr:uid="{41E36A2F-7BDE-4265-B3BB-810A7CE25CC6}"/>
    <cellStyle name="Buena 5" xfId="4641" xr:uid="{00000000-0005-0000-0000-000021120000}"/>
    <cellStyle name="Buena 5 2" xfId="4642" xr:uid="{00000000-0005-0000-0000-000022120000}"/>
    <cellStyle name="Buena 5 2 2" xfId="9606" xr:uid="{4457EBD9-EAC3-4784-A6A1-E95B6D2CBC53}"/>
    <cellStyle name="Buena 5 3" xfId="9605" xr:uid="{4A021B7C-5932-4E17-A526-D228DD81E8D7}"/>
    <cellStyle name="Buena 6" xfId="4643" xr:uid="{00000000-0005-0000-0000-000023120000}"/>
    <cellStyle name="Buena 6 2" xfId="4644" xr:uid="{00000000-0005-0000-0000-000024120000}"/>
    <cellStyle name="Buena 6 2 2" xfId="9608" xr:uid="{EBD990FC-5543-481B-9B4B-A93776533221}"/>
    <cellStyle name="Buena 6 3" xfId="9607" xr:uid="{212C1884-9BAE-484D-BDF5-97F7CACE311F}"/>
    <cellStyle name="Buena 7" xfId="4645" xr:uid="{00000000-0005-0000-0000-000025120000}"/>
    <cellStyle name="Buena 7 2" xfId="4646" xr:uid="{00000000-0005-0000-0000-000026120000}"/>
    <cellStyle name="Buena 7 2 2" xfId="9610" xr:uid="{D73A0125-4648-4D06-8CE4-83DC602F39B6}"/>
    <cellStyle name="Buena 7 3" xfId="9609" xr:uid="{D69B9DC2-6436-4FEA-80E7-437B24622C00}"/>
    <cellStyle name="Buena 8" xfId="4647" xr:uid="{00000000-0005-0000-0000-000027120000}"/>
    <cellStyle name="Buena 8 2" xfId="4648" xr:uid="{00000000-0005-0000-0000-000028120000}"/>
    <cellStyle name="Buena 8 2 2" xfId="9612" xr:uid="{E221A108-252C-40C6-933D-4C27A9FC4DCA}"/>
    <cellStyle name="Buena 8 3" xfId="9611" xr:uid="{D85E03FA-4A22-45CF-8D1D-B22189D8BC25}"/>
    <cellStyle name="Buena 9" xfId="4649" xr:uid="{00000000-0005-0000-0000-000029120000}"/>
    <cellStyle name="Buena 9 2" xfId="4650" xr:uid="{00000000-0005-0000-0000-00002A120000}"/>
    <cellStyle name="Buena 9 2 2" xfId="9614" xr:uid="{DA0C069C-0BC7-4536-9B35-FDDBC816B726}"/>
    <cellStyle name="Buena 9 3" xfId="9613" xr:uid="{A2122A98-D3E0-42F7-9AE1-3C7E5038E970}"/>
    <cellStyle name="Cabecera 1" xfId="3354" xr:uid="{00000000-0005-0000-0000-00001A0D0000}"/>
    <cellStyle name="Cabecera 2" xfId="3355" xr:uid="{00000000-0005-0000-0000-00001B0D0000}"/>
    <cellStyle name="Calculation" xfId="1103" xr:uid="{00000000-0005-0000-0000-00004F040000}"/>
    <cellStyle name="Calculation 2" xfId="8149" xr:uid="{EE716A07-C6FB-4A99-82F7-C8997576FBCC}"/>
    <cellStyle name="Cálculo 10" xfId="4651" xr:uid="{00000000-0005-0000-0000-00002B120000}"/>
    <cellStyle name="Cálculo 10 2" xfId="4652" xr:uid="{00000000-0005-0000-0000-00002C120000}"/>
    <cellStyle name="Cálculo 10 2 2" xfId="9616" xr:uid="{C4F732FB-1963-4FD2-AA38-7693517854EC}"/>
    <cellStyle name="Cálculo 10 3" xfId="9615" xr:uid="{B3326EB7-0C07-4AC6-8D9A-4CC5CDB87BCB}"/>
    <cellStyle name="Cálculo 11" xfId="4653" xr:uid="{00000000-0005-0000-0000-00002D120000}"/>
    <cellStyle name="Cálculo 11 2" xfId="4654" xr:uid="{00000000-0005-0000-0000-00002E120000}"/>
    <cellStyle name="Cálculo 11 2 2" xfId="9618" xr:uid="{27FA26DA-562A-4F12-B43F-914245FC1D48}"/>
    <cellStyle name="Cálculo 11 3" xfId="9617" xr:uid="{8F69461C-EADB-4B47-94A1-C070E4738D89}"/>
    <cellStyle name="Cálculo 12" xfId="4655" xr:uid="{00000000-0005-0000-0000-00002F120000}"/>
    <cellStyle name="Cálculo 12 2" xfId="4656" xr:uid="{00000000-0005-0000-0000-000030120000}"/>
    <cellStyle name="Cálculo 12 2 2" xfId="9620" xr:uid="{B28CDDD4-E712-4AEA-A1DC-B6F10645FB60}"/>
    <cellStyle name="Cálculo 12 3" xfId="9619" xr:uid="{124D5B8D-3088-4E88-828B-66B3FA6BED4F}"/>
    <cellStyle name="Cálculo 13" xfId="4657" xr:uid="{00000000-0005-0000-0000-000031120000}"/>
    <cellStyle name="Cálculo 13 2" xfId="4658" xr:uid="{00000000-0005-0000-0000-000032120000}"/>
    <cellStyle name="Cálculo 13 2 2" xfId="9622" xr:uid="{047D45FB-73B6-4495-A21B-CD57A2AAA2FE}"/>
    <cellStyle name="Cálculo 13 3" xfId="9621" xr:uid="{0D45D646-2CBD-4483-AE9D-20A0ABAD2BAC}"/>
    <cellStyle name="Cálculo 14" xfId="4659" xr:uid="{00000000-0005-0000-0000-000033120000}"/>
    <cellStyle name="Cálculo 14 2" xfId="4660" xr:uid="{00000000-0005-0000-0000-000034120000}"/>
    <cellStyle name="Cálculo 14 2 2" xfId="9624" xr:uid="{8D9CE60B-517D-4304-98F7-1251D1E2E5E1}"/>
    <cellStyle name="Cálculo 14 3" xfId="9623" xr:uid="{88D3FB94-4960-45B6-8DEB-0CB435BE406E}"/>
    <cellStyle name="Cálculo 15" xfId="4661" xr:uid="{00000000-0005-0000-0000-000035120000}"/>
    <cellStyle name="Cálculo 15 2" xfId="4662" xr:uid="{00000000-0005-0000-0000-000036120000}"/>
    <cellStyle name="Cálculo 15 2 2" xfId="9626" xr:uid="{95A1F94B-97DE-48BC-9BFE-35125444B327}"/>
    <cellStyle name="Cálculo 15 3" xfId="9625" xr:uid="{2CD0D9EC-9DC6-489E-A6CB-80349BDCC8A5}"/>
    <cellStyle name="Cálculo 16" xfId="4663" xr:uid="{00000000-0005-0000-0000-000037120000}"/>
    <cellStyle name="Cálculo 16 2" xfId="9627" xr:uid="{1274D22B-92F8-4C98-8508-F7B20D84E505}"/>
    <cellStyle name="Cálculo 2" xfId="1104" xr:uid="{00000000-0005-0000-0000-000050040000}"/>
    <cellStyle name="Cálculo 2 2" xfId="1105" xr:uid="{00000000-0005-0000-0000-000051040000}"/>
    <cellStyle name="Cálculo 2 2 2" xfId="4664" xr:uid="{00000000-0005-0000-0000-000038120000}"/>
    <cellStyle name="Cálculo 2 2 2 2" xfId="9628" xr:uid="{07019A1E-D42D-490D-8428-B0979242D77D}"/>
    <cellStyle name="Cálculo 2 2 3" xfId="4665" xr:uid="{00000000-0005-0000-0000-000039120000}"/>
    <cellStyle name="Cálculo 2 2 3 2" xfId="9629" xr:uid="{2B0375F7-BDCB-46B1-B219-203D39D367B3}"/>
    <cellStyle name="Cálculo 2 2 4" xfId="4666" xr:uid="{00000000-0005-0000-0000-00003A120000}"/>
    <cellStyle name="Cálculo 2 2 4 2" xfId="4667" xr:uid="{00000000-0005-0000-0000-00003B120000}"/>
    <cellStyle name="Cálculo 2 2 4 2 2" xfId="9631" xr:uid="{C4189814-7162-43CB-BFDB-5097A39EC46B}"/>
    <cellStyle name="Cálculo 2 2 4 3" xfId="9630" xr:uid="{608B3E37-591D-4DE0-B6C5-9FF6BEB7052B}"/>
    <cellStyle name="Cálculo 2 2 5" xfId="8151" xr:uid="{CAE904D9-DFC4-4044-B00C-10CA5871B629}"/>
    <cellStyle name="Cálculo 2 3" xfId="4668" xr:uid="{00000000-0005-0000-0000-00003C120000}"/>
    <cellStyle name="Cálculo 2 3 2" xfId="9632" xr:uid="{1A4C4076-77D5-4813-9ABD-F627512E6710}"/>
    <cellStyle name="Cálculo 2 4" xfId="4669" xr:uid="{00000000-0005-0000-0000-00003D120000}"/>
    <cellStyle name="Cálculo 2 4 2" xfId="4670" xr:uid="{00000000-0005-0000-0000-00003E120000}"/>
    <cellStyle name="Cálculo 2 4 2 2" xfId="9634" xr:uid="{627F82B5-817F-47E3-A8ED-3656CAED6680}"/>
    <cellStyle name="Cálculo 2 4 3" xfId="9633" xr:uid="{6F623E5D-9ECA-4E6B-A197-228FADF80C44}"/>
    <cellStyle name="Cálculo 2 5" xfId="4671" xr:uid="{00000000-0005-0000-0000-00003F120000}"/>
    <cellStyle name="Cálculo 2 5 2" xfId="9635" xr:uid="{38BE652A-2207-4C15-BC5A-53F4EB41003E}"/>
    <cellStyle name="Cálculo 2 6" xfId="8150" xr:uid="{1BFD51EF-FEFF-4D45-A246-D4C4DD8A0A18}"/>
    <cellStyle name="Cálculo 2_Deuda septiembre_marcos" xfId="1106" xr:uid="{00000000-0005-0000-0000-000052040000}"/>
    <cellStyle name="Cálculo 3" xfId="3356" xr:uid="{00000000-0005-0000-0000-00001C0D0000}"/>
    <cellStyle name="Cálculo 3 2" xfId="4672" xr:uid="{00000000-0005-0000-0000-000040120000}"/>
    <cellStyle name="Cálculo 3 2 2" xfId="9636" xr:uid="{53DA8E68-DC94-4FDA-9662-6B41459D0751}"/>
    <cellStyle name="Cálculo 3 3" xfId="4673" xr:uid="{00000000-0005-0000-0000-000041120000}"/>
    <cellStyle name="Cálculo 3 3 2" xfId="9637" xr:uid="{53071315-80D2-4D68-A035-CAC38D0DF2E9}"/>
    <cellStyle name="Cálculo 3 4" xfId="8798" xr:uid="{06346106-C35B-4D54-A004-6AD66581F55C}"/>
    <cellStyle name="Cálculo 4" xfId="4674" xr:uid="{00000000-0005-0000-0000-000042120000}"/>
    <cellStyle name="Cálculo 4 2" xfId="4675" xr:uid="{00000000-0005-0000-0000-000043120000}"/>
    <cellStyle name="Cálculo 4 2 2" xfId="9639" xr:uid="{F17C84DE-7B30-4261-BDD6-4D7817D3F359}"/>
    <cellStyle name="Cálculo 4 3" xfId="4676" xr:uid="{00000000-0005-0000-0000-000044120000}"/>
    <cellStyle name="Cálculo 4 3 2" xfId="9640" xr:uid="{C38AA9D1-D833-475F-90E5-E3CC064A8FEB}"/>
    <cellStyle name="Cálculo 4 4" xfId="9638" xr:uid="{D59548E0-BA2F-43A8-894F-4B063B6DECAF}"/>
    <cellStyle name="Cálculo 5" xfId="4677" xr:uid="{00000000-0005-0000-0000-000045120000}"/>
    <cellStyle name="Cálculo 5 2" xfId="4678" xr:uid="{00000000-0005-0000-0000-000046120000}"/>
    <cellStyle name="Cálculo 5 2 2" xfId="9642" xr:uid="{7740596E-AAED-48DA-9620-31E824187480}"/>
    <cellStyle name="Cálculo 5 3" xfId="9641" xr:uid="{5F16A626-4249-40B6-99A4-893E32D0F0EC}"/>
    <cellStyle name="Cálculo 6" xfId="4679" xr:uid="{00000000-0005-0000-0000-000047120000}"/>
    <cellStyle name="Cálculo 6 2" xfId="4680" xr:uid="{00000000-0005-0000-0000-000048120000}"/>
    <cellStyle name="Cálculo 6 2 2" xfId="9644" xr:uid="{4DBEEC45-5F75-429D-8CAE-1D0E920942F8}"/>
    <cellStyle name="Cálculo 6 3" xfId="9643" xr:uid="{2914B589-70C5-4376-8E7C-29AF856F7051}"/>
    <cellStyle name="Cálculo 7" xfId="4681" xr:uid="{00000000-0005-0000-0000-000049120000}"/>
    <cellStyle name="Cálculo 7 2" xfId="4682" xr:uid="{00000000-0005-0000-0000-00004A120000}"/>
    <cellStyle name="Cálculo 7 2 2" xfId="9646" xr:uid="{6FDB6CB9-D8B6-4A66-80FF-DE7D3F790FA5}"/>
    <cellStyle name="Cálculo 7 3" xfId="9645" xr:uid="{55FAE979-BC01-415E-AB3F-965535167C73}"/>
    <cellStyle name="Cálculo 8" xfId="4683" xr:uid="{00000000-0005-0000-0000-00004B120000}"/>
    <cellStyle name="Cálculo 8 2" xfId="4684" xr:uid="{00000000-0005-0000-0000-00004C120000}"/>
    <cellStyle name="Cálculo 8 2 2" xfId="9648" xr:uid="{6EEC142F-4045-4421-B228-95DAFEE83276}"/>
    <cellStyle name="Cálculo 8 3" xfId="9647" xr:uid="{5CB0A934-FEDE-4C47-A0A5-B58604FB2C84}"/>
    <cellStyle name="Cálculo 9" xfId="4685" xr:uid="{00000000-0005-0000-0000-00004D120000}"/>
    <cellStyle name="Cálculo 9 2" xfId="4686" xr:uid="{00000000-0005-0000-0000-00004E120000}"/>
    <cellStyle name="Cálculo 9 2 2" xfId="9650" xr:uid="{46C0E268-63F8-4EE4-8EFF-E16619E41782}"/>
    <cellStyle name="Cálculo 9 3" xfId="9649" xr:uid="{E89F46F5-BEF8-4C27-BB2F-8AF78A99E544}"/>
    <cellStyle name="CC" xfId="1107" xr:uid="{00000000-0005-0000-0000-000053040000}"/>
    <cellStyle name="CC 10" xfId="3357" xr:uid="{00000000-0005-0000-0000-00001D0D0000}"/>
    <cellStyle name="CC 11" xfId="8152" xr:uid="{32207794-433F-4EB0-B807-B3190DCA0EDA}"/>
    <cellStyle name="CC 2" xfId="3358" xr:uid="{00000000-0005-0000-0000-00001E0D0000}"/>
    <cellStyle name="CC 3" xfId="3359" xr:uid="{00000000-0005-0000-0000-00001F0D0000}"/>
    <cellStyle name="CC 4" xfId="3360" xr:uid="{00000000-0005-0000-0000-0000200D0000}"/>
    <cellStyle name="CC 5" xfId="3361" xr:uid="{00000000-0005-0000-0000-0000210D0000}"/>
    <cellStyle name="CC 6" xfId="3362" xr:uid="{00000000-0005-0000-0000-0000220D0000}"/>
    <cellStyle name="CC 7" xfId="3363" xr:uid="{00000000-0005-0000-0000-0000230D0000}"/>
    <cellStyle name="CC 8" xfId="3364" xr:uid="{00000000-0005-0000-0000-0000240D0000}"/>
    <cellStyle name="CC 9" xfId="3365" xr:uid="{00000000-0005-0000-0000-0000250D0000}"/>
    <cellStyle name="CC_TRANSELCA" xfId="3366" xr:uid="{00000000-0005-0000-0000-0000260D0000}"/>
    <cellStyle name="Celda de comprobación 10" xfId="4687" xr:uid="{00000000-0005-0000-0000-00004F120000}"/>
    <cellStyle name="Celda de comprobación 10 2" xfId="9651" xr:uid="{CFAA122B-E0DD-4F0A-B1AC-A261A3D0BEC2}"/>
    <cellStyle name="Celda de comprobación 11" xfId="4688" xr:uid="{00000000-0005-0000-0000-000050120000}"/>
    <cellStyle name="Celda de comprobación 11 2" xfId="4689" xr:uid="{00000000-0005-0000-0000-000051120000}"/>
    <cellStyle name="Celda de comprobación 11 2 2" xfId="9653" xr:uid="{12B95F83-34F2-4013-96C3-258300A2383E}"/>
    <cellStyle name="Celda de comprobación 11 3" xfId="9652" xr:uid="{5E5A059C-AF8D-440D-9B24-214CD031B4F2}"/>
    <cellStyle name="Celda de comprobación 12" xfId="4690" xr:uid="{00000000-0005-0000-0000-000052120000}"/>
    <cellStyle name="Celda de comprobación 12 2" xfId="4691" xr:uid="{00000000-0005-0000-0000-000053120000}"/>
    <cellStyle name="Celda de comprobación 12 2 2" xfId="9655" xr:uid="{BF00F01B-DBA9-423F-AD30-0FEDDDB4DAE2}"/>
    <cellStyle name="Celda de comprobación 12 3" xfId="9654" xr:uid="{B33063ED-D6B0-4AC1-9E3C-1407A4182B71}"/>
    <cellStyle name="Celda de comprobación 13" xfId="4692" xr:uid="{00000000-0005-0000-0000-000054120000}"/>
    <cellStyle name="Celda de comprobación 13 2" xfId="4693" xr:uid="{00000000-0005-0000-0000-000055120000}"/>
    <cellStyle name="Celda de comprobación 13 2 2" xfId="9657" xr:uid="{3218982D-3B19-47A1-A76A-F46834AF4E5A}"/>
    <cellStyle name="Celda de comprobación 13 3" xfId="9656" xr:uid="{0533D86C-896A-4BF7-9520-497A2A873C67}"/>
    <cellStyle name="Celda de comprobación 14" xfId="4694" xr:uid="{00000000-0005-0000-0000-000056120000}"/>
    <cellStyle name="Celda de comprobación 14 2" xfId="4695" xr:uid="{00000000-0005-0000-0000-000057120000}"/>
    <cellStyle name="Celda de comprobación 14 2 2" xfId="9659" xr:uid="{E6492A11-914D-42F4-86AD-A1EE951A1B45}"/>
    <cellStyle name="Celda de comprobación 14 3" xfId="9658" xr:uid="{2B45A0D2-0F54-405A-93E4-50C76F82323E}"/>
    <cellStyle name="Celda de comprobación 15" xfId="4696" xr:uid="{00000000-0005-0000-0000-000058120000}"/>
    <cellStyle name="Celda de comprobación 15 2" xfId="4697" xr:uid="{00000000-0005-0000-0000-000059120000}"/>
    <cellStyle name="Celda de comprobación 15 2 2" xfId="9661" xr:uid="{162D24A9-0E09-43F7-A801-E6685185BAF4}"/>
    <cellStyle name="Celda de comprobación 15 3" xfId="9660" xr:uid="{F5FBC991-BAC3-4D63-B991-7A61684A8BB7}"/>
    <cellStyle name="Celda de comprobación 16" xfId="4698" xr:uid="{00000000-0005-0000-0000-00005A120000}"/>
    <cellStyle name="Celda de comprobación 16 2" xfId="9662" xr:uid="{D4F59F3E-F2A8-4205-A21A-8B2B16C5A464}"/>
    <cellStyle name="Celda de comprobación 2" xfId="1108" xr:uid="{00000000-0005-0000-0000-000054040000}"/>
    <cellStyle name="Celda de comprobación 2 2" xfId="1109" xr:uid="{00000000-0005-0000-0000-000055040000}"/>
    <cellStyle name="Celda de comprobación 2 2 2" xfId="4699" xr:uid="{00000000-0005-0000-0000-00005B120000}"/>
    <cellStyle name="Celda de comprobación 2 2 2 2" xfId="9663" xr:uid="{DA5A0F92-B5A9-44EF-AC33-B29370C79CB5}"/>
    <cellStyle name="Celda de comprobación 2 2 3" xfId="4700" xr:uid="{00000000-0005-0000-0000-00005C120000}"/>
    <cellStyle name="Celda de comprobación 2 2 3 2" xfId="9664" xr:uid="{FE7BA2D9-4D6B-4623-B36E-5DEEAC1F40AF}"/>
    <cellStyle name="Celda de comprobación 2 2 4" xfId="4701" xr:uid="{00000000-0005-0000-0000-00005D120000}"/>
    <cellStyle name="Celda de comprobación 2 2 4 2" xfId="4702" xr:uid="{00000000-0005-0000-0000-00005E120000}"/>
    <cellStyle name="Celda de comprobación 2 2 4 2 2" xfId="9666" xr:uid="{CA659B45-EC5A-4766-A09E-6E627DF838B7}"/>
    <cellStyle name="Celda de comprobación 2 2 4 3" xfId="9665" xr:uid="{A1154D17-7CFD-40DF-A04F-973402E2E292}"/>
    <cellStyle name="Celda de comprobación 2 2 5" xfId="8154" xr:uid="{FD6E67AB-36DA-4EB2-BDDB-05DF4A3D001F}"/>
    <cellStyle name="Celda de comprobación 2 3" xfId="4703" xr:uid="{00000000-0005-0000-0000-00005F120000}"/>
    <cellStyle name="Celda de comprobación 2 3 2" xfId="9667" xr:uid="{5E501040-AC90-4E15-82DF-CF74F853DE16}"/>
    <cellStyle name="Celda de comprobación 2 4" xfId="4704" xr:uid="{00000000-0005-0000-0000-000060120000}"/>
    <cellStyle name="Celda de comprobación 2 4 2" xfId="4705" xr:uid="{00000000-0005-0000-0000-000061120000}"/>
    <cellStyle name="Celda de comprobación 2 4 2 2" xfId="9669" xr:uid="{8F2F0AB5-3C9A-475C-ADF7-78052347F585}"/>
    <cellStyle name="Celda de comprobación 2 4 3" xfId="9668" xr:uid="{FB504157-6B31-4713-82C4-7F19A7BF1C7F}"/>
    <cellStyle name="Celda de comprobación 2 5" xfId="4706" xr:uid="{00000000-0005-0000-0000-000062120000}"/>
    <cellStyle name="Celda de comprobación 2 5 2" xfId="9670" xr:uid="{5A6EA22D-A99A-45E6-A509-F59A38B4D1A7}"/>
    <cellStyle name="Celda de comprobación 2 6" xfId="8153" xr:uid="{312EADA6-4B04-484C-968D-146E6EDAF17C}"/>
    <cellStyle name="Celda de comprobación 2_Deuda septiembre_marcos" xfId="1110" xr:uid="{00000000-0005-0000-0000-000056040000}"/>
    <cellStyle name="Celda de comprobación 3" xfId="3367" xr:uid="{00000000-0005-0000-0000-0000270D0000}"/>
    <cellStyle name="Celda de comprobación 3 2" xfId="4707" xr:uid="{00000000-0005-0000-0000-000063120000}"/>
    <cellStyle name="Celda de comprobación 3 2 2" xfId="9671" xr:uid="{34D53D07-6C9B-4C38-8383-998A52903BC8}"/>
    <cellStyle name="Celda de comprobación 3 3" xfId="4708" xr:uid="{00000000-0005-0000-0000-000064120000}"/>
    <cellStyle name="Celda de comprobación 3 3 2" xfId="9672" xr:uid="{45CD0A0A-1B41-44D7-81BE-3F8417B9241C}"/>
    <cellStyle name="Celda de comprobación 3 4" xfId="8799" xr:uid="{355B1321-1F3B-4AD8-A8F1-91EF8E9E089E}"/>
    <cellStyle name="Celda de comprobación 4" xfId="4709" xr:uid="{00000000-0005-0000-0000-000065120000}"/>
    <cellStyle name="Celda de comprobación 4 2" xfId="4710" xr:uid="{00000000-0005-0000-0000-000066120000}"/>
    <cellStyle name="Celda de comprobación 4 2 2" xfId="9674" xr:uid="{AEC76F6B-CE5C-4C81-AC28-DF73D82FAFFC}"/>
    <cellStyle name="Celda de comprobación 4 3" xfId="4711" xr:uid="{00000000-0005-0000-0000-000067120000}"/>
    <cellStyle name="Celda de comprobación 4 3 2" xfId="9675" xr:uid="{8CE365C8-9BE1-40A6-AA40-6203D7DD7C94}"/>
    <cellStyle name="Celda de comprobación 4 4" xfId="9673" xr:uid="{754702AB-2F85-40A1-8390-753B684207E0}"/>
    <cellStyle name="Celda de comprobación 5" xfId="4712" xr:uid="{00000000-0005-0000-0000-000068120000}"/>
    <cellStyle name="Celda de comprobación 5 2" xfId="9676" xr:uid="{84A24B24-422D-41EE-B1A0-9B36DF53932C}"/>
    <cellStyle name="Celda de comprobación 6" xfId="4713" xr:uid="{00000000-0005-0000-0000-000069120000}"/>
    <cellStyle name="Celda de comprobación 6 2" xfId="9677" xr:uid="{07C1D6E1-48D7-4E57-AB8F-93C9EA0C2EB3}"/>
    <cellStyle name="Celda de comprobación 7" xfId="4714" xr:uid="{00000000-0005-0000-0000-00006A120000}"/>
    <cellStyle name="Celda de comprobación 7 2" xfId="9678" xr:uid="{B63ED1CA-01F4-4A80-9E6B-A43D435CDC99}"/>
    <cellStyle name="Celda de comprobación 8" xfId="4715" xr:uid="{00000000-0005-0000-0000-00006B120000}"/>
    <cellStyle name="Celda de comprobación 8 2" xfId="9679" xr:uid="{A1F91FD7-346B-4E9F-B8CA-7B7F23D22447}"/>
    <cellStyle name="Celda de comprobación 9" xfId="4716" xr:uid="{00000000-0005-0000-0000-00006C120000}"/>
    <cellStyle name="Celda de comprobación 9 2" xfId="9680" xr:uid="{296C3D90-65A8-40D6-BF8D-813E740AF6D6}"/>
    <cellStyle name="Celda vinculada 10" xfId="4717" xr:uid="{00000000-0005-0000-0000-00006D120000}"/>
    <cellStyle name="Celda vinculada 10 2" xfId="4718" xr:uid="{00000000-0005-0000-0000-00006E120000}"/>
    <cellStyle name="Celda vinculada 11" xfId="4719" xr:uid="{00000000-0005-0000-0000-00006F120000}"/>
    <cellStyle name="Celda vinculada 11 2" xfId="4720" xr:uid="{00000000-0005-0000-0000-000070120000}"/>
    <cellStyle name="Celda vinculada 12" xfId="4721" xr:uid="{00000000-0005-0000-0000-000071120000}"/>
    <cellStyle name="Celda vinculada 12 2" xfId="4722" xr:uid="{00000000-0005-0000-0000-000072120000}"/>
    <cellStyle name="Celda vinculada 13" xfId="4723" xr:uid="{00000000-0005-0000-0000-000073120000}"/>
    <cellStyle name="Celda vinculada 13 2" xfId="4724" xr:uid="{00000000-0005-0000-0000-000074120000}"/>
    <cellStyle name="Celda vinculada 14" xfId="4725" xr:uid="{00000000-0005-0000-0000-000075120000}"/>
    <cellStyle name="Celda vinculada 14 2" xfId="4726" xr:uid="{00000000-0005-0000-0000-000076120000}"/>
    <cellStyle name="Celda vinculada 15" xfId="4727" xr:uid="{00000000-0005-0000-0000-000077120000}"/>
    <cellStyle name="Celda vinculada 2" xfId="3368" xr:uid="{00000000-0005-0000-0000-0000280D0000}"/>
    <cellStyle name="Celda vinculada 2 2" xfId="4728" xr:uid="{00000000-0005-0000-0000-000078120000}"/>
    <cellStyle name="Celda vinculada 2 3" xfId="4729" xr:uid="{00000000-0005-0000-0000-000079120000}"/>
    <cellStyle name="Celda vinculada 2 4" xfId="4730" xr:uid="{00000000-0005-0000-0000-00007A120000}"/>
    <cellStyle name="Celda vinculada 3" xfId="3369" xr:uid="{00000000-0005-0000-0000-0000290D0000}"/>
    <cellStyle name="Celda vinculada 3 2" xfId="4731" xr:uid="{00000000-0005-0000-0000-00007B120000}"/>
    <cellStyle name="Celda vinculada 3 3" xfId="4732" xr:uid="{00000000-0005-0000-0000-00007C120000}"/>
    <cellStyle name="Celda vinculada 4" xfId="4733" xr:uid="{00000000-0005-0000-0000-00007D120000}"/>
    <cellStyle name="Celda vinculada 4 2" xfId="4734" xr:uid="{00000000-0005-0000-0000-00007E120000}"/>
    <cellStyle name="Celda vinculada 4 3" xfId="4735" xr:uid="{00000000-0005-0000-0000-00007F120000}"/>
    <cellStyle name="Celda vinculada 5" xfId="4736" xr:uid="{00000000-0005-0000-0000-000080120000}"/>
    <cellStyle name="Celda vinculada 6" xfId="4737" xr:uid="{00000000-0005-0000-0000-000081120000}"/>
    <cellStyle name="Celda vinculada 7" xfId="4738" xr:uid="{00000000-0005-0000-0000-000082120000}"/>
    <cellStyle name="Celda vinculada 8" xfId="4739" xr:uid="{00000000-0005-0000-0000-000083120000}"/>
    <cellStyle name="Celda vinculada 9" xfId="4740" xr:uid="{00000000-0005-0000-0000-000084120000}"/>
    <cellStyle name="Célula de Verificação" xfId="1111" xr:uid="{00000000-0005-0000-0000-000057040000}"/>
    <cellStyle name="Célula de Verificação 2" xfId="8155" xr:uid="{47F58972-D2EB-469E-9648-BFCC9E626A94}"/>
    <cellStyle name="Célula Vinculada" xfId="1112" xr:uid="{00000000-0005-0000-0000-000058040000}"/>
    <cellStyle name="Code" xfId="3370" xr:uid="{00000000-0005-0000-0000-00002A0D0000}"/>
    <cellStyle name="Code Section" xfId="3371" xr:uid="{00000000-0005-0000-0000-00002B0D0000}"/>
    <cellStyle name="Code Section 2" xfId="8800" xr:uid="{C7F3AB0F-4851-4158-8195-4DA5AFC9A674}"/>
    <cellStyle name="Column Header" xfId="3372" xr:uid="{00000000-0005-0000-0000-00002C0D0000}"/>
    <cellStyle name="Column Header 2" xfId="8801" xr:uid="{7224ACE0-90A1-48DD-8137-D5BB2AB5EFD6}"/>
    <cellStyle name="Coma 2" xfId="3731" xr:uid="{00000000-0005-0000-0000-0000930E0000}"/>
    <cellStyle name="Coma 2 2" xfId="3820" xr:uid="{00000000-0005-0000-0000-0000EC0E0000}"/>
    <cellStyle name="Coma 2 2 2" xfId="6812" xr:uid="{00000000-0005-0000-0000-00009C1A0000}"/>
    <cellStyle name="Coma 2 2 2 2" xfId="7135" xr:uid="{00000000-0005-0000-0000-0000DF1B0000}"/>
    <cellStyle name="Coma 2 2 2 2 2" xfId="7776" xr:uid="{00000000-0005-0000-0000-0000601E0000}"/>
    <cellStyle name="Coma 2 2 2 2 2 2" xfId="11616" xr:uid="{793022E6-66AC-45B3-A5F1-065D2803F7DA}"/>
    <cellStyle name="Coma 2 2 2 2 3" xfId="10975" xr:uid="{41632352-DFBF-403B-B1D3-C02FA79E4CED}"/>
    <cellStyle name="Coma 2 2 2 3" xfId="7453" xr:uid="{00000000-0005-0000-0000-00001D1D0000}"/>
    <cellStyle name="Coma 2 2 2 3 2" xfId="11293" xr:uid="{163B4DE4-BE9C-42C9-ACA4-2E169CF7C0E2}"/>
    <cellStyle name="Coma 2 2 2 4" xfId="10652" xr:uid="{EA22BDF6-B942-436E-94E2-AD0CFAB19197}"/>
    <cellStyle name="Coma 2 2 3" xfId="6971" xr:uid="{00000000-0005-0000-0000-00003B1B0000}"/>
    <cellStyle name="Coma 2 2 3 2" xfId="7612" xr:uid="{00000000-0005-0000-0000-0000BC1D0000}"/>
    <cellStyle name="Coma 2 2 3 2 2" xfId="11452" xr:uid="{12DC834E-A54B-4B42-B082-A9D8EF06E169}"/>
    <cellStyle name="Coma 2 2 3 3" xfId="10811" xr:uid="{7C13D4A8-C6F9-4A63-89AD-5D8400BD358A}"/>
    <cellStyle name="Coma 2 2 4" xfId="7291" xr:uid="{00000000-0005-0000-0000-00007B1C0000}"/>
    <cellStyle name="Coma 2 2 4 2" xfId="11131" xr:uid="{0988EF95-B08C-42F1-BDC5-B134DB3F962B}"/>
    <cellStyle name="Coma 2 2 5" xfId="8990" xr:uid="{7C93A522-2248-48F6-AB94-91B0D5484208}"/>
    <cellStyle name="Coma 2 3" xfId="6781" xr:uid="{00000000-0005-0000-0000-00007D1A0000}"/>
    <cellStyle name="Coma 2 3 2" xfId="7104" xr:uid="{00000000-0005-0000-0000-0000C01B0000}"/>
    <cellStyle name="Coma 2 3 2 2" xfId="7745" xr:uid="{00000000-0005-0000-0000-0000411E0000}"/>
    <cellStyle name="Coma 2 3 2 2 2" xfId="11585" xr:uid="{A119460C-AB96-4F29-B6E5-18989B3DFCC0}"/>
    <cellStyle name="Coma 2 3 2 3" xfId="10944" xr:uid="{B5A3F0F3-9523-42EA-8ABC-5096875EBDEA}"/>
    <cellStyle name="Coma 2 3 3" xfId="7422" xr:uid="{00000000-0005-0000-0000-0000FE1C0000}"/>
    <cellStyle name="Coma 2 3 3 2" xfId="11262" xr:uid="{B111992E-5C7A-4E48-915D-E81BDAB0A6E0}"/>
    <cellStyle name="Coma 2 3 4" xfId="10621" xr:uid="{E9603BA7-CCC5-478A-A913-C47623236352}"/>
    <cellStyle name="Coma 2 4" xfId="6940" xr:uid="{00000000-0005-0000-0000-00001C1B0000}"/>
    <cellStyle name="Coma 2 4 2" xfId="7581" xr:uid="{00000000-0005-0000-0000-00009D1D0000}"/>
    <cellStyle name="Coma 2 4 2 2" xfId="11421" xr:uid="{AB0B01E2-A6A1-4A72-B567-FADE7E47C61D}"/>
    <cellStyle name="Coma 2 4 3" xfId="10780" xr:uid="{2FC4A5C0-E4C9-4614-BF74-9F659B7BAEDB}"/>
    <cellStyle name="Coma 2 5" xfId="7260" xr:uid="{00000000-0005-0000-0000-00005C1C0000}"/>
    <cellStyle name="Coma 2 5 2" xfId="11100" xr:uid="{443F92F6-F56C-4355-8FA4-CD2D4C6A7A7A}"/>
    <cellStyle name="Coma 2 6" xfId="8958" xr:uid="{3D66B65D-6A9F-4265-9523-A87F41B0A63F}"/>
    <cellStyle name="Coma0" xfId="1113" xr:uid="{00000000-0005-0000-0000-000059040000}"/>
    <cellStyle name="Coma0 10" xfId="3373" xr:uid="{00000000-0005-0000-0000-00002D0D0000}"/>
    <cellStyle name="Coma0 2" xfId="1114" xr:uid="{00000000-0005-0000-0000-00005A040000}"/>
    <cellStyle name="Coma0 2 2" xfId="1115" xr:uid="{00000000-0005-0000-0000-00005B040000}"/>
    <cellStyle name="Coma0 2 3" xfId="1116" xr:uid="{00000000-0005-0000-0000-00005C040000}"/>
    <cellStyle name="Coma0 2 4" xfId="1117" xr:uid="{00000000-0005-0000-0000-00005D040000}"/>
    <cellStyle name="Coma0 2 5" xfId="1118" xr:uid="{00000000-0005-0000-0000-00005E040000}"/>
    <cellStyle name="Coma0 2 6" xfId="1119" xr:uid="{00000000-0005-0000-0000-00005F040000}"/>
    <cellStyle name="Coma0 2 7" xfId="1120" xr:uid="{00000000-0005-0000-0000-000060040000}"/>
    <cellStyle name="Coma0 2 8" xfId="1121" xr:uid="{00000000-0005-0000-0000-000061040000}"/>
    <cellStyle name="Coma0 3" xfId="1122" xr:uid="{00000000-0005-0000-0000-000062040000}"/>
    <cellStyle name="Coma0 3 2" xfId="1123" xr:uid="{00000000-0005-0000-0000-000063040000}"/>
    <cellStyle name="Coma0 3 3" xfId="1124" xr:uid="{00000000-0005-0000-0000-000064040000}"/>
    <cellStyle name="Coma0 3 4" xfId="1125" xr:uid="{00000000-0005-0000-0000-000065040000}"/>
    <cellStyle name="Coma0 3 5" xfId="1126" xr:uid="{00000000-0005-0000-0000-000066040000}"/>
    <cellStyle name="Coma0 3 6" xfId="1127" xr:uid="{00000000-0005-0000-0000-000067040000}"/>
    <cellStyle name="Coma0 3 7" xfId="1128" xr:uid="{00000000-0005-0000-0000-000068040000}"/>
    <cellStyle name="Coma0 3 8" xfId="1129" xr:uid="{00000000-0005-0000-0000-000069040000}"/>
    <cellStyle name="Coma0 4" xfId="1130" xr:uid="{00000000-0005-0000-0000-00006A040000}"/>
    <cellStyle name="Coma0 4 2" xfId="1131" xr:uid="{00000000-0005-0000-0000-00006B040000}"/>
    <cellStyle name="Coma0 4 3" xfId="1132" xr:uid="{00000000-0005-0000-0000-00006C040000}"/>
    <cellStyle name="Coma0 4 4" xfId="1133" xr:uid="{00000000-0005-0000-0000-00006D040000}"/>
    <cellStyle name="Coma0 4 5" xfId="1134" xr:uid="{00000000-0005-0000-0000-00006E040000}"/>
    <cellStyle name="Coma0 4 6" xfId="1135" xr:uid="{00000000-0005-0000-0000-00006F040000}"/>
    <cellStyle name="Coma0 4 7" xfId="1136" xr:uid="{00000000-0005-0000-0000-000070040000}"/>
    <cellStyle name="Coma0 4 8" xfId="1137" xr:uid="{00000000-0005-0000-0000-000071040000}"/>
    <cellStyle name="Coma0 5" xfId="3374" xr:uid="{00000000-0005-0000-0000-00002E0D0000}"/>
    <cellStyle name="Coma0 6" xfId="3375" xr:uid="{00000000-0005-0000-0000-00002F0D0000}"/>
    <cellStyle name="Coma0 7" xfId="3376" xr:uid="{00000000-0005-0000-0000-0000300D0000}"/>
    <cellStyle name="Coma0 8" xfId="3377" xr:uid="{00000000-0005-0000-0000-0000310D0000}"/>
    <cellStyle name="Coma0 9" xfId="3378" xr:uid="{00000000-0005-0000-0000-0000320D0000}"/>
    <cellStyle name="Coma1" xfId="1138" xr:uid="{00000000-0005-0000-0000-000072040000}"/>
    <cellStyle name="Coma1 10" xfId="3379" xr:uid="{00000000-0005-0000-0000-0000330D0000}"/>
    <cellStyle name="Coma1 2" xfId="1139" xr:uid="{00000000-0005-0000-0000-000073040000}"/>
    <cellStyle name="Coma1 2 2" xfId="1140" xr:uid="{00000000-0005-0000-0000-000074040000}"/>
    <cellStyle name="Coma1 2 3" xfId="1141" xr:uid="{00000000-0005-0000-0000-000075040000}"/>
    <cellStyle name="Coma1 2 4" xfId="1142" xr:uid="{00000000-0005-0000-0000-000076040000}"/>
    <cellStyle name="Coma1 2 5" xfId="1143" xr:uid="{00000000-0005-0000-0000-000077040000}"/>
    <cellStyle name="Coma1 2 6" xfId="1144" xr:uid="{00000000-0005-0000-0000-000078040000}"/>
    <cellStyle name="Coma1 2 7" xfId="1145" xr:uid="{00000000-0005-0000-0000-000079040000}"/>
    <cellStyle name="Coma1 2 8" xfId="1146" xr:uid="{00000000-0005-0000-0000-00007A040000}"/>
    <cellStyle name="Coma1 3" xfId="1147" xr:uid="{00000000-0005-0000-0000-00007B040000}"/>
    <cellStyle name="Coma1 3 2" xfId="1148" xr:uid="{00000000-0005-0000-0000-00007C040000}"/>
    <cellStyle name="Coma1 3 3" xfId="1149" xr:uid="{00000000-0005-0000-0000-00007D040000}"/>
    <cellStyle name="Coma1 3 4" xfId="1150" xr:uid="{00000000-0005-0000-0000-00007E040000}"/>
    <cellStyle name="Coma1 3 5" xfId="1151" xr:uid="{00000000-0005-0000-0000-00007F040000}"/>
    <cellStyle name="Coma1 3 6" xfId="1152" xr:uid="{00000000-0005-0000-0000-000080040000}"/>
    <cellStyle name="Coma1 3 7" xfId="1153" xr:uid="{00000000-0005-0000-0000-000081040000}"/>
    <cellStyle name="Coma1 3 8" xfId="1154" xr:uid="{00000000-0005-0000-0000-000082040000}"/>
    <cellStyle name="Coma1 4" xfId="1155" xr:uid="{00000000-0005-0000-0000-000083040000}"/>
    <cellStyle name="Coma1 4 2" xfId="1156" xr:uid="{00000000-0005-0000-0000-000084040000}"/>
    <cellStyle name="Coma1 4 3" xfId="1157" xr:uid="{00000000-0005-0000-0000-000085040000}"/>
    <cellStyle name="Coma1 4 4" xfId="1158" xr:uid="{00000000-0005-0000-0000-000086040000}"/>
    <cellStyle name="Coma1 4 5" xfId="1159" xr:uid="{00000000-0005-0000-0000-000087040000}"/>
    <cellStyle name="Coma1 4 6" xfId="1160" xr:uid="{00000000-0005-0000-0000-000088040000}"/>
    <cellStyle name="Coma1 4 7" xfId="1161" xr:uid="{00000000-0005-0000-0000-000089040000}"/>
    <cellStyle name="Coma1 4 8" xfId="1162" xr:uid="{00000000-0005-0000-0000-00008A040000}"/>
    <cellStyle name="Coma1 5" xfId="3380" xr:uid="{00000000-0005-0000-0000-0000340D0000}"/>
    <cellStyle name="Coma1 6" xfId="3381" xr:uid="{00000000-0005-0000-0000-0000350D0000}"/>
    <cellStyle name="Coma1 7" xfId="3382" xr:uid="{00000000-0005-0000-0000-0000360D0000}"/>
    <cellStyle name="Coma1 8" xfId="3383" xr:uid="{00000000-0005-0000-0000-0000370D0000}"/>
    <cellStyle name="Coma1 9" xfId="3384" xr:uid="{00000000-0005-0000-0000-0000380D0000}"/>
    <cellStyle name="Comma" xfId="4" xr:uid="{00000000-0005-0000-0000-000004000000}"/>
    <cellStyle name="Comma [0]" xfId="5" xr:uid="{00000000-0005-0000-0000-000005000000}"/>
    <cellStyle name="Comma [0] 2" xfId="31" xr:uid="{00000000-0005-0000-0000-00001F000000}"/>
    <cellStyle name="Comma [0] 2 2" xfId="81" xr:uid="{00000000-0005-0000-0000-000051000000}"/>
    <cellStyle name="Comma [0] 2 2 2" xfId="6728" xr:uid="{00000000-0005-0000-0000-0000481A0000}"/>
    <cellStyle name="Comma [0] 2 2 2 2" xfId="6894" xr:uid="{00000000-0005-0000-0000-0000EE1A0000}"/>
    <cellStyle name="Comma [0] 2 2 2 2 2" xfId="7217" xr:uid="{00000000-0005-0000-0000-0000311C0000}"/>
    <cellStyle name="Comma [0] 2 2 2 2 2 2" xfId="7858" xr:uid="{00000000-0005-0000-0000-0000B21E0000}"/>
    <cellStyle name="Comma [0] 2 2 2 2 2 2 2" xfId="11698" xr:uid="{2AFDC3D6-F6A8-4FF3-B240-F50B67699670}"/>
    <cellStyle name="Comma [0] 2 2 2 2 2 3" xfId="11057" xr:uid="{93E10A84-D20D-4E54-B8C5-F1F5B65F9CE3}"/>
    <cellStyle name="Comma [0] 2 2 2 2 3" xfId="7535" xr:uid="{00000000-0005-0000-0000-00006F1D0000}"/>
    <cellStyle name="Comma [0] 2 2 2 2 3 2" xfId="11375" xr:uid="{92A1512C-8B62-43E9-B1AB-68F664AE3F6E}"/>
    <cellStyle name="Comma [0] 2 2 2 2 4" xfId="10734" xr:uid="{94D553F4-F91B-4FEB-8AEE-BC5FEA5034CF}"/>
    <cellStyle name="Comma [0] 2 2 2 3" xfId="7051" xr:uid="{00000000-0005-0000-0000-00008B1B0000}"/>
    <cellStyle name="Comma [0] 2 2 2 3 2" xfId="7692" xr:uid="{00000000-0005-0000-0000-00000C1E0000}"/>
    <cellStyle name="Comma [0] 2 2 2 3 2 2" xfId="11532" xr:uid="{6BB0F275-12B3-4119-9334-33C56C6664AA}"/>
    <cellStyle name="Comma [0] 2 2 2 3 3" xfId="10891" xr:uid="{3DAD6785-AB4F-4D83-8FFB-0C1C63AFB84E}"/>
    <cellStyle name="Comma [0] 2 2 2 4" xfId="7369" xr:uid="{00000000-0005-0000-0000-0000C91C0000}"/>
    <cellStyle name="Comma [0] 2 2 2 4 2" xfId="11209" xr:uid="{F376D982-62E4-4026-AC9C-223F1E3BDC24}"/>
    <cellStyle name="Comma [0] 2 2 2 5" xfId="10568" xr:uid="{97F4346A-E8ED-4F91-A64E-133F07CADA30}"/>
    <cellStyle name="Comma [0] 2 2 3" xfId="6711" xr:uid="{00000000-0005-0000-0000-0000371A0000}"/>
    <cellStyle name="Comma [0] 2 2 3 2" xfId="6878" xr:uid="{00000000-0005-0000-0000-0000DE1A0000}"/>
    <cellStyle name="Comma [0] 2 2 3 2 2" xfId="7201" xr:uid="{00000000-0005-0000-0000-0000211C0000}"/>
    <cellStyle name="Comma [0] 2 2 3 2 2 2" xfId="7842" xr:uid="{00000000-0005-0000-0000-0000A21E0000}"/>
    <cellStyle name="Comma [0] 2 2 3 2 2 2 2" xfId="11682" xr:uid="{983BEBDB-D1D7-48D7-B4B2-1D4728CF2A88}"/>
    <cellStyle name="Comma [0] 2 2 3 2 2 3" xfId="11041" xr:uid="{D528F5BB-ADB4-4F22-8510-EED7A14285EC}"/>
    <cellStyle name="Comma [0] 2 2 3 2 3" xfId="7519" xr:uid="{00000000-0005-0000-0000-00005F1D0000}"/>
    <cellStyle name="Comma [0] 2 2 3 2 3 2" xfId="11359" xr:uid="{1F1BA002-83A1-4EC1-A7AE-A64DCB7B17B8}"/>
    <cellStyle name="Comma [0] 2 2 3 2 4" xfId="10718" xr:uid="{D2135EDD-B9DB-47D8-8671-CE4A53B8CC91}"/>
    <cellStyle name="Comma [0] 2 2 3 3" xfId="7035" xr:uid="{00000000-0005-0000-0000-00007B1B0000}"/>
    <cellStyle name="Comma [0] 2 2 3 3 2" xfId="7676" xr:uid="{00000000-0005-0000-0000-0000FC1D0000}"/>
    <cellStyle name="Comma [0] 2 2 3 3 2 2" xfId="11516" xr:uid="{445B8A51-6C37-4BA1-A970-EA44D1442937}"/>
    <cellStyle name="Comma [0] 2 2 3 3 3" xfId="10875" xr:uid="{06ABA297-5D81-464C-BB22-873F3795F3BB}"/>
    <cellStyle name="Comma [0] 2 2 3 4" xfId="7353" xr:uid="{00000000-0005-0000-0000-0000B91C0000}"/>
    <cellStyle name="Comma [0] 2 2 3 4 2" xfId="11193" xr:uid="{0BD2376F-6E85-4134-B087-CFE8AB9990DA}"/>
    <cellStyle name="Comma [0] 2 2 3 5" xfId="10552" xr:uid="{014B22B9-9FE5-4658-A154-BE5F2775E587}"/>
    <cellStyle name="Comma [0] 2 2 4" xfId="6901" xr:uid="{00000000-0005-0000-0000-0000F51A0000}"/>
    <cellStyle name="Comma [0] 2 2 4 2" xfId="7542" xr:uid="{00000000-0005-0000-0000-0000761D0000}"/>
    <cellStyle name="Comma [0] 2 2 4 2 2" xfId="11382" xr:uid="{8FFE6309-1ECD-4D08-B577-2AED165993E6}"/>
    <cellStyle name="Comma [0] 2 2 4 3" xfId="10741" xr:uid="{DCCF30AF-22DA-4ECC-B152-AC89EF77AB9F}"/>
    <cellStyle name="Comma [0] 2 2 5" xfId="7221" xr:uid="{00000000-0005-0000-0000-0000351C0000}"/>
    <cellStyle name="Comma [0] 2 2 5 2" xfId="11061" xr:uid="{FEBAE003-9A32-4E18-9F7B-B1B32B42F2FD}"/>
    <cellStyle name="Comma [0] 2 2 6" xfId="7929" xr:uid="{979DE4C5-1F06-4B0C-A29C-9FDD2452908B}"/>
    <cellStyle name="Comma [0] 2 3" xfId="6707" xr:uid="{00000000-0005-0000-0000-0000331A0000}"/>
    <cellStyle name="Comma [0] 2 3 2" xfId="6876" xr:uid="{00000000-0005-0000-0000-0000DC1A0000}"/>
    <cellStyle name="Comma [0] 2 3 2 2" xfId="7199" xr:uid="{00000000-0005-0000-0000-00001F1C0000}"/>
    <cellStyle name="Comma [0] 2 3 2 2 2" xfId="7840" xr:uid="{00000000-0005-0000-0000-0000A01E0000}"/>
    <cellStyle name="Comma [0] 2 3 2 2 2 2" xfId="11680" xr:uid="{26EE73DB-749F-48F3-AEB4-76847E4A6C90}"/>
    <cellStyle name="Comma [0] 2 3 2 2 3" xfId="11039" xr:uid="{E941E34B-8ED3-4708-84F8-1B50897C06E9}"/>
    <cellStyle name="Comma [0] 2 3 2 3" xfId="7517" xr:uid="{00000000-0005-0000-0000-00005D1D0000}"/>
    <cellStyle name="Comma [0] 2 3 2 3 2" xfId="11357" xr:uid="{DC95A1A2-9703-454D-8728-5BEF9B8258B4}"/>
    <cellStyle name="Comma [0] 2 3 2 4" xfId="10716" xr:uid="{7551DD7F-52C1-468B-A219-B337F737AD2E}"/>
    <cellStyle name="Comma [0] 2 3 3" xfId="7033" xr:uid="{00000000-0005-0000-0000-0000791B0000}"/>
    <cellStyle name="Comma [0] 2 3 3 2" xfId="7674" xr:uid="{00000000-0005-0000-0000-0000FA1D0000}"/>
    <cellStyle name="Comma [0] 2 3 3 2 2" xfId="11514" xr:uid="{A4F31FFB-E696-45B1-974E-C27D25D21F1A}"/>
    <cellStyle name="Comma [0] 2 3 3 3" xfId="10873" xr:uid="{93212226-19CD-4619-A04D-6ECDB951B8A6}"/>
    <cellStyle name="Comma [0] 2 3 4" xfId="7351" xr:uid="{00000000-0005-0000-0000-0000B71C0000}"/>
    <cellStyle name="Comma [0] 2 3 4 2" xfId="11191" xr:uid="{A18995BA-6753-409D-807E-6105D22E59D7}"/>
    <cellStyle name="Comma [0] 2 3 5" xfId="10550" xr:uid="{F45A28D0-A4AA-4B76-88A1-1BADD916EF09}"/>
    <cellStyle name="Comma [0] 2 4" xfId="6724" xr:uid="{00000000-0005-0000-0000-0000441A0000}"/>
    <cellStyle name="Comma [0] 2 4 2" xfId="6890" xr:uid="{00000000-0005-0000-0000-0000EA1A0000}"/>
    <cellStyle name="Comma [0] 2 4 2 2" xfId="7213" xr:uid="{00000000-0005-0000-0000-00002D1C0000}"/>
    <cellStyle name="Comma [0] 2 4 2 2 2" xfId="7854" xr:uid="{00000000-0005-0000-0000-0000AE1E0000}"/>
    <cellStyle name="Comma [0] 2 4 2 2 2 2" xfId="11694" xr:uid="{D481C9B5-43CF-4009-850C-CF703C65B438}"/>
    <cellStyle name="Comma [0] 2 4 2 2 3" xfId="11053" xr:uid="{135E3DD6-C211-49E0-94CA-999C524AEAE9}"/>
    <cellStyle name="Comma [0] 2 4 2 3" xfId="7531" xr:uid="{00000000-0005-0000-0000-00006B1D0000}"/>
    <cellStyle name="Comma [0] 2 4 2 3 2" xfId="11371" xr:uid="{E9552236-7194-4BE8-9BE9-0AA8789F9F89}"/>
    <cellStyle name="Comma [0] 2 4 2 4" xfId="10730" xr:uid="{EBF7FE83-BF9C-4FBE-86E6-F8C9BA59DCE1}"/>
    <cellStyle name="Comma [0] 2 4 3" xfId="7047" xr:uid="{00000000-0005-0000-0000-0000871B0000}"/>
    <cellStyle name="Comma [0] 2 4 3 2" xfId="7688" xr:uid="{00000000-0005-0000-0000-0000081E0000}"/>
    <cellStyle name="Comma [0] 2 4 3 2 2" xfId="11528" xr:uid="{31588D65-05FE-4A8D-B989-FD4D517D7598}"/>
    <cellStyle name="Comma [0] 2 4 3 3" xfId="10887" xr:uid="{0D1E994C-9EAB-45B0-962A-9A70C5EE5041}"/>
    <cellStyle name="Comma [0] 2 4 4" xfId="7365" xr:uid="{00000000-0005-0000-0000-0000C51C0000}"/>
    <cellStyle name="Comma [0] 2 4 4 2" xfId="11205" xr:uid="{F48D98B4-183A-4AF7-807B-68A89E45644F}"/>
    <cellStyle name="Comma [0] 2 4 5" xfId="10564" xr:uid="{585E9D8E-8C50-4670-A988-4E689BFFF54A}"/>
    <cellStyle name="Comma [0] 2 5" xfId="6704" xr:uid="{00000000-0005-0000-0000-0000301A0000}"/>
    <cellStyle name="Comma [0] 2 5 2" xfId="6873" xr:uid="{00000000-0005-0000-0000-0000D91A0000}"/>
    <cellStyle name="Comma [0] 2 5 2 2" xfId="7196" xr:uid="{00000000-0005-0000-0000-00001C1C0000}"/>
    <cellStyle name="Comma [0] 2 5 2 2 2" xfId="7837" xr:uid="{00000000-0005-0000-0000-00009D1E0000}"/>
    <cellStyle name="Comma [0] 2 5 2 2 2 2" xfId="11677" xr:uid="{A1922023-2AC1-4E98-B998-F0F8D5191156}"/>
    <cellStyle name="Comma [0] 2 5 2 2 3" xfId="11036" xr:uid="{23D4BDE8-E6FE-47EE-BFC0-3EE5B5F733AF}"/>
    <cellStyle name="Comma [0] 2 5 2 3" xfId="7514" xr:uid="{00000000-0005-0000-0000-00005A1D0000}"/>
    <cellStyle name="Comma [0] 2 5 2 3 2" xfId="11354" xr:uid="{2DD37585-C800-45E9-84CA-FA58F33CE7FB}"/>
    <cellStyle name="Comma [0] 2 5 2 4" xfId="10713" xr:uid="{B55DC3B5-D980-4358-9975-2E5334B6BD79}"/>
    <cellStyle name="Comma [0] 2 5 3" xfId="7030" xr:uid="{00000000-0005-0000-0000-0000761B0000}"/>
    <cellStyle name="Comma [0] 2 5 3 2" xfId="7671" xr:uid="{00000000-0005-0000-0000-0000F71D0000}"/>
    <cellStyle name="Comma [0] 2 5 3 2 2" xfId="11511" xr:uid="{42E23680-C9AA-43C9-896D-8131FC1E1459}"/>
    <cellStyle name="Comma [0] 2 5 3 3" xfId="10870" xr:uid="{D83B1778-E0D3-474A-9B05-B714C2E9A895}"/>
    <cellStyle name="Comma [0] 2 5 4" xfId="7348" xr:uid="{00000000-0005-0000-0000-0000B41C0000}"/>
    <cellStyle name="Comma [0] 2 5 4 2" xfId="11188" xr:uid="{D8E74AD2-2500-466B-9526-C81D167F2B05}"/>
    <cellStyle name="Comma [0] 2 5 5" xfId="10547" xr:uid="{7D8C1952-63E2-4424-9520-6C20F6EA5572}"/>
    <cellStyle name="Comma [0] 2 6" xfId="6899" xr:uid="{00000000-0005-0000-0000-0000F31A0000}"/>
    <cellStyle name="Comma [0] 2 6 2" xfId="7540" xr:uid="{00000000-0005-0000-0000-0000741D0000}"/>
    <cellStyle name="Comma [0] 2 6 2 2" xfId="11380" xr:uid="{BED5B976-9E1E-4606-BD91-6AFBBA5D36DC}"/>
    <cellStyle name="Comma [0] 2 6 3" xfId="10739" xr:uid="{AFC52E5E-C149-4DA6-B022-7CE8C7D3793D}"/>
    <cellStyle name="Comma [0] 2 7" xfId="7219" xr:uid="{00000000-0005-0000-0000-0000331C0000}"/>
    <cellStyle name="Comma [0] 2 7 2" xfId="11059" xr:uid="{9D5E9FDB-97C7-4D99-95B2-E8E8BD174CAA}"/>
    <cellStyle name="Comma [0] 2 8" xfId="7886" xr:uid="{65306B49-FD8E-47F0-B7E4-018BE0B32AEF}"/>
    <cellStyle name="Comma [0] 3" xfId="68" xr:uid="{00000000-0005-0000-0000-000044000000}"/>
    <cellStyle name="Comma [0] 3 2" xfId="84" xr:uid="{00000000-0005-0000-0000-000054000000}"/>
    <cellStyle name="Comma [0] 3 2 2" xfId="6727" xr:uid="{00000000-0005-0000-0000-0000471A0000}"/>
    <cellStyle name="Comma [0] 3 2 2 2" xfId="6893" xr:uid="{00000000-0005-0000-0000-0000ED1A0000}"/>
    <cellStyle name="Comma [0] 3 2 2 2 2" xfId="7216" xr:uid="{00000000-0005-0000-0000-0000301C0000}"/>
    <cellStyle name="Comma [0] 3 2 2 2 2 2" xfId="7857" xr:uid="{00000000-0005-0000-0000-0000B11E0000}"/>
    <cellStyle name="Comma [0] 3 2 2 2 2 2 2" xfId="11697" xr:uid="{36754958-B356-4146-A5E6-C92833F77058}"/>
    <cellStyle name="Comma [0] 3 2 2 2 2 3" xfId="11056" xr:uid="{8D50919F-4FB6-4878-8EB2-299BC9EF7BBC}"/>
    <cellStyle name="Comma [0] 3 2 2 2 3" xfId="7534" xr:uid="{00000000-0005-0000-0000-00006E1D0000}"/>
    <cellStyle name="Comma [0] 3 2 2 2 3 2" xfId="11374" xr:uid="{EC56B632-534C-4DF9-81A9-C23C10DC1EBC}"/>
    <cellStyle name="Comma [0] 3 2 2 2 4" xfId="10733" xr:uid="{B9B515C0-4D66-4EEB-8897-F659F418CCAD}"/>
    <cellStyle name="Comma [0] 3 2 2 3" xfId="7050" xr:uid="{00000000-0005-0000-0000-00008A1B0000}"/>
    <cellStyle name="Comma [0] 3 2 2 3 2" xfId="7691" xr:uid="{00000000-0005-0000-0000-00000B1E0000}"/>
    <cellStyle name="Comma [0] 3 2 2 3 2 2" xfId="11531" xr:uid="{E94379F2-709C-4DA1-82A2-21890A4406EE}"/>
    <cellStyle name="Comma [0] 3 2 2 3 3" xfId="10890" xr:uid="{D1F04334-E67E-495F-B08C-EFB480FBE955}"/>
    <cellStyle name="Comma [0] 3 2 2 4" xfId="7368" xr:uid="{00000000-0005-0000-0000-0000C81C0000}"/>
    <cellStyle name="Comma [0] 3 2 2 4 2" xfId="11208" xr:uid="{D612E7F1-B2D9-4AA6-9B11-3D815D0BE7EF}"/>
    <cellStyle name="Comma [0] 3 2 2 5" xfId="10567" xr:uid="{125D14CE-22E3-4787-A5B5-6B6055ABAD76}"/>
    <cellStyle name="Comma [0] 3 2 3" xfId="6713" xr:uid="{00000000-0005-0000-0000-0000391A0000}"/>
    <cellStyle name="Comma [0] 3 2 3 2" xfId="6880" xr:uid="{00000000-0005-0000-0000-0000E01A0000}"/>
    <cellStyle name="Comma [0] 3 2 3 2 2" xfId="7203" xr:uid="{00000000-0005-0000-0000-0000231C0000}"/>
    <cellStyle name="Comma [0] 3 2 3 2 2 2" xfId="7844" xr:uid="{00000000-0005-0000-0000-0000A41E0000}"/>
    <cellStyle name="Comma [0] 3 2 3 2 2 2 2" xfId="11684" xr:uid="{E9D3B21A-1045-4EC0-B6BE-E863F31E5D77}"/>
    <cellStyle name="Comma [0] 3 2 3 2 2 3" xfId="11043" xr:uid="{CB8EEC2C-7BE7-4D00-841E-9494D90C6F6E}"/>
    <cellStyle name="Comma [0] 3 2 3 2 3" xfId="7521" xr:uid="{00000000-0005-0000-0000-0000611D0000}"/>
    <cellStyle name="Comma [0] 3 2 3 2 3 2" xfId="11361" xr:uid="{F9C02C27-3D04-4566-939D-6C3221C6E9A2}"/>
    <cellStyle name="Comma [0] 3 2 3 2 4" xfId="10720" xr:uid="{AEA140E4-8E7D-4452-B0BA-87DAC9360FFD}"/>
    <cellStyle name="Comma [0] 3 2 3 3" xfId="7037" xr:uid="{00000000-0005-0000-0000-00007D1B0000}"/>
    <cellStyle name="Comma [0] 3 2 3 3 2" xfId="7678" xr:uid="{00000000-0005-0000-0000-0000FE1D0000}"/>
    <cellStyle name="Comma [0] 3 2 3 3 2 2" xfId="11518" xr:uid="{B60FB48C-63B4-4BBD-A009-94112C5CB816}"/>
    <cellStyle name="Comma [0] 3 2 3 3 3" xfId="10877" xr:uid="{ED5E5A0D-ABCA-4C48-9E98-FBE42B4AEB6A}"/>
    <cellStyle name="Comma [0] 3 2 3 4" xfId="7355" xr:uid="{00000000-0005-0000-0000-0000BB1C0000}"/>
    <cellStyle name="Comma [0] 3 2 3 4 2" xfId="11195" xr:uid="{1EC5ECB7-41B9-457D-975D-3EC5AA237931}"/>
    <cellStyle name="Comma [0] 3 2 3 5" xfId="10554" xr:uid="{5225786A-63AC-4F66-AAEB-22B9FE89FBF6}"/>
    <cellStyle name="Comma [0] 3 2 4" xfId="6903" xr:uid="{00000000-0005-0000-0000-0000F71A0000}"/>
    <cellStyle name="Comma [0] 3 2 4 2" xfId="7544" xr:uid="{00000000-0005-0000-0000-0000781D0000}"/>
    <cellStyle name="Comma [0] 3 2 4 2 2" xfId="11384" xr:uid="{CAA3789C-D516-41FE-B147-E6814E0305B1}"/>
    <cellStyle name="Comma [0] 3 2 4 3" xfId="10743" xr:uid="{07DCA4F5-5F21-4335-9CD1-3DEF3F7C2F6C}"/>
    <cellStyle name="Comma [0] 3 2 5" xfId="7223" xr:uid="{00000000-0005-0000-0000-0000371C0000}"/>
    <cellStyle name="Comma [0] 3 2 5 2" xfId="11063" xr:uid="{AF8D07F4-7812-4C1C-A1CD-579F6F98AC8B}"/>
    <cellStyle name="Comma [0] 3 2 6" xfId="7932" xr:uid="{4B43F7A2-4345-4BA1-984F-367944FA3E3C}"/>
    <cellStyle name="Comma [0] 3 3" xfId="6720" xr:uid="{00000000-0005-0000-0000-0000401A0000}"/>
    <cellStyle name="Comma [0] 3 3 2" xfId="6886" xr:uid="{00000000-0005-0000-0000-0000E61A0000}"/>
    <cellStyle name="Comma [0] 3 3 2 2" xfId="7209" xr:uid="{00000000-0005-0000-0000-0000291C0000}"/>
    <cellStyle name="Comma [0] 3 3 2 2 2" xfId="7850" xr:uid="{00000000-0005-0000-0000-0000AA1E0000}"/>
    <cellStyle name="Comma [0] 3 3 2 2 2 2" xfId="11690" xr:uid="{ECBB2C7F-39D7-4F4E-AE12-20D79A615D76}"/>
    <cellStyle name="Comma [0] 3 3 2 2 3" xfId="11049" xr:uid="{302EEF18-D28E-438C-A3C5-94AEB4FBF00D}"/>
    <cellStyle name="Comma [0] 3 3 2 3" xfId="7527" xr:uid="{00000000-0005-0000-0000-0000671D0000}"/>
    <cellStyle name="Comma [0] 3 3 2 3 2" xfId="11367" xr:uid="{EA21E460-ADF0-4AFC-A569-00C86AAC93F4}"/>
    <cellStyle name="Comma [0] 3 3 2 4" xfId="10726" xr:uid="{C62A8DB3-5CBD-400A-8F18-7AE647004EBF}"/>
    <cellStyle name="Comma [0] 3 3 3" xfId="7043" xr:uid="{00000000-0005-0000-0000-0000831B0000}"/>
    <cellStyle name="Comma [0] 3 3 3 2" xfId="7684" xr:uid="{00000000-0005-0000-0000-0000041E0000}"/>
    <cellStyle name="Comma [0] 3 3 3 2 2" xfId="11524" xr:uid="{E8F57651-13CB-4468-89C2-D73F023C0DC6}"/>
    <cellStyle name="Comma [0] 3 3 3 3" xfId="10883" xr:uid="{85085ADF-080E-4F1E-8762-D2EF37CB9725}"/>
    <cellStyle name="Comma [0] 3 3 4" xfId="7361" xr:uid="{00000000-0005-0000-0000-0000C11C0000}"/>
    <cellStyle name="Comma [0] 3 3 4 2" xfId="11201" xr:uid="{2B05319E-8AAA-4CD1-9320-A2F719C09F11}"/>
    <cellStyle name="Comma [0] 3 3 5" xfId="10560" xr:uid="{BC159070-7F56-4EFC-8CD4-378DB656FB4D}"/>
    <cellStyle name="Comma [0] 3 4" xfId="6708" xr:uid="{00000000-0005-0000-0000-0000341A0000}"/>
    <cellStyle name="Comma [0] 3 4 2" xfId="6877" xr:uid="{00000000-0005-0000-0000-0000DD1A0000}"/>
    <cellStyle name="Comma [0] 3 4 2 2" xfId="7200" xr:uid="{00000000-0005-0000-0000-0000201C0000}"/>
    <cellStyle name="Comma [0] 3 4 2 2 2" xfId="7841" xr:uid="{00000000-0005-0000-0000-0000A11E0000}"/>
    <cellStyle name="Comma [0] 3 4 2 2 2 2" xfId="11681" xr:uid="{2E942854-41A0-4645-8481-B14141B7ED84}"/>
    <cellStyle name="Comma [0] 3 4 2 2 3" xfId="11040" xr:uid="{D7BC4479-93E2-4297-9CAD-15346DBC440C}"/>
    <cellStyle name="Comma [0] 3 4 2 3" xfId="7518" xr:uid="{00000000-0005-0000-0000-00005E1D0000}"/>
    <cellStyle name="Comma [0] 3 4 2 3 2" xfId="11358" xr:uid="{B6DBBA5A-E304-47F1-84B9-0B5789442CB3}"/>
    <cellStyle name="Comma [0] 3 4 2 4" xfId="10717" xr:uid="{C0975505-8E8F-47DD-954C-E2F8A85EDC98}"/>
    <cellStyle name="Comma [0] 3 4 3" xfId="7034" xr:uid="{00000000-0005-0000-0000-00007A1B0000}"/>
    <cellStyle name="Comma [0] 3 4 3 2" xfId="7675" xr:uid="{00000000-0005-0000-0000-0000FB1D0000}"/>
    <cellStyle name="Comma [0] 3 4 3 2 2" xfId="11515" xr:uid="{EC85ECEA-736D-4055-98EA-3708CECFE737}"/>
    <cellStyle name="Comma [0] 3 4 3 3" xfId="10874" xr:uid="{21491B06-F468-4560-B610-6D279B11125F}"/>
    <cellStyle name="Comma [0] 3 4 4" xfId="7352" xr:uid="{00000000-0005-0000-0000-0000B81C0000}"/>
    <cellStyle name="Comma [0] 3 4 4 2" xfId="11192" xr:uid="{396F0B93-75D2-4CBA-A56B-52B67BBFA420}"/>
    <cellStyle name="Comma [0] 3 4 5" xfId="10551" xr:uid="{8CDC8A25-7C9D-4DFD-8AC0-98B45E093052}"/>
    <cellStyle name="Comma [0] 3 5" xfId="6900" xr:uid="{00000000-0005-0000-0000-0000F41A0000}"/>
    <cellStyle name="Comma [0] 3 5 2" xfId="7541" xr:uid="{00000000-0005-0000-0000-0000751D0000}"/>
    <cellStyle name="Comma [0] 3 5 2 2" xfId="11381" xr:uid="{90B06B5A-FA15-40B2-A3DE-A5D03CC805F6}"/>
    <cellStyle name="Comma [0] 3 5 3" xfId="10740" xr:uid="{9235A680-689C-4B8F-BB17-6A7AEBF6B6E8}"/>
    <cellStyle name="Comma [0] 3 6" xfId="7220" xr:uid="{00000000-0005-0000-0000-0000341C0000}"/>
    <cellStyle name="Comma [0] 3 6 2" xfId="11060" xr:uid="{678CA6DC-7950-4787-9BF2-8ED9C125E141}"/>
    <cellStyle name="Comma [0] 3 7" xfId="7921" xr:uid="{653101B8-4844-41CE-BADD-8EF91EB201AD}"/>
    <cellStyle name="Comma [0] 4" xfId="82" xr:uid="{00000000-0005-0000-0000-000052000000}"/>
    <cellStyle name="Comma [0] 4 2" xfId="6729" xr:uid="{00000000-0005-0000-0000-0000491A0000}"/>
    <cellStyle name="Comma [0] 4 2 2" xfId="6895" xr:uid="{00000000-0005-0000-0000-0000EF1A0000}"/>
    <cellStyle name="Comma [0] 4 2 2 2" xfId="7218" xr:uid="{00000000-0005-0000-0000-0000321C0000}"/>
    <cellStyle name="Comma [0] 4 2 2 2 2" xfId="7859" xr:uid="{00000000-0005-0000-0000-0000B31E0000}"/>
    <cellStyle name="Comma [0] 4 2 2 2 2 2" xfId="11699" xr:uid="{06EBB3E2-7502-4201-9746-C44D44EC6227}"/>
    <cellStyle name="Comma [0] 4 2 2 2 3" xfId="11058" xr:uid="{8A33D98F-11F3-4B17-BF60-076F48C813B1}"/>
    <cellStyle name="Comma [0] 4 2 2 3" xfId="7536" xr:uid="{00000000-0005-0000-0000-0000701D0000}"/>
    <cellStyle name="Comma [0] 4 2 2 3 2" xfId="11376" xr:uid="{423F7B5C-6515-4A96-8CFE-9F9C52B3462B}"/>
    <cellStyle name="Comma [0] 4 2 2 4" xfId="10735" xr:uid="{CA7B7887-CF9D-4FEB-A5C8-ECBD5554A400}"/>
    <cellStyle name="Comma [0] 4 2 3" xfId="7052" xr:uid="{00000000-0005-0000-0000-00008C1B0000}"/>
    <cellStyle name="Comma [0] 4 2 3 2" xfId="7693" xr:uid="{00000000-0005-0000-0000-00000D1E0000}"/>
    <cellStyle name="Comma [0] 4 2 3 2 2" xfId="11533" xr:uid="{1FDF74D5-EBF6-4E09-A70B-D26442D230E9}"/>
    <cellStyle name="Comma [0] 4 2 3 3" xfId="10892" xr:uid="{2A5ABB2F-421F-4356-ABEF-62FC64DDEBE8}"/>
    <cellStyle name="Comma [0] 4 2 4" xfId="7370" xr:uid="{00000000-0005-0000-0000-0000CA1C0000}"/>
    <cellStyle name="Comma [0] 4 2 4 2" xfId="11210" xr:uid="{D5F1A21F-8E93-4A52-8F04-0A5B30B8391B}"/>
    <cellStyle name="Comma [0] 4 2 5" xfId="10569" xr:uid="{0A05F4EF-AAE3-4FE2-9D0D-3C0025413A86}"/>
    <cellStyle name="Comma [0] 4 3" xfId="6712" xr:uid="{00000000-0005-0000-0000-0000381A0000}"/>
    <cellStyle name="Comma [0] 4 3 2" xfId="6879" xr:uid="{00000000-0005-0000-0000-0000DF1A0000}"/>
    <cellStyle name="Comma [0] 4 3 2 2" xfId="7202" xr:uid="{00000000-0005-0000-0000-0000221C0000}"/>
    <cellStyle name="Comma [0] 4 3 2 2 2" xfId="7843" xr:uid="{00000000-0005-0000-0000-0000A31E0000}"/>
    <cellStyle name="Comma [0] 4 3 2 2 2 2" xfId="11683" xr:uid="{EF12CF95-3EF1-46A0-BFA4-0DA0DE6D3BE5}"/>
    <cellStyle name="Comma [0] 4 3 2 2 3" xfId="11042" xr:uid="{EA54287B-45C0-4CE7-B71B-36ECAB771206}"/>
    <cellStyle name="Comma [0] 4 3 2 3" xfId="7520" xr:uid="{00000000-0005-0000-0000-0000601D0000}"/>
    <cellStyle name="Comma [0] 4 3 2 3 2" xfId="11360" xr:uid="{22DC16F5-2987-4BA5-BF77-E8CD75DC3319}"/>
    <cellStyle name="Comma [0] 4 3 2 4" xfId="10719" xr:uid="{A4D9D842-757E-4431-8D26-8D9B7E6B6CAA}"/>
    <cellStyle name="Comma [0] 4 3 3" xfId="7036" xr:uid="{00000000-0005-0000-0000-00007C1B0000}"/>
    <cellStyle name="Comma [0] 4 3 3 2" xfId="7677" xr:uid="{00000000-0005-0000-0000-0000FD1D0000}"/>
    <cellStyle name="Comma [0] 4 3 3 2 2" xfId="11517" xr:uid="{417B7B3B-F30A-47AF-A604-1DFF7B352531}"/>
    <cellStyle name="Comma [0] 4 3 3 3" xfId="10876" xr:uid="{12C546A5-DEE9-4F22-8893-D4BF3024D3DF}"/>
    <cellStyle name="Comma [0] 4 3 4" xfId="7354" xr:uid="{00000000-0005-0000-0000-0000BA1C0000}"/>
    <cellStyle name="Comma [0] 4 3 4 2" xfId="11194" xr:uid="{9F3FB036-FEE7-4AE1-9A61-07B716CDE7CE}"/>
    <cellStyle name="Comma [0] 4 3 5" xfId="10553" xr:uid="{8BAB1373-1263-421D-8381-0E6539518E5C}"/>
    <cellStyle name="Comma [0] 4 4" xfId="6902" xr:uid="{00000000-0005-0000-0000-0000F61A0000}"/>
    <cellStyle name="Comma [0] 4 4 2" xfId="7543" xr:uid="{00000000-0005-0000-0000-0000771D0000}"/>
    <cellStyle name="Comma [0] 4 4 2 2" xfId="11383" xr:uid="{7C81393D-0EDC-47AD-977C-03BE2746ACEC}"/>
    <cellStyle name="Comma [0] 4 4 3" xfId="10742" xr:uid="{4C525808-C7BB-463A-8E5B-268302A30B6C}"/>
    <cellStyle name="Comma [0] 4 5" xfId="7222" xr:uid="{00000000-0005-0000-0000-0000361C0000}"/>
    <cellStyle name="Comma [0] 4 5 2" xfId="11062" xr:uid="{B613BC94-8C0A-4F9C-9AC5-6308D9F776C1}"/>
    <cellStyle name="Comma [0] 4 6" xfId="7930" xr:uid="{4606F697-FB2A-4AF6-9C21-9948ED53140A}"/>
    <cellStyle name="Comma [0] 5" xfId="6872" xr:uid="{00000000-0005-0000-0000-0000D81A0000}"/>
    <cellStyle name="Comma [0] 5 2" xfId="7195" xr:uid="{00000000-0005-0000-0000-00001B1C0000}"/>
    <cellStyle name="Comma [0] 5 2 2" xfId="7836" xr:uid="{00000000-0005-0000-0000-00009C1E0000}"/>
    <cellStyle name="Comma [0] 5 2 2 2" xfId="11676" xr:uid="{0D1814F0-F549-479D-84EE-A0542DC0C15F}"/>
    <cellStyle name="Comma [0] 5 2 3" xfId="11035" xr:uid="{A8303F26-A78B-4F1B-9478-8CE89A6D9707}"/>
    <cellStyle name="Comma [0] 5 3" xfId="7513" xr:uid="{00000000-0005-0000-0000-0000591D0000}"/>
    <cellStyle name="Comma [0] 5 3 2" xfId="11353" xr:uid="{21180EF9-3DD0-45F8-BDCF-4CCE78C5D8A3}"/>
    <cellStyle name="Comma [0] 5 4" xfId="10712" xr:uid="{A42A188B-12B9-4603-AEC3-711CC8269717}"/>
    <cellStyle name="Comma [0] 6" xfId="7029" xr:uid="{00000000-0005-0000-0000-0000751B0000}"/>
    <cellStyle name="Comma [0] 6 2" xfId="7670" xr:uid="{00000000-0005-0000-0000-0000F61D0000}"/>
    <cellStyle name="Comma [0] 6 2 2" xfId="11510" xr:uid="{461C8551-22E1-46BF-902F-352FC59F0462}"/>
    <cellStyle name="Comma [0] 6 3" xfId="10869" xr:uid="{E1D9B2C2-5A0E-4644-8953-41678359A534}"/>
    <cellStyle name="Comma [0] 7" xfId="7347" xr:uid="{00000000-0005-0000-0000-0000B31C0000}"/>
    <cellStyle name="Comma [0] 7 2" xfId="11187" xr:uid="{F38E458A-937F-4BAB-8362-2D6159FAE8DB}"/>
    <cellStyle name="Comma [0] 8" xfId="10546" xr:uid="{6DBCEF17-6C35-43C9-AAD0-E26E921527CD}"/>
    <cellStyle name="Comma [1]" xfId="1163" xr:uid="{00000000-0005-0000-0000-00008B040000}"/>
    <cellStyle name="Comma [1] 2" xfId="1164" xr:uid="{00000000-0005-0000-0000-00008C040000}"/>
    <cellStyle name="Comma [1] 2 2" xfId="1165" xr:uid="{00000000-0005-0000-0000-00008D040000}"/>
    <cellStyle name="Comma [1] 2 2 2" xfId="4741" xr:uid="{00000000-0005-0000-0000-000085120000}"/>
    <cellStyle name="Comma [1] 2 3" xfId="1166" xr:uid="{00000000-0005-0000-0000-00008E040000}"/>
    <cellStyle name="Comma [1] 2 3 2" xfId="4742" xr:uid="{00000000-0005-0000-0000-000086120000}"/>
    <cellStyle name="Comma [1] 2 4" xfId="1167" xr:uid="{00000000-0005-0000-0000-00008F040000}"/>
    <cellStyle name="Comma [1] 2 4 2" xfId="4743" xr:uid="{00000000-0005-0000-0000-000087120000}"/>
    <cellStyle name="Comma [1] 2 5" xfId="1168" xr:uid="{00000000-0005-0000-0000-000090040000}"/>
    <cellStyle name="Comma [1] 2 5 2" xfId="4744" xr:uid="{00000000-0005-0000-0000-000088120000}"/>
    <cellStyle name="Comma [1] 2 6" xfId="1169" xr:uid="{00000000-0005-0000-0000-000091040000}"/>
    <cellStyle name="Comma [1] 2 6 2" xfId="4745" xr:uid="{00000000-0005-0000-0000-000089120000}"/>
    <cellStyle name="Comma [1] 2 7" xfId="1170" xr:uid="{00000000-0005-0000-0000-000092040000}"/>
    <cellStyle name="Comma [1] 2 8" xfId="1171" xr:uid="{00000000-0005-0000-0000-000093040000}"/>
    <cellStyle name="Comma [1] 3" xfId="1172" xr:uid="{00000000-0005-0000-0000-000094040000}"/>
    <cellStyle name="Comma [1] 3 2" xfId="1173" xr:uid="{00000000-0005-0000-0000-000095040000}"/>
    <cellStyle name="Comma [1] 3 2 2" xfId="4746" xr:uid="{00000000-0005-0000-0000-00008A120000}"/>
    <cellStyle name="Comma [1] 3 3" xfId="1174" xr:uid="{00000000-0005-0000-0000-000096040000}"/>
    <cellStyle name="Comma [1] 3 3 2" xfId="4747" xr:uid="{00000000-0005-0000-0000-00008B120000}"/>
    <cellStyle name="Comma [1] 3 4" xfId="1175" xr:uid="{00000000-0005-0000-0000-000097040000}"/>
    <cellStyle name="Comma [1] 3 4 2" xfId="4748" xr:uid="{00000000-0005-0000-0000-00008C120000}"/>
    <cellStyle name="Comma [1] 3 5" xfId="1176" xr:uid="{00000000-0005-0000-0000-000098040000}"/>
    <cellStyle name="Comma [1] 3 5 2" xfId="4749" xr:uid="{00000000-0005-0000-0000-00008D120000}"/>
    <cellStyle name="Comma [1] 3 6" xfId="1177" xr:uid="{00000000-0005-0000-0000-000099040000}"/>
    <cellStyle name="Comma [1] 3 6 2" xfId="4750" xr:uid="{00000000-0005-0000-0000-00008E120000}"/>
    <cellStyle name="Comma [1] 3 7" xfId="1178" xr:uid="{00000000-0005-0000-0000-00009A040000}"/>
    <cellStyle name="Comma [1] 3 8" xfId="1179" xr:uid="{00000000-0005-0000-0000-00009B040000}"/>
    <cellStyle name="Comma [1] 4" xfId="1180" xr:uid="{00000000-0005-0000-0000-00009C040000}"/>
    <cellStyle name="Comma [1] 4 2" xfId="1181" xr:uid="{00000000-0005-0000-0000-00009D040000}"/>
    <cellStyle name="Comma [1] 4 2 2" xfId="4751" xr:uid="{00000000-0005-0000-0000-00008F120000}"/>
    <cellStyle name="Comma [1] 4 3" xfId="1182" xr:uid="{00000000-0005-0000-0000-00009E040000}"/>
    <cellStyle name="Comma [1] 4 3 2" xfId="4752" xr:uid="{00000000-0005-0000-0000-000090120000}"/>
    <cellStyle name="Comma [1] 4 4" xfId="1183" xr:uid="{00000000-0005-0000-0000-00009F040000}"/>
    <cellStyle name="Comma [1] 4 4 2" xfId="4753" xr:uid="{00000000-0005-0000-0000-000091120000}"/>
    <cellStyle name="Comma [1] 4 5" xfId="1184" xr:uid="{00000000-0005-0000-0000-0000A0040000}"/>
    <cellStyle name="Comma [1] 4 5 2" xfId="4754" xr:uid="{00000000-0005-0000-0000-000092120000}"/>
    <cellStyle name="Comma [1] 4 6" xfId="1185" xr:uid="{00000000-0005-0000-0000-0000A1040000}"/>
    <cellStyle name="Comma [1] 4 6 2" xfId="4755" xr:uid="{00000000-0005-0000-0000-000093120000}"/>
    <cellStyle name="Comma [1] 4 7" xfId="1186" xr:uid="{00000000-0005-0000-0000-0000A2040000}"/>
    <cellStyle name="Comma [1] 4 8" xfId="1187" xr:uid="{00000000-0005-0000-0000-0000A3040000}"/>
    <cellStyle name="Comma [1] 5" xfId="4756" xr:uid="{00000000-0005-0000-0000-000094120000}"/>
    <cellStyle name="Comma 10" xfId="6779" xr:uid="{00000000-0005-0000-0000-00007B1A0000}"/>
    <cellStyle name="Comma 10 2" xfId="7102" xr:uid="{00000000-0005-0000-0000-0000BE1B0000}"/>
    <cellStyle name="Comma 10 2 2" xfId="7743" xr:uid="{00000000-0005-0000-0000-00003F1E0000}"/>
    <cellStyle name="Comma 10 2 2 2" xfId="11583" xr:uid="{96BC0A01-5B41-415F-8EA8-FF6B72E89740}"/>
    <cellStyle name="Comma 10 2 3" xfId="10942" xr:uid="{B070C829-1050-4674-9B15-B992AA18740E}"/>
    <cellStyle name="Comma 10 3" xfId="7420" xr:uid="{00000000-0005-0000-0000-0000FC1C0000}"/>
    <cellStyle name="Comma 10 3 2" xfId="11260" xr:uid="{D13CD622-C13C-4C17-BD39-0367BABD5F2F}"/>
    <cellStyle name="Comma 10 4" xfId="10619" xr:uid="{CC3CF68F-6B1C-4C4D-A8BA-829623F93973}"/>
    <cellStyle name="Comma 11" xfId="6778" xr:uid="{00000000-0005-0000-0000-00007A1A0000}"/>
    <cellStyle name="Comma 11 2" xfId="7101" xr:uid="{00000000-0005-0000-0000-0000BD1B0000}"/>
    <cellStyle name="Comma 11 2 2" xfId="7742" xr:uid="{00000000-0005-0000-0000-00003E1E0000}"/>
    <cellStyle name="Comma 11 2 2 2" xfId="11582" xr:uid="{D73206AA-C67E-41FD-9BA5-FAF469B47E2C}"/>
    <cellStyle name="Comma 11 2 3" xfId="10941" xr:uid="{12F971AA-AC39-458B-BB91-DFF7C13069AE}"/>
    <cellStyle name="Comma 11 3" xfId="7419" xr:uid="{00000000-0005-0000-0000-0000FB1C0000}"/>
    <cellStyle name="Comma 11 3 2" xfId="11259" xr:uid="{45DD8DDB-268D-4756-A4E8-1B9F0704D84C}"/>
    <cellStyle name="Comma 11 4" xfId="10618" xr:uid="{4D0697FD-8DDE-475D-B972-24F6CE58E2C6}"/>
    <cellStyle name="Comma 12" xfId="6867" xr:uid="{00000000-0005-0000-0000-0000D31A0000}"/>
    <cellStyle name="Comma 12 2" xfId="7190" xr:uid="{00000000-0005-0000-0000-0000161C0000}"/>
    <cellStyle name="Comma 12 2 2" xfId="7831" xr:uid="{00000000-0005-0000-0000-0000971E0000}"/>
    <cellStyle name="Comma 12 2 2 2" xfId="11671" xr:uid="{3521E81E-8C9B-4850-BB21-49E9EB0BD37A}"/>
    <cellStyle name="Comma 12 2 3" xfId="11030" xr:uid="{7F50D85C-BB88-42E6-8AAA-B9B2C06BEC10}"/>
    <cellStyle name="Comma 12 3" xfId="7508" xr:uid="{00000000-0005-0000-0000-0000541D0000}"/>
    <cellStyle name="Comma 12 3 2" xfId="11348" xr:uid="{500693E8-8B55-436B-B9BF-B056A9D8FB24}"/>
    <cellStyle name="Comma 12 4" xfId="10707" xr:uid="{07B7B97E-7009-4B8A-A668-42AFB2267378}"/>
    <cellStyle name="Comma 13" xfId="6737" xr:uid="{00000000-0005-0000-0000-0000511A0000}"/>
    <cellStyle name="Comma 13 2" xfId="7060" xr:uid="{00000000-0005-0000-0000-0000941B0000}"/>
    <cellStyle name="Comma 13 2 2" xfId="7701" xr:uid="{00000000-0005-0000-0000-0000151E0000}"/>
    <cellStyle name="Comma 13 2 2 2" xfId="11541" xr:uid="{CFC3651C-D80B-4A94-B7FF-F204BBA28805}"/>
    <cellStyle name="Comma 13 2 3" xfId="10900" xr:uid="{AF75D785-E340-4AAC-86EF-EAB50A066BE7}"/>
    <cellStyle name="Comma 13 3" xfId="7378" xr:uid="{00000000-0005-0000-0000-0000D21C0000}"/>
    <cellStyle name="Comma 13 3 2" xfId="11218" xr:uid="{610C2984-A48F-4DC1-BB7A-AE7DDD7FC1E5}"/>
    <cellStyle name="Comma 13 4" xfId="10577" xr:uid="{3EA79F9B-DDB0-46D5-A018-7FAE86669C0E}"/>
    <cellStyle name="Comma 14" xfId="6814" xr:uid="{00000000-0005-0000-0000-00009E1A0000}"/>
    <cellStyle name="Comma 14 2" xfId="7137" xr:uid="{00000000-0005-0000-0000-0000E11B0000}"/>
    <cellStyle name="Comma 14 2 2" xfId="7778" xr:uid="{00000000-0005-0000-0000-0000621E0000}"/>
    <cellStyle name="Comma 14 2 2 2" xfId="11618" xr:uid="{82C9A4C5-0C2F-4FD2-8FA7-BE108AC55B87}"/>
    <cellStyle name="Comma 14 2 3" xfId="10977" xr:uid="{CADCEB41-FBFF-4DDC-B54C-DB7538BBB35F}"/>
    <cellStyle name="Comma 14 3" xfId="7455" xr:uid="{00000000-0005-0000-0000-00001F1D0000}"/>
    <cellStyle name="Comma 14 3 2" xfId="11295" xr:uid="{18EA4944-AC1B-4EF8-B972-7F69A8784D28}"/>
    <cellStyle name="Comma 14 4" xfId="10654" xr:uid="{0D61BA25-CDA1-4D44-9566-98477565CA25}"/>
    <cellStyle name="Comma 15" xfId="6868" xr:uid="{00000000-0005-0000-0000-0000D41A0000}"/>
    <cellStyle name="Comma 15 2" xfId="7191" xr:uid="{00000000-0005-0000-0000-0000171C0000}"/>
    <cellStyle name="Comma 15 2 2" xfId="7832" xr:uid="{00000000-0005-0000-0000-0000981E0000}"/>
    <cellStyle name="Comma 15 2 2 2" xfId="11672" xr:uid="{B7FFB84B-B506-438F-BC60-C52565F2CF4B}"/>
    <cellStyle name="Comma 15 2 3" xfId="11031" xr:uid="{E28983A1-A05F-4C35-9F19-FB58C90BB234}"/>
    <cellStyle name="Comma 15 3" xfId="7509" xr:uid="{00000000-0005-0000-0000-0000551D0000}"/>
    <cellStyle name="Comma 15 3 2" xfId="11349" xr:uid="{E1D1199E-DC7A-493F-BD53-435B4D256CF2}"/>
    <cellStyle name="Comma 15 4" xfId="10708" xr:uid="{0B2C9931-51EE-41D1-8823-368C969DC726}"/>
    <cellStyle name="Comma 16" xfId="6736" xr:uid="{00000000-0005-0000-0000-0000501A0000}"/>
    <cellStyle name="Comma 16 2" xfId="7059" xr:uid="{00000000-0005-0000-0000-0000931B0000}"/>
    <cellStyle name="Comma 16 2 2" xfId="7700" xr:uid="{00000000-0005-0000-0000-0000141E0000}"/>
    <cellStyle name="Comma 16 2 2 2" xfId="11540" xr:uid="{216478BB-5F54-4B68-8CB9-DD9B1EF349CF}"/>
    <cellStyle name="Comma 16 2 3" xfId="10899" xr:uid="{204548A2-8F1A-4DBC-AE3E-3DE6332B1E26}"/>
    <cellStyle name="Comma 16 3" xfId="7377" xr:uid="{00000000-0005-0000-0000-0000D11C0000}"/>
    <cellStyle name="Comma 16 3 2" xfId="11217" xr:uid="{185545A5-7638-49CC-9CB8-CD8D3D525ED8}"/>
    <cellStyle name="Comma 16 4" xfId="10576" xr:uid="{39B7407F-C485-421B-AD77-73373F775EC0}"/>
    <cellStyle name="Comma 17" xfId="6777" xr:uid="{00000000-0005-0000-0000-0000791A0000}"/>
    <cellStyle name="Comma 17 2" xfId="7100" xr:uid="{00000000-0005-0000-0000-0000BC1B0000}"/>
    <cellStyle name="Comma 17 2 2" xfId="7741" xr:uid="{00000000-0005-0000-0000-00003D1E0000}"/>
    <cellStyle name="Comma 17 2 2 2" xfId="11581" xr:uid="{5C5D921B-B4A7-4102-BBE9-35C31F774A0C}"/>
    <cellStyle name="Comma 17 2 3" xfId="10940" xr:uid="{3353918F-7910-4012-BF3E-877DDE539385}"/>
    <cellStyle name="Comma 17 3" xfId="7418" xr:uid="{00000000-0005-0000-0000-0000FA1C0000}"/>
    <cellStyle name="Comma 17 3 2" xfId="11258" xr:uid="{DD31C857-4BAD-49EC-B21B-F28E054E46A2}"/>
    <cellStyle name="Comma 17 4" xfId="10617" xr:uid="{EA389C71-DBA0-4B08-8494-6E2203CA5D48}"/>
    <cellStyle name="Comma 18" xfId="6770" xr:uid="{00000000-0005-0000-0000-0000721A0000}"/>
    <cellStyle name="Comma 18 2" xfId="7093" xr:uid="{00000000-0005-0000-0000-0000B51B0000}"/>
    <cellStyle name="Comma 18 2 2" xfId="7734" xr:uid="{00000000-0005-0000-0000-0000361E0000}"/>
    <cellStyle name="Comma 18 2 2 2" xfId="11574" xr:uid="{B5EFEC54-62FF-4D67-87B9-59F52EF1A27B}"/>
    <cellStyle name="Comma 18 2 3" xfId="10933" xr:uid="{7F6752BF-3E0F-4DF3-869E-B8F723F105C0}"/>
    <cellStyle name="Comma 18 3" xfId="7411" xr:uid="{00000000-0005-0000-0000-0000F31C0000}"/>
    <cellStyle name="Comma 18 3 2" xfId="11251" xr:uid="{E0B73EBE-2CEB-45E8-89F7-797418841DBE}"/>
    <cellStyle name="Comma 18 4" xfId="10610" xr:uid="{6B659BD0-2BD7-482E-A012-F99A6D305D89}"/>
    <cellStyle name="Comma 19" xfId="6775" xr:uid="{00000000-0005-0000-0000-0000771A0000}"/>
    <cellStyle name="Comma 19 2" xfId="7098" xr:uid="{00000000-0005-0000-0000-0000BA1B0000}"/>
    <cellStyle name="Comma 19 2 2" xfId="7739" xr:uid="{00000000-0005-0000-0000-00003B1E0000}"/>
    <cellStyle name="Comma 19 2 2 2" xfId="11579" xr:uid="{E5795FDF-E22B-4393-8840-1CC21E6FB8B7}"/>
    <cellStyle name="Comma 19 2 3" xfId="10938" xr:uid="{215A7B7B-7F23-471C-BCDA-7AE3851EAF00}"/>
    <cellStyle name="Comma 19 3" xfId="7416" xr:uid="{00000000-0005-0000-0000-0000F81C0000}"/>
    <cellStyle name="Comma 19 3 2" xfId="11256" xr:uid="{A91EC930-D419-4CC5-A60E-3E8652513342}"/>
    <cellStyle name="Comma 19 4" xfId="10615" xr:uid="{20E365AC-82C6-48CE-8180-D51B070399D0}"/>
    <cellStyle name="Comma 2" xfId="69" xr:uid="{00000000-0005-0000-0000-000045000000}"/>
    <cellStyle name="Comma 2 10" xfId="1188" xr:uid="{00000000-0005-0000-0000-0000A4040000}"/>
    <cellStyle name="Comma 2 2" xfId="1189" xr:uid="{00000000-0005-0000-0000-0000A5040000}"/>
    <cellStyle name="Comma 2 3" xfId="1190" xr:uid="{00000000-0005-0000-0000-0000A6040000}"/>
    <cellStyle name="Comma 2 4" xfId="1191" xr:uid="{00000000-0005-0000-0000-0000A7040000}"/>
    <cellStyle name="Comma 2 5" xfId="1192" xr:uid="{00000000-0005-0000-0000-0000A8040000}"/>
    <cellStyle name="Comma 2 6" xfId="1193" xr:uid="{00000000-0005-0000-0000-0000A9040000}"/>
    <cellStyle name="Comma 2 7" xfId="1194" xr:uid="{00000000-0005-0000-0000-0000AA040000}"/>
    <cellStyle name="Comma 2 8" xfId="1195" xr:uid="{00000000-0005-0000-0000-0000AB040000}"/>
    <cellStyle name="Comma 2 9" xfId="6709" xr:uid="{00000000-0005-0000-0000-0000351A0000}"/>
    <cellStyle name="Comma 2_ActiFijos" xfId="1196" xr:uid="{00000000-0005-0000-0000-0000AC040000}"/>
    <cellStyle name="Comma 20" xfId="6771" xr:uid="{00000000-0005-0000-0000-0000731A0000}"/>
    <cellStyle name="Comma 20 2" xfId="7094" xr:uid="{00000000-0005-0000-0000-0000B61B0000}"/>
    <cellStyle name="Comma 20 2 2" xfId="7735" xr:uid="{00000000-0005-0000-0000-0000371E0000}"/>
    <cellStyle name="Comma 20 2 2 2" xfId="11575" xr:uid="{C889C3B4-FF5E-43E6-AD51-C2EC7E5C3C66}"/>
    <cellStyle name="Comma 20 2 3" xfId="10934" xr:uid="{C1498964-8B18-402D-B7F0-68D4959FA3CC}"/>
    <cellStyle name="Comma 20 3" xfId="7412" xr:uid="{00000000-0005-0000-0000-0000F41C0000}"/>
    <cellStyle name="Comma 20 3 2" xfId="11252" xr:uid="{C62071BB-8E97-4230-AAE8-5E83B2C20D89}"/>
    <cellStyle name="Comma 20 4" xfId="10611" xr:uid="{1BB02656-D91B-4AE5-AF75-2EE60EE3A1C9}"/>
    <cellStyle name="Comma 21" xfId="6774" xr:uid="{00000000-0005-0000-0000-0000761A0000}"/>
    <cellStyle name="Comma 21 2" xfId="7097" xr:uid="{00000000-0005-0000-0000-0000B91B0000}"/>
    <cellStyle name="Comma 21 2 2" xfId="7738" xr:uid="{00000000-0005-0000-0000-00003A1E0000}"/>
    <cellStyle name="Comma 21 2 2 2" xfId="11578" xr:uid="{50A0088D-E5B5-432E-AE16-4BD67AE1A649}"/>
    <cellStyle name="Comma 21 2 3" xfId="10937" xr:uid="{5320155C-C641-4DA3-A97C-C64545080040}"/>
    <cellStyle name="Comma 21 3" xfId="7415" xr:uid="{00000000-0005-0000-0000-0000F71C0000}"/>
    <cellStyle name="Comma 21 3 2" xfId="11255" xr:uid="{69DDE9B1-851A-493E-BCA4-95BBEB5F90CC}"/>
    <cellStyle name="Comma 21 4" xfId="10614" xr:uid="{DEE15E20-2379-4207-932A-57810E1694B4}"/>
    <cellStyle name="Comma 22" xfId="6772" xr:uid="{00000000-0005-0000-0000-0000741A0000}"/>
    <cellStyle name="Comma 22 2" xfId="7095" xr:uid="{00000000-0005-0000-0000-0000B71B0000}"/>
    <cellStyle name="Comma 22 2 2" xfId="7736" xr:uid="{00000000-0005-0000-0000-0000381E0000}"/>
    <cellStyle name="Comma 22 2 2 2" xfId="11576" xr:uid="{A42465A7-AC9E-4CCC-8D2E-5EE3C2ACEB9B}"/>
    <cellStyle name="Comma 22 2 3" xfId="10935" xr:uid="{83346E43-E20C-45B8-9865-A655E33EA7A7}"/>
    <cellStyle name="Comma 22 3" xfId="7413" xr:uid="{00000000-0005-0000-0000-0000F51C0000}"/>
    <cellStyle name="Comma 22 3 2" xfId="11253" xr:uid="{6D722076-25CF-45C5-A85E-BA31A82DC834}"/>
    <cellStyle name="Comma 22 4" xfId="10612" xr:uid="{BE380029-EC5C-4053-8927-6F0468E541BC}"/>
    <cellStyle name="Comma 23" xfId="6773" xr:uid="{00000000-0005-0000-0000-0000751A0000}"/>
    <cellStyle name="Comma 23 2" xfId="7096" xr:uid="{00000000-0005-0000-0000-0000B81B0000}"/>
    <cellStyle name="Comma 23 2 2" xfId="7737" xr:uid="{00000000-0005-0000-0000-0000391E0000}"/>
    <cellStyle name="Comma 23 2 2 2" xfId="11577" xr:uid="{2011F2DB-B80E-4A02-9B4F-2092B34C4946}"/>
    <cellStyle name="Comma 23 2 3" xfId="10936" xr:uid="{15780946-E4A9-4A86-8B71-2EA3540A1C95}"/>
    <cellStyle name="Comma 23 3" xfId="7414" xr:uid="{00000000-0005-0000-0000-0000F61C0000}"/>
    <cellStyle name="Comma 23 3 2" xfId="11254" xr:uid="{C2FE2410-6AED-48C2-9613-6D0690242438}"/>
    <cellStyle name="Comma 23 4" xfId="10613" xr:uid="{33FA0627-ACB1-429A-B184-274F3DE2AF09}"/>
    <cellStyle name="Comma 24" xfId="6866" xr:uid="{00000000-0005-0000-0000-0000D21A0000}"/>
    <cellStyle name="Comma 24 2" xfId="7189" xr:uid="{00000000-0005-0000-0000-0000151C0000}"/>
    <cellStyle name="Comma 24 2 2" xfId="7830" xr:uid="{00000000-0005-0000-0000-0000961E0000}"/>
    <cellStyle name="Comma 24 2 2 2" xfId="11670" xr:uid="{81D5C300-D0EB-4A92-BF76-0DE4394061E1}"/>
    <cellStyle name="Comma 24 2 3" xfId="11029" xr:uid="{D419F063-9819-437B-9210-E13A3AD607E1}"/>
    <cellStyle name="Comma 24 3" xfId="7507" xr:uid="{00000000-0005-0000-0000-0000531D0000}"/>
    <cellStyle name="Comma 24 3 2" xfId="11347" xr:uid="{C659D784-79D1-4134-A1BD-7A62E56B3CE0}"/>
    <cellStyle name="Comma 24 4" xfId="10706" xr:uid="{DE333B46-1105-4748-A2BC-80F126DD934E}"/>
    <cellStyle name="Comma 25" xfId="6738" xr:uid="{00000000-0005-0000-0000-0000521A0000}"/>
    <cellStyle name="Comma 25 2" xfId="7061" xr:uid="{00000000-0005-0000-0000-0000951B0000}"/>
    <cellStyle name="Comma 25 2 2" xfId="7702" xr:uid="{00000000-0005-0000-0000-0000161E0000}"/>
    <cellStyle name="Comma 25 2 2 2" xfId="11542" xr:uid="{3E8B8F6A-EE5E-49D5-85E0-3942A1AD26F5}"/>
    <cellStyle name="Comma 25 2 3" xfId="10901" xr:uid="{AC19000A-ED5F-44C5-B00D-41474C735675}"/>
    <cellStyle name="Comma 25 3" xfId="7379" xr:uid="{00000000-0005-0000-0000-0000D31C0000}"/>
    <cellStyle name="Comma 25 3 2" xfId="11219" xr:uid="{0A5082CB-E3F7-471A-B7C4-5275D943D2B7}"/>
    <cellStyle name="Comma 25 4" xfId="10578" xr:uid="{4D354D58-348A-4BBD-B96B-4CE52B0937ED}"/>
    <cellStyle name="Comma 26" xfId="6869" xr:uid="{00000000-0005-0000-0000-0000D51A0000}"/>
    <cellStyle name="Comma 26 2" xfId="7192" xr:uid="{00000000-0005-0000-0000-0000181C0000}"/>
    <cellStyle name="Comma 26 2 2" xfId="7833" xr:uid="{00000000-0005-0000-0000-0000991E0000}"/>
    <cellStyle name="Comma 26 2 2 2" xfId="11673" xr:uid="{3D522265-E038-4019-BEFC-0D00BD832C38}"/>
    <cellStyle name="Comma 26 2 3" xfId="11032" xr:uid="{D6355F6F-6056-4A98-908A-25874804E577}"/>
    <cellStyle name="Comma 26 3" xfId="7510" xr:uid="{00000000-0005-0000-0000-0000561D0000}"/>
    <cellStyle name="Comma 26 3 2" xfId="11350" xr:uid="{5F6BF30E-6358-4B8F-9DC7-E7EB78695CBF}"/>
    <cellStyle name="Comma 26 4" xfId="10709" xr:uid="{DA38FD31-3BF1-40B3-B061-8479CA988127}"/>
    <cellStyle name="Comma 27" xfId="6735" xr:uid="{00000000-0005-0000-0000-00004F1A0000}"/>
    <cellStyle name="Comma 27 2" xfId="7058" xr:uid="{00000000-0005-0000-0000-0000921B0000}"/>
    <cellStyle name="Comma 27 2 2" xfId="7699" xr:uid="{00000000-0005-0000-0000-0000131E0000}"/>
    <cellStyle name="Comma 27 2 2 2" xfId="11539" xr:uid="{A34F5FE0-D5DB-4380-B4B7-61A9BFF2DA0A}"/>
    <cellStyle name="Comma 27 2 3" xfId="10898" xr:uid="{29197F94-24FC-479A-A7D9-0604A2736E5B}"/>
    <cellStyle name="Comma 27 3" xfId="7376" xr:uid="{00000000-0005-0000-0000-0000D01C0000}"/>
    <cellStyle name="Comma 27 3 2" xfId="11216" xr:uid="{56EEFBFC-0302-4FA9-B55A-C0A2F44A1DAD}"/>
    <cellStyle name="Comma 27 4" xfId="10575" xr:uid="{052AC625-C677-471D-9810-FD8219780FE1}"/>
    <cellStyle name="Comma 28" xfId="6815" xr:uid="{00000000-0005-0000-0000-00009F1A0000}"/>
    <cellStyle name="Comma 28 2" xfId="7138" xr:uid="{00000000-0005-0000-0000-0000E21B0000}"/>
    <cellStyle name="Comma 28 2 2" xfId="7779" xr:uid="{00000000-0005-0000-0000-0000631E0000}"/>
    <cellStyle name="Comma 28 2 2 2" xfId="11619" xr:uid="{51FF8CD3-CDE3-489B-9A9E-0BA3B2845D21}"/>
    <cellStyle name="Comma 28 2 3" xfId="10978" xr:uid="{D818554A-C3AB-495D-B311-77F0F0F7640C}"/>
    <cellStyle name="Comma 28 3" xfId="7456" xr:uid="{00000000-0005-0000-0000-0000201D0000}"/>
    <cellStyle name="Comma 28 3 2" xfId="11296" xr:uid="{C15DCC8C-F409-426D-943E-2FC1ADD848ED}"/>
    <cellStyle name="Comma 28 4" xfId="10655" xr:uid="{CDEBA4B5-D58A-474D-9414-070FF792D44E}"/>
    <cellStyle name="Comma 29" xfId="6776" xr:uid="{00000000-0005-0000-0000-0000781A0000}"/>
    <cellStyle name="Comma 29 2" xfId="7099" xr:uid="{00000000-0005-0000-0000-0000BB1B0000}"/>
    <cellStyle name="Comma 29 2 2" xfId="7740" xr:uid="{00000000-0005-0000-0000-00003C1E0000}"/>
    <cellStyle name="Comma 29 2 2 2" xfId="11580" xr:uid="{DA0B79D4-295A-471F-ADFE-6517AFE974F5}"/>
    <cellStyle name="Comma 29 2 3" xfId="10939" xr:uid="{BEDB3419-6CF5-42EF-BB87-2EF51DC89C27}"/>
    <cellStyle name="Comma 29 3" xfId="7417" xr:uid="{00000000-0005-0000-0000-0000F91C0000}"/>
    <cellStyle name="Comma 29 3 2" xfId="11257" xr:uid="{87D93FE2-08D5-46D9-96A4-E2C5A930EF4B}"/>
    <cellStyle name="Comma 29 4" xfId="10616" xr:uid="{CDD1F0BF-FF4F-4CA3-9CF9-0AAB7B89E159}"/>
    <cellStyle name="Comma 3" xfId="1197" xr:uid="{00000000-0005-0000-0000-0000AD040000}"/>
    <cellStyle name="Comma 3 2" xfId="1198" xr:uid="{00000000-0005-0000-0000-0000AE040000}"/>
    <cellStyle name="Comma 3 3" xfId="1199" xr:uid="{00000000-0005-0000-0000-0000AF040000}"/>
    <cellStyle name="Comma 3 4" xfId="1200" xr:uid="{00000000-0005-0000-0000-0000B0040000}"/>
    <cellStyle name="Comma 3 5" xfId="1201" xr:uid="{00000000-0005-0000-0000-0000B1040000}"/>
    <cellStyle name="Comma 3 6" xfId="1202" xr:uid="{00000000-0005-0000-0000-0000B2040000}"/>
    <cellStyle name="Comma 3 7" xfId="1203" xr:uid="{00000000-0005-0000-0000-0000B3040000}"/>
    <cellStyle name="Comma 3 8" xfId="1204" xr:uid="{00000000-0005-0000-0000-0000B4040000}"/>
    <cellStyle name="Comma 3_ActiFijos" xfId="1205" xr:uid="{00000000-0005-0000-0000-0000B5040000}"/>
    <cellStyle name="Comma 30" xfId="6939" xr:uid="{00000000-0005-0000-0000-00001B1B0000}"/>
    <cellStyle name="Comma 30 2" xfId="7580" xr:uid="{00000000-0005-0000-0000-00009C1D0000}"/>
    <cellStyle name="Comma 30 2 2" xfId="11420" xr:uid="{D2405925-D293-4E9A-A77D-0644E2C95C18}"/>
    <cellStyle name="Comma 30 3" xfId="10779" xr:uid="{D4616460-92F5-46EB-9192-FA8761013DB0}"/>
    <cellStyle name="Comma 31" xfId="6909" xr:uid="{00000000-0005-0000-0000-0000FD1A0000}"/>
    <cellStyle name="Comma 31 2" xfId="7550" xr:uid="{00000000-0005-0000-0000-00007E1D0000}"/>
    <cellStyle name="Comma 31 2 2" xfId="11390" xr:uid="{4E8E7DD3-763D-4323-BC7C-7B0ED135E9CD}"/>
    <cellStyle name="Comma 31 3" xfId="10749" xr:uid="{8B59329D-232C-4116-95DF-E3F820163C8B}"/>
    <cellStyle name="Comma 32" xfId="7026" xr:uid="{00000000-0005-0000-0000-0000721B0000}"/>
    <cellStyle name="Comma 32 2" xfId="7667" xr:uid="{00000000-0005-0000-0000-0000F31D0000}"/>
    <cellStyle name="Comma 32 2 2" xfId="11507" xr:uid="{61E969B5-9076-42B0-BCF1-DB7710526780}"/>
    <cellStyle name="Comma 32 3" xfId="10866" xr:uid="{EECF9C73-52D7-433E-9E3F-47333486F66D}"/>
    <cellStyle name="Comma 33" xfId="7025" xr:uid="{00000000-0005-0000-0000-0000711B0000}"/>
    <cellStyle name="Comma 33 2" xfId="7666" xr:uid="{00000000-0005-0000-0000-0000F21D0000}"/>
    <cellStyle name="Comma 33 2 2" xfId="11506" xr:uid="{AFB6C968-3FAD-4033-BDD1-45E1C3EB6129}"/>
    <cellStyle name="Comma 33 3" xfId="10865" xr:uid="{D9DBDAF4-ADAA-47AD-8C8B-B8786DAE1A27}"/>
    <cellStyle name="Comma 34" xfId="6973" xr:uid="{00000000-0005-0000-0000-00003D1B0000}"/>
    <cellStyle name="Comma 34 2" xfId="7614" xr:uid="{00000000-0005-0000-0000-0000BE1D0000}"/>
    <cellStyle name="Comma 34 2 2" xfId="11454" xr:uid="{5C490FCC-F5F5-4498-BB3A-492153092FC0}"/>
    <cellStyle name="Comma 34 3" xfId="10813" xr:uid="{F89B38A8-0CC2-4D90-B3C8-A3D9BDD9C024}"/>
    <cellStyle name="Comma 35" xfId="6974" xr:uid="{00000000-0005-0000-0000-00003E1B0000}"/>
    <cellStyle name="Comma 35 2" xfId="7615" xr:uid="{00000000-0005-0000-0000-0000BF1D0000}"/>
    <cellStyle name="Comma 35 2 2" xfId="11455" xr:uid="{42E40EEF-7534-4A1B-93E4-DB1010E701E5}"/>
    <cellStyle name="Comma 35 3" xfId="10814" xr:uid="{B04DDA3C-1BBE-46F5-9FC1-82A593B40018}"/>
    <cellStyle name="Comma 36" xfId="6910" xr:uid="{00000000-0005-0000-0000-0000FE1A0000}"/>
    <cellStyle name="Comma 36 2" xfId="7551" xr:uid="{00000000-0005-0000-0000-00007F1D0000}"/>
    <cellStyle name="Comma 36 2 2" xfId="11391" xr:uid="{054D3543-5363-4354-B626-CCB1A678DAB0}"/>
    <cellStyle name="Comma 36 3" xfId="10750" xr:uid="{792FF314-99D8-439B-8BCD-5CCD8EB7C0CF}"/>
    <cellStyle name="Comma 37" xfId="7259" xr:uid="{00000000-0005-0000-0000-00005B1C0000}"/>
    <cellStyle name="Comma 37 2" xfId="11099" xr:uid="{E57CBB3D-746B-4C1B-BC45-7A011686855B}"/>
    <cellStyle name="Comma 38" xfId="7230" xr:uid="{00000000-0005-0000-0000-00003E1C0000}"/>
    <cellStyle name="Comma 38 2" xfId="11070" xr:uid="{59E7C000-5759-4215-BD90-88975D6E3BCC}"/>
    <cellStyle name="Comma 39" xfId="8957" xr:uid="{EE42E5D5-5B33-4082-B648-B26FEA60D389}"/>
    <cellStyle name="Comma 4" xfId="1206" xr:uid="{00000000-0005-0000-0000-0000B6040000}"/>
    <cellStyle name="Comma 4 2" xfId="1207" xr:uid="{00000000-0005-0000-0000-0000B7040000}"/>
    <cellStyle name="Comma 4 3" xfId="1208" xr:uid="{00000000-0005-0000-0000-0000B8040000}"/>
    <cellStyle name="Comma 4 4" xfId="1209" xr:uid="{00000000-0005-0000-0000-0000B9040000}"/>
    <cellStyle name="Comma 4 5" xfId="1210" xr:uid="{00000000-0005-0000-0000-0000BA040000}"/>
    <cellStyle name="Comma 4 6" xfId="1211" xr:uid="{00000000-0005-0000-0000-0000BB040000}"/>
    <cellStyle name="Comma 4 7" xfId="1212" xr:uid="{00000000-0005-0000-0000-0000BC040000}"/>
    <cellStyle name="Comma 4 8" xfId="1213" xr:uid="{00000000-0005-0000-0000-0000BD040000}"/>
    <cellStyle name="Comma 4_ActiFijos" xfId="1214" xr:uid="{00000000-0005-0000-0000-0000BE040000}"/>
    <cellStyle name="Comma 40" xfId="8992" xr:uid="{671744B8-C9F8-4CAD-8D77-8CA9C8F57F68}"/>
    <cellStyle name="Comma 41" xfId="11712" xr:uid="{642C13DA-9A51-4F76-A2D7-0CE02CB63AFD}"/>
    <cellStyle name="Comma 5" xfId="6703" xr:uid="{00000000-0005-0000-0000-00002F1A0000}"/>
    <cellStyle name="Comma 5 2" xfId="6871" xr:uid="{00000000-0005-0000-0000-0000D71A0000}"/>
    <cellStyle name="Comma 5 2 2" xfId="7194" xr:uid="{00000000-0005-0000-0000-00001A1C0000}"/>
    <cellStyle name="Comma 5 2 2 2" xfId="7835" xr:uid="{00000000-0005-0000-0000-00009B1E0000}"/>
    <cellStyle name="Comma 5 2 2 2 2" xfId="11675" xr:uid="{E7E7B74C-AF1B-4A0F-B730-96109C28B387}"/>
    <cellStyle name="Comma 5 2 2 3" xfId="11034" xr:uid="{4543A175-91E1-445F-8122-726C00CCA70C}"/>
    <cellStyle name="Comma 5 2 3" xfId="7512" xr:uid="{00000000-0005-0000-0000-0000581D0000}"/>
    <cellStyle name="Comma 5 2 3 2" xfId="11352" xr:uid="{3A04AF74-D2CC-49BA-AD59-E01D2F353D03}"/>
    <cellStyle name="Comma 5 2 4" xfId="10711" xr:uid="{2F4623CA-7EA3-4558-B9F6-CA7C4520E51A}"/>
    <cellStyle name="Comma 5 3" xfId="7028" xr:uid="{00000000-0005-0000-0000-0000741B0000}"/>
    <cellStyle name="Comma 5 3 2" xfId="7669" xr:uid="{00000000-0005-0000-0000-0000F51D0000}"/>
    <cellStyle name="Comma 5 3 2 2" xfId="11509" xr:uid="{25D59C7B-159B-4075-A7E3-0079F90FD0B9}"/>
    <cellStyle name="Comma 5 3 3" xfId="10868" xr:uid="{C7188193-6906-4A89-B0F5-A784D0D2678E}"/>
    <cellStyle name="Comma 5 4" xfId="7346" xr:uid="{00000000-0005-0000-0000-0000B21C0000}"/>
    <cellStyle name="Comma 5 4 2" xfId="11186" xr:uid="{47E89AC1-5EDD-4D6C-80B9-1593CCBB2E2A}"/>
    <cellStyle name="Comma 5 5" xfId="10545" xr:uid="{9A8F5BDB-F5B7-4B62-B6F7-D147B5B182D4}"/>
    <cellStyle name="Comma 6" xfId="6780" xr:uid="{00000000-0005-0000-0000-00007C1A0000}"/>
    <cellStyle name="Comma 6 2" xfId="7103" xr:uid="{00000000-0005-0000-0000-0000BF1B0000}"/>
    <cellStyle name="Comma 6 2 2" xfId="7744" xr:uid="{00000000-0005-0000-0000-0000401E0000}"/>
    <cellStyle name="Comma 6 2 2 2" xfId="11584" xr:uid="{F4E89FA6-AFC2-4064-9BF4-C725CB4D1BAC}"/>
    <cellStyle name="Comma 6 2 3" xfId="10943" xr:uid="{441BD00C-AE47-4716-A3D5-3F1D03700E2E}"/>
    <cellStyle name="Comma 6 3" xfId="7421" xr:uid="{00000000-0005-0000-0000-0000FD1C0000}"/>
    <cellStyle name="Comma 6 3 2" xfId="11261" xr:uid="{2C089672-EBBF-4BDF-9710-1A932B3C1B80}"/>
    <cellStyle name="Comma 6 4" xfId="10620" xr:uid="{7D52BCBA-05EE-4B4F-A890-3667A272C2DD}"/>
    <cellStyle name="Comma 7" xfId="6740" xr:uid="{00000000-0005-0000-0000-0000541A0000}"/>
    <cellStyle name="Comma 7 2" xfId="7063" xr:uid="{00000000-0005-0000-0000-0000971B0000}"/>
    <cellStyle name="Comma 7 2 2" xfId="7704" xr:uid="{00000000-0005-0000-0000-0000181E0000}"/>
    <cellStyle name="Comma 7 2 2 2" xfId="11544" xr:uid="{7D5E12A8-4F43-4DEE-A2C9-62E85A74CF9E}"/>
    <cellStyle name="Comma 7 2 3" xfId="10903" xr:uid="{A54A4D85-2E78-410A-8EB3-EEFBDD37E8C7}"/>
    <cellStyle name="Comma 7 3" xfId="7381" xr:uid="{00000000-0005-0000-0000-0000D51C0000}"/>
    <cellStyle name="Comma 7 3 2" xfId="11221" xr:uid="{D3A6CB4C-33C6-432D-87F5-250396E8511A}"/>
    <cellStyle name="Comma 7 4" xfId="10580" xr:uid="{F8CFEA36-D9BE-4F5D-822E-0FA4F248CC78}"/>
    <cellStyle name="Comma 8" xfId="6739" xr:uid="{00000000-0005-0000-0000-0000531A0000}"/>
    <cellStyle name="Comma 8 2" xfId="7062" xr:uid="{00000000-0005-0000-0000-0000961B0000}"/>
    <cellStyle name="Comma 8 2 2" xfId="7703" xr:uid="{00000000-0005-0000-0000-0000171E0000}"/>
    <cellStyle name="Comma 8 2 2 2" xfId="11543" xr:uid="{4451776D-93C9-48AF-8B78-B6812A6EDD7A}"/>
    <cellStyle name="Comma 8 2 3" xfId="10902" xr:uid="{64064BDF-4857-4BA7-A7AC-2769E41E467A}"/>
    <cellStyle name="Comma 8 3" xfId="7380" xr:uid="{00000000-0005-0000-0000-0000D41C0000}"/>
    <cellStyle name="Comma 8 3 2" xfId="11220" xr:uid="{01106331-A98F-47F4-8766-B7AEDD4BF67A}"/>
    <cellStyle name="Comma 8 4" xfId="10579" xr:uid="{2E9D17AD-0D56-4691-A88D-7C3EA9874F82}"/>
    <cellStyle name="Comma 9" xfId="6741" xr:uid="{00000000-0005-0000-0000-0000551A0000}"/>
    <cellStyle name="Comma 9 2" xfId="7064" xr:uid="{00000000-0005-0000-0000-0000981B0000}"/>
    <cellStyle name="Comma 9 2 2" xfId="7705" xr:uid="{00000000-0005-0000-0000-0000191E0000}"/>
    <cellStyle name="Comma 9 2 2 2" xfId="11545" xr:uid="{8DC7900B-75FE-4B0E-81AB-D2D2DD526EDA}"/>
    <cellStyle name="Comma 9 2 3" xfId="10904" xr:uid="{D853FFB3-28E4-4A52-9618-5382297B576F}"/>
    <cellStyle name="Comma 9 3" xfId="7382" xr:uid="{00000000-0005-0000-0000-0000D61C0000}"/>
    <cellStyle name="Comma 9 3 2" xfId="11222" xr:uid="{8A910997-C1BE-46FB-A27A-7AAF5EFA1CA4}"/>
    <cellStyle name="Comma 9 4" xfId="10581" xr:uid="{4420D498-E79A-4742-A0B6-3B18BFDF657F}"/>
    <cellStyle name="Comma_12matrix" xfId="1215" xr:uid="{00000000-0005-0000-0000-0000BF040000}"/>
    <cellStyle name="Comma0" xfId="1216" xr:uid="{00000000-0005-0000-0000-0000C0040000}"/>
    <cellStyle name="Comma0 10" xfId="3385" xr:uid="{00000000-0005-0000-0000-0000390D0000}"/>
    <cellStyle name="Comma0 2" xfId="1217" xr:uid="{00000000-0005-0000-0000-0000C1040000}"/>
    <cellStyle name="Comma0 2 2" xfId="1218" xr:uid="{00000000-0005-0000-0000-0000C2040000}"/>
    <cellStyle name="Comma0 2 2 2" xfId="4757" xr:uid="{00000000-0005-0000-0000-000095120000}"/>
    <cellStyle name="Comma0 2 3" xfId="1219" xr:uid="{00000000-0005-0000-0000-0000C3040000}"/>
    <cellStyle name="Comma0 2 3 2" xfId="4758" xr:uid="{00000000-0005-0000-0000-000096120000}"/>
    <cellStyle name="Comma0 2 4" xfId="1220" xr:uid="{00000000-0005-0000-0000-0000C4040000}"/>
    <cellStyle name="Comma0 2 4 2" xfId="4759" xr:uid="{00000000-0005-0000-0000-000097120000}"/>
    <cellStyle name="Comma0 2 5" xfId="1221" xr:uid="{00000000-0005-0000-0000-0000C5040000}"/>
    <cellStyle name="Comma0 2 5 2" xfId="4760" xr:uid="{00000000-0005-0000-0000-000098120000}"/>
    <cellStyle name="Comma0 2 6" xfId="1222" xr:uid="{00000000-0005-0000-0000-0000C6040000}"/>
    <cellStyle name="Comma0 2 6 2" xfId="4761" xr:uid="{00000000-0005-0000-0000-000099120000}"/>
    <cellStyle name="Comma0 2 7" xfId="1223" xr:uid="{00000000-0005-0000-0000-0000C7040000}"/>
    <cellStyle name="Comma0 2 8" xfId="1224" xr:uid="{00000000-0005-0000-0000-0000C8040000}"/>
    <cellStyle name="Comma0 3" xfId="1225" xr:uid="{00000000-0005-0000-0000-0000C9040000}"/>
    <cellStyle name="Comma0 3 2" xfId="1226" xr:uid="{00000000-0005-0000-0000-0000CA040000}"/>
    <cellStyle name="Comma0 3 2 2" xfId="4762" xr:uid="{00000000-0005-0000-0000-00009A120000}"/>
    <cellStyle name="Comma0 3 3" xfId="1227" xr:uid="{00000000-0005-0000-0000-0000CB040000}"/>
    <cellStyle name="Comma0 3 3 2" xfId="4763" xr:uid="{00000000-0005-0000-0000-00009B120000}"/>
    <cellStyle name="Comma0 3 4" xfId="1228" xr:uid="{00000000-0005-0000-0000-0000CC040000}"/>
    <cellStyle name="Comma0 3 4 2" xfId="4764" xr:uid="{00000000-0005-0000-0000-00009C120000}"/>
    <cellStyle name="Comma0 3 5" xfId="1229" xr:uid="{00000000-0005-0000-0000-0000CD040000}"/>
    <cellStyle name="Comma0 3 5 2" xfId="4765" xr:uid="{00000000-0005-0000-0000-00009D120000}"/>
    <cellStyle name="Comma0 3 6" xfId="1230" xr:uid="{00000000-0005-0000-0000-0000CE040000}"/>
    <cellStyle name="Comma0 3 6 2" xfId="4766" xr:uid="{00000000-0005-0000-0000-00009E120000}"/>
    <cellStyle name="Comma0 3 7" xfId="1231" xr:uid="{00000000-0005-0000-0000-0000CF040000}"/>
    <cellStyle name="Comma0 3 8" xfId="1232" xr:uid="{00000000-0005-0000-0000-0000D0040000}"/>
    <cellStyle name="Comma0 4" xfId="1233" xr:uid="{00000000-0005-0000-0000-0000D1040000}"/>
    <cellStyle name="Comma0 4 2" xfId="1234" xr:uid="{00000000-0005-0000-0000-0000D2040000}"/>
    <cellStyle name="Comma0 4 2 2" xfId="4767" xr:uid="{00000000-0005-0000-0000-00009F120000}"/>
    <cellStyle name="Comma0 4 3" xfId="1235" xr:uid="{00000000-0005-0000-0000-0000D3040000}"/>
    <cellStyle name="Comma0 4 3 2" xfId="4768" xr:uid="{00000000-0005-0000-0000-0000A0120000}"/>
    <cellStyle name="Comma0 4 4" xfId="1236" xr:uid="{00000000-0005-0000-0000-0000D4040000}"/>
    <cellStyle name="Comma0 4 4 2" xfId="4769" xr:uid="{00000000-0005-0000-0000-0000A1120000}"/>
    <cellStyle name="Comma0 4 5" xfId="1237" xr:uid="{00000000-0005-0000-0000-0000D5040000}"/>
    <cellStyle name="Comma0 4 5 2" xfId="4770" xr:uid="{00000000-0005-0000-0000-0000A2120000}"/>
    <cellStyle name="Comma0 4 6" xfId="1238" xr:uid="{00000000-0005-0000-0000-0000D6040000}"/>
    <cellStyle name="Comma0 4 6 2" xfId="4771" xr:uid="{00000000-0005-0000-0000-0000A3120000}"/>
    <cellStyle name="Comma0 4 7" xfId="1239" xr:uid="{00000000-0005-0000-0000-0000D7040000}"/>
    <cellStyle name="Comma0 4 8" xfId="1240" xr:uid="{00000000-0005-0000-0000-0000D8040000}"/>
    <cellStyle name="Comma0 5" xfId="3386" xr:uid="{00000000-0005-0000-0000-00003A0D0000}"/>
    <cellStyle name="Comma0 6" xfId="3387" xr:uid="{00000000-0005-0000-0000-00003B0D0000}"/>
    <cellStyle name="Comma0 7" xfId="3388" xr:uid="{00000000-0005-0000-0000-00003C0D0000}"/>
    <cellStyle name="Comma0 8" xfId="3389" xr:uid="{00000000-0005-0000-0000-00003D0D0000}"/>
    <cellStyle name="Comma0 9" xfId="3390" xr:uid="{00000000-0005-0000-0000-00003E0D0000}"/>
    <cellStyle name="ContentsHyperlink" xfId="3732" xr:uid="{00000000-0005-0000-0000-0000940E0000}"/>
    <cellStyle name="Currency" xfId="2" xr:uid="{00000000-0005-0000-0000-000002000000}"/>
    <cellStyle name="Currency [0]" xfId="3" xr:uid="{00000000-0005-0000-0000-000003000000}"/>
    <cellStyle name="Currency [0] 2" xfId="3783" xr:uid="{00000000-0005-0000-0000-0000C70E0000}"/>
    <cellStyle name="Currency 2" xfId="1241" xr:uid="{00000000-0005-0000-0000-0000D9040000}"/>
    <cellStyle name="Currency 2 2" xfId="1242" xr:uid="{00000000-0005-0000-0000-0000DA040000}"/>
    <cellStyle name="Currency 2 3" xfId="1243" xr:uid="{00000000-0005-0000-0000-0000DB040000}"/>
    <cellStyle name="Currency 2 4" xfId="1244" xr:uid="{00000000-0005-0000-0000-0000DC040000}"/>
    <cellStyle name="Currency 2 5" xfId="1245" xr:uid="{00000000-0005-0000-0000-0000DD040000}"/>
    <cellStyle name="Currency 2 6" xfId="1246" xr:uid="{00000000-0005-0000-0000-0000DE040000}"/>
    <cellStyle name="Currency 2 7" xfId="1247" xr:uid="{00000000-0005-0000-0000-0000DF040000}"/>
    <cellStyle name="Currency 2 8" xfId="1248" xr:uid="{00000000-0005-0000-0000-0000E0040000}"/>
    <cellStyle name="Currency 2_ActiFijos" xfId="1249" xr:uid="{00000000-0005-0000-0000-0000E1040000}"/>
    <cellStyle name="Currency 3" xfId="1250" xr:uid="{00000000-0005-0000-0000-0000E2040000}"/>
    <cellStyle name="Currency 3 2" xfId="1251" xr:uid="{00000000-0005-0000-0000-0000E3040000}"/>
    <cellStyle name="Currency 3 3" xfId="1252" xr:uid="{00000000-0005-0000-0000-0000E4040000}"/>
    <cellStyle name="Currency 3 4" xfId="1253" xr:uid="{00000000-0005-0000-0000-0000E5040000}"/>
    <cellStyle name="Currency 3 5" xfId="1254" xr:uid="{00000000-0005-0000-0000-0000E6040000}"/>
    <cellStyle name="Currency 3 6" xfId="1255" xr:uid="{00000000-0005-0000-0000-0000E7040000}"/>
    <cellStyle name="Currency 3 7" xfId="1256" xr:uid="{00000000-0005-0000-0000-0000E8040000}"/>
    <cellStyle name="Currency 3 8" xfId="1257" xr:uid="{00000000-0005-0000-0000-0000E9040000}"/>
    <cellStyle name="Currency 3_ActiFijos" xfId="1258" xr:uid="{00000000-0005-0000-0000-0000EA040000}"/>
    <cellStyle name="Currency 4" xfId="1259" xr:uid="{00000000-0005-0000-0000-0000EB040000}"/>
    <cellStyle name="Currency 4 2" xfId="1260" xr:uid="{00000000-0005-0000-0000-0000EC040000}"/>
    <cellStyle name="Currency 4 3" xfId="1261" xr:uid="{00000000-0005-0000-0000-0000ED040000}"/>
    <cellStyle name="Currency 4 4" xfId="1262" xr:uid="{00000000-0005-0000-0000-0000EE040000}"/>
    <cellStyle name="Currency 4 5" xfId="1263" xr:uid="{00000000-0005-0000-0000-0000EF040000}"/>
    <cellStyle name="Currency 4 6" xfId="1264" xr:uid="{00000000-0005-0000-0000-0000F0040000}"/>
    <cellStyle name="Currency 4 7" xfId="1265" xr:uid="{00000000-0005-0000-0000-0000F1040000}"/>
    <cellStyle name="Currency 4 8" xfId="1266" xr:uid="{00000000-0005-0000-0000-0000F2040000}"/>
    <cellStyle name="Currency 4_ActiFijos" xfId="1267" xr:uid="{00000000-0005-0000-0000-0000F3040000}"/>
    <cellStyle name="Currency_12matrix" xfId="1268" xr:uid="{00000000-0005-0000-0000-0000F4040000}"/>
    <cellStyle name="Currency0" xfId="1269" xr:uid="{00000000-0005-0000-0000-0000F5040000}"/>
    <cellStyle name="Currency0 10" xfId="1270" xr:uid="{00000000-0005-0000-0000-0000F6040000}"/>
    <cellStyle name="Currency0 10 2" xfId="4772" xr:uid="{00000000-0005-0000-0000-0000A4120000}"/>
    <cellStyle name="Currency0 10 2 2" xfId="9681" xr:uid="{3209BA22-4C47-4966-9EB0-4BA7F5559BA7}"/>
    <cellStyle name="Currency0 10 3" xfId="8157" xr:uid="{2EE6FAA8-64D3-4250-8197-DAE5C7A6FBAC}"/>
    <cellStyle name="Currency0 11" xfId="1271" xr:uid="{00000000-0005-0000-0000-0000F7040000}"/>
    <cellStyle name="Currency0 11 2" xfId="4773" xr:uid="{00000000-0005-0000-0000-0000A5120000}"/>
    <cellStyle name="Currency0 11 2 2" xfId="9682" xr:uid="{68174EF7-85FD-4542-9EF1-31A5E134DA49}"/>
    <cellStyle name="Currency0 11 3" xfId="8158" xr:uid="{B120401F-E09F-4997-BB8B-BD6668111A89}"/>
    <cellStyle name="Currency0 12" xfId="1272" xr:uid="{00000000-0005-0000-0000-0000F8040000}"/>
    <cellStyle name="Currency0 12 2" xfId="8159" xr:uid="{AAE21ECE-66F5-44EE-AEE0-3D3EB478B442}"/>
    <cellStyle name="Currency0 13" xfId="1273" xr:uid="{00000000-0005-0000-0000-0000F9040000}"/>
    <cellStyle name="Currency0 13 2" xfId="8160" xr:uid="{3EE1DB05-5C0F-432A-BC79-9E60C80DA646}"/>
    <cellStyle name="Currency0 14" xfId="8156" xr:uid="{CF25421E-1C00-4B06-A86C-FDD2BF5A463E}"/>
    <cellStyle name="Currency0 2" xfId="1274" xr:uid="{00000000-0005-0000-0000-0000FA040000}"/>
    <cellStyle name="Currency0 2 2" xfId="1275" xr:uid="{00000000-0005-0000-0000-0000FB040000}"/>
    <cellStyle name="Currency0 2 2 2" xfId="4774" xr:uid="{00000000-0005-0000-0000-0000A6120000}"/>
    <cellStyle name="Currency0 2 2 2 2" xfId="9683" xr:uid="{B2690475-A944-4A03-BC6D-4F8403873D3F}"/>
    <cellStyle name="Currency0 2 2 3" xfId="8162" xr:uid="{9C51CCA5-8431-415A-98EC-0BCDC2002DAF}"/>
    <cellStyle name="Currency0 2 3" xfId="1276" xr:uid="{00000000-0005-0000-0000-0000FC040000}"/>
    <cellStyle name="Currency0 2 3 2" xfId="4775" xr:uid="{00000000-0005-0000-0000-0000A7120000}"/>
    <cellStyle name="Currency0 2 3 2 2" xfId="9684" xr:uid="{B3CDA5F9-3CB6-4055-ABBB-D34CE40E75F3}"/>
    <cellStyle name="Currency0 2 3 3" xfId="8163" xr:uid="{CA69F6B7-2D41-4D6C-951A-2EA008B74BF3}"/>
    <cellStyle name="Currency0 2 4" xfId="1277" xr:uid="{00000000-0005-0000-0000-0000FD040000}"/>
    <cellStyle name="Currency0 2 4 2" xfId="4776" xr:uid="{00000000-0005-0000-0000-0000A8120000}"/>
    <cellStyle name="Currency0 2 4 2 2" xfId="9685" xr:uid="{F10E0DAC-FF74-476D-936E-CA9AA000BB13}"/>
    <cellStyle name="Currency0 2 4 3" xfId="8164" xr:uid="{24EE8454-9A0F-4D2E-9671-7815B2DB4B95}"/>
    <cellStyle name="Currency0 2 5" xfId="1278" xr:uid="{00000000-0005-0000-0000-0000FE040000}"/>
    <cellStyle name="Currency0 2 5 2" xfId="4777" xr:uid="{00000000-0005-0000-0000-0000A9120000}"/>
    <cellStyle name="Currency0 2 5 2 2" xfId="9686" xr:uid="{8D664FF8-5E5B-480A-B60E-1FCADC24B139}"/>
    <cellStyle name="Currency0 2 5 3" xfId="8165" xr:uid="{C5EBEDDD-0F6B-4C1B-8C90-F2B656F767E5}"/>
    <cellStyle name="Currency0 2 6" xfId="1279" xr:uid="{00000000-0005-0000-0000-0000FF040000}"/>
    <cellStyle name="Currency0 2 6 2" xfId="4778" xr:uid="{00000000-0005-0000-0000-0000AA120000}"/>
    <cellStyle name="Currency0 2 6 2 2" xfId="9687" xr:uid="{86B1A27B-1C89-4923-B184-AB378AA52932}"/>
    <cellStyle name="Currency0 2 6 3" xfId="8166" xr:uid="{F60D3E21-611D-48DB-AA78-EE971293B838}"/>
    <cellStyle name="Currency0 2 7" xfId="1280" xr:uid="{00000000-0005-0000-0000-000000050000}"/>
    <cellStyle name="Currency0 2 7 2" xfId="8167" xr:uid="{CD48491F-D992-42D1-BB24-72D31C8B622A}"/>
    <cellStyle name="Currency0 2 8" xfId="1281" xr:uid="{00000000-0005-0000-0000-000001050000}"/>
    <cellStyle name="Currency0 2 8 2" xfId="8168" xr:uid="{E9A0BADB-0EB8-4E19-894A-3639D35B028C}"/>
    <cellStyle name="Currency0 2 9" xfId="8161" xr:uid="{578B3FF7-486D-4132-A4A2-173BF23C8F70}"/>
    <cellStyle name="Currency0 3" xfId="1282" xr:uid="{00000000-0005-0000-0000-000002050000}"/>
    <cellStyle name="Currency0 3 2" xfId="1283" xr:uid="{00000000-0005-0000-0000-000003050000}"/>
    <cellStyle name="Currency0 3 2 2" xfId="4779" xr:uid="{00000000-0005-0000-0000-0000AB120000}"/>
    <cellStyle name="Currency0 3 2 2 2" xfId="9688" xr:uid="{A9821A56-A287-4155-AB10-141CF787BDD9}"/>
    <cellStyle name="Currency0 3 2 3" xfId="8170" xr:uid="{13FD50B2-6089-47B8-9F87-C3D581E65BDF}"/>
    <cellStyle name="Currency0 3 3" xfId="1284" xr:uid="{00000000-0005-0000-0000-000004050000}"/>
    <cellStyle name="Currency0 3 3 2" xfId="4780" xr:uid="{00000000-0005-0000-0000-0000AC120000}"/>
    <cellStyle name="Currency0 3 3 2 2" xfId="9689" xr:uid="{674D0C72-7D82-4E50-B464-B9F3777AB008}"/>
    <cellStyle name="Currency0 3 3 3" xfId="8171" xr:uid="{8CCF47E6-25CB-4B94-B59C-B34CF0DE760B}"/>
    <cellStyle name="Currency0 3 4" xfId="1285" xr:uid="{00000000-0005-0000-0000-000005050000}"/>
    <cellStyle name="Currency0 3 4 2" xfId="4781" xr:uid="{00000000-0005-0000-0000-0000AD120000}"/>
    <cellStyle name="Currency0 3 4 2 2" xfId="9690" xr:uid="{749A8F2A-83E5-4AB0-99DD-18B59D6ECC3E}"/>
    <cellStyle name="Currency0 3 4 3" xfId="8172" xr:uid="{5480F3C3-D11F-4175-8F5D-7FFB382EE008}"/>
    <cellStyle name="Currency0 3 5" xfId="1286" xr:uid="{00000000-0005-0000-0000-000006050000}"/>
    <cellStyle name="Currency0 3 5 2" xfId="4782" xr:uid="{00000000-0005-0000-0000-0000AE120000}"/>
    <cellStyle name="Currency0 3 5 2 2" xfId="9691" xr:uid="{0A5F25A4-A92E-4D3F-ADD8-8323F7D3C560}"/>
    <cellStyle name="Currency0 3 5 3" xfId="8173" xr:uid="{100C1F82-C5BB-415A-A8B3-B5FA2ED2AB46}"/>
    <cellStyle name="Currency0 3 6" xfId="1287" xr:uid="{00000000-0005-0000-0000-000007050000}"/>
    <cellStyle name="Currency0 3 6 2" xfId="4783" xr:uid="{00000000-0005-0000-0000-0000AF120000}"/>
    <cellStyle name="Currency0 3 6 2 2" xfId="9692" xr:uid="{8E48B33D-D56D-4996-80D7-16D58E1641FC}"/>
    <cellStyle name="Currency0 3 6 3" xfId="8174" xr:uid="{255DC9E7-13F3-481D-8CB1-75191987B4C3}"/>
    <cellStyle name="Currency0 3 7" xfId="1288" xr:uid="{00000000-0005-0000-0000-000008050000}"/>
    <cellStyle name="Currency0 3 7 2" xfId="8175" xr:uid="{B0F85909-52AF-4BF1-A9B4-2DA408A53341}"/>
    <cellStyle name="Currency0 3 8" xfId="1289" xr:uid="{00000000-0005-0000-0000-000009050000}"/>
    <cellStyle name="Currency0 3 8 2" xfId="8176" xr:uid="{5531161E-C414-4971-B6B9-3505E67C6529}"/>
    <cellStyle name="Currency0 3 9" xfId="8169" xr:uid="{8C0FB2C0-114D-468C-9BD4-4AAC13210FD2}"/>
    <cellStyle name="Currency0 4" xfId="1290" xr:uid="{00000000-0005-0000-0000-00000A050000}"/>
    <cellStyle name="Currency0 4 2" xfId="1291" xr:uid="{00000000-0005-0000-0000-00000B050000}"/>
    <cellStyle name="Currency0 4 2 2" xfId="4784" xr:uid="{00000000-0005-0000-0000-0000B0120000}"/>
    <cellStyle name="Currency0 4 2 2 2" xfId="9693" xr:uid="{BD8E511C-A56E-41D8-9507-04F311314ECB}"/>
    <cellStyle name="Currency0 4 2 3" xfId="8178" xr:uid="{C4BED20D-7CF2-43C8-9299-D59CEE495BCC}"/>
    <cellStyle name="Currency0 4 3" xfId="1292" xr:uid="{00000000-0005-0000-0000-00000C050000}"/>
    <cellStyle name="Currency0 4 3 2" xfId="4785" xr:uid="{00000000-0005-0000-0000-0000B1120000}"/>
    <cellStyle name="Currency0 4 3 2 2" xfId="9694" xr:uid="{15E8127D-538B-4433-8F39-83308CC4ACF1}"/>
    <cellStyle name="Currency0 4 3 3" xfId="8179" xr:uid="{2789FB91-3861-4ED0-9CDD-F6BD5251F465}"/>
    <cellStyle name="Currency0 4 4" xfId="1293" xr:uid="{00000000-0005-0000-0000-00000D050000}"/>
    <cellStyle name="Currency0 4 4 2" xfId="4786" xr:uid="{00000000-0005-0000-0000-0000B2120000}"/>
    <cellStyle name="Currency0 4 4 2 2" xfId="9695" xr:uid="{9E27B61F-DF7F-4511-A506-271B1286A37D}"/>
    <cellStyle name="Currency0 4 4 3" xfId="8180" xr:uid="{8BE98B0D-108C-4AFB-9F52-E5C82DACCA4C}"/>
    <cellStyle name="Currency0 4 5" xfId="1294" xr:uid="{00000000-0005-0000-0000-00000E050000}"/>
    <cellStyle name="Currency0 4 5 2" xfId="4787" xr:uid="{00000000-0005-0000-0000-0000B3120000}"/>
    <cellStyle name="Currency0 4 5 2 2" xfId="9696" xr:uid="{7362D588-62C8-4981-A528-02BC0FCA18EA}"/>
    <cellStyle name="Currency0 4 5 3" xfId="8181" xr:uid="{EC19AA70-AC39-430E-B8FA-E00DD5ABBB0E}"/>
    <cellStyle name="Currency0 4 6" xfId="1295" xr:uid="{00000000-0005-0000-0000-00000F050000}"/>
    <cellStyle name="Currency0 4 6 2" xfId="4788" xr:uid="{00000000-0005-0000-0000-0000B4120000}"/>
    <cellStyle name="Currency0 4 6 2 2" xfId="9697" xr:uid="{9111DE49-F9E6-4615-B5DF-E63B92B63FA5}"/>
    <cellStyle name="Currency0 4 6 3" xfId="8182" xr:uid="{04656B93-5C03-41AB-A4AE-509CED6F235C}"/>
    <cellStyle name="Currency0 4 7" xfId="1296" xr:uid="{00000000-0005-0000-0000-000010050000}"/>
    <cellStyle name="Currency0 4 7 2" xfId="8183" xr:uid="{05BD8CAF-88CD-48E5-BE47-FC5C02AAAD56}"/>
    <cellStyle name="Currency0 4 8" xfId="1297" xr:uid="{00000000-0005-0000-0000-000011050000}"/>
    <cellStyle name="Currency0 4 8 2" xfId="8184" xr:uid="{5040B34C-DF5A-437F-8465-9AB5204AAB1B}"/>
    <cellStyle name="Currency0 4 9" xfId="8177" xr:uid="{AD1A0090-E268-49AB-A486-F058B23534E0}"/>
    <cellStyle name="Currency0 5" xfId="1298" xr:uid="{00000000-0005-0000-0000-000012050000}"/>
    <cellStyle name="Currency0 5 2" xfId="4789" xr:uid="{00000000-0005-0000-0000-0000B5120000}"/>
    <cellStyle name="Currency0 5 2 2" xfId="9698" xr:uid="{1ABC3570-6F06-4FF7-83DE-A4E9C019F8A0}"/>
    <cellStyle name="Currency0 5 3" xfId="8185" xr:uid="{4B479FC0-5B23-4DA7-840D-615A1F57DFD0}"/>
    <cellStyle name="Currency0 6" xfId="1299" xr:uid="{00000000-0005-0000-0000-000013050000}"/>
    <cellStyle name="Currency0 6 2" xfId="4790" xr:uid="{00000000-0005-0000-0000-0000B6120000}"/>
    <cellStyle name="Currency0 6 2 2" xfId="9699" xr:uid="{B8DB9F23-1883-4F93-978D-89257E58DA64}"/>
    <cellStyle name="Currency0 6 3" xfId="8186" xr:uid="{72E6493D-39EE-41D7-AE79-3D586E64D4EA}"/>
    <cellStyle name="Currency0 7" xfId="1300" xr:uid="{00000000-0005-0000-0000-000014050000}"/>
    <cellStyle name="Currency0 7 2" xfId="4791" xr:uid="{00000000-0005-0000-0000-0000B7120000}"/>
    <cellStyle name="Currency0 7 2 2" xfId="9700" xr:uid="{8BDB80B6-E85D-4493-AA89-5A8D1048DA19}"/>
    <cellStyle name="Currency0 7 3" xfId="8187" xr:uid="{7C993532-6F00-4CBA-B249-E2D5D56EB66A}"/>
    <cellStyle name="Currency0 8" xfId="1301" xr:uid="{00000000-0005-0000-0000-000015050000}"/>
    <cellStyle name="Currency0 8 2" xfId="4792" xr:uid="{00000000-0005-0000-0000-0000B8120000}"/>
    <cellStyle name="Currency0 8 2 2" xfId="9701" xr:uid="{B502023A-514F-4489-83DC-73F0265705D6}"/>
    <cellStyle name="Currency0 8 3" xfId="8188" xr:uid="{96628B4F-CC05-447D-B1F3-34D8CD48596D}"/>
    <cellStyle name="Currency0 9" xfId="1302" xr:uid="{00000000-0005-0000-0000-000016050000}"/>
    <cellStyle name="Currency0 9 2" xfId="4793" xr:uid="{00000000-0005-0000-0000-0000B9120000}"/>
    <cellStyle name="Currency0 9 2 2" xfId="9702" xr:uid="{60A73500-873B-4776-AABB-191F5CF09DA1}"/>
    <cellStyle name="Currency0 9 3" xfId="8189" xr:uid="{CA18B66F-B134-4DCD-B49A-AF4ABE2444F8}"/>
    <cellStyle name="Currency0_Cuadros Excel  kilometros 2008" xfId="1303" xr:uid="{00000000-0005-0000-0000-000017050000}"/>
    <cellStyle name="Date" xfId="1304" xr:uid="{00000000-0005-0000-0000-000018050000}"/>
    <cellStyle name="Date 10" xfId="1305" xr:uid="{00000000-0005-0000-0000-000019050000}"/>
    <cellStyle name="Date 10 2" xfId="4794" xr:uid="{00000000-0005-0000-0000-0000BA120000}"/>
    <cellStyle name="Date 10 2 2" xfId="9703" xr:uid="{29F14E60-A1BB-48C5-8633-B94D87A7374C}"/>
    <cellStyle name="Date 10 3" xfId="8191" xr:uid="{9203F7C0-4E6B-4A29-BA83-06E4C3B32F3F}"/>
    <cellStyle name="Date 11" xfId="1306" xr:uid="{00000000-0005-0000-0000-00001A050000}"/>
    <cellStyle name="Date 11 2" xfId="4795" xr:uid="{00000000-0005-0000-0000-0000BB120000}"/>
    <cellStyle name="Date 11 2 2" xfId="9704" xr:uid="{6971CC2F-439E-424D-A54B-AFF26B76F846}"/>
    <cellStyle name="Date 11 3" xfId="8192" xr:uid="{9EF714C3-094A-45EF-A456-3BFC871747E1}"/>
    <cellStyle name="Date 12" xfId="1307" xr:uid="{00000000-0005-0000-0000-00001B050000}"/>
    <cellStyle name="Date 12 2" xfId="8193" xr:uid="{62BC8BD5-65EC-44ED-9357-1D80B2713FF3}"/>
    <cellStyle name="Date 13" xfId="1308" xr:uid="{00000000-0005-0000-0000-00001C050000}"/>
    <cellStyle name="Date 13 2" xfId="8194" xr:uid="{0064B518-5EFE-4649-81AD-585D72F0D146}"/>
    <cellStyle name="Date 14" xfId="8190" xr:uid="{C1AB80A0-7278-42C3-A02B-B5BBE29A4571}"/>
    <cellStyle name="Date 2" xfId="1309" xr:uid="{00000000-0005-0000-0000-00001D050000}"/>
    <cellStyle name="Date 2 2" xfId="1310" xr:uid="{00000000-0005-0000-0000-00001E050000}"/>
    <cellStyle name="Date 2 2 2" xfId="4796" xr:uid="{00000000-0005-0000-0000-0000BC120000}"/>
    <cellStyle name="Date 2 2 2 2" xfId="9705" xr:uid="{8FF56507-E28E-4311-9C3D-280F6DA30EAD}"/>
    <cellStyle name="Date 2 2 3" xfId="8196" xr:uid="{42D35D55-F7FB-44F9-B49D-FD6A62F4DC8B}"/>
    <cellStyle name="Date 2 3" xfId="1311" xr:uid="{00000000-0005-0000-0000-00001F050000}"/>
    <cellStyle name="Date 2 3 2" xfId="4797" xr:uid="{00000000-0005-0000-0000-0000BD120000}"/>
    <cellStyle name="Date 2 3 2 2" xfId="9706" xr:uid="{68C19053-3E04-4B2C-8C89-2F161D7718CD}"/>
    <cellStyle name="Date 2 3 3" xfId="8197" xr:uid="{5047A416-628F-4EB0-B36A-D0C7A34C5A44}"/>
    <cellStyle name="Date 2 4" xfId="1312" xr:uid="{00000000-0005-0000-0000-000020050000}"/>
    <cellStyle name="Date 2 4 2" xfId="4798" xr:uid="{00000000-0005-0000-0000-0000BE120000}"/>
    <cellStyle name="Date 2 4 2 2" xfId="9707" xr:uid="{2F03379B-A96A-4014-8C42-E16B1ED9FB67}"/>
    <cellStyle name="Date 2 4 3" xfId="8198" xr:uid="{CBA1C916-8F3A-4246-98D2-6B78D8930126}"/>
    <cellStyle name="Date 2 5" xfId="1313" xr:uid="{00000000-0005-0000-0000-000021050000}"/>
    <cellStyle name="Date 2 5 2" xfId="4799" xr:uid="{00000000-0005-0000-0000-0000BF120000}"/>
    <cellStyle name="Date 2 5 2 2" xfId="9708" xr:uid="{58892FBF-C48B-436C-8070-286088862F8E}"/>
    <cellStyle name="Date 2 5 3" xfId="8199" xr:uid="{842922A8-DBA8-4479-85D8-CFAB2A8A83C4}"/>
    <cellStyle name="Date 2 6" xfId="1314" xr:uid="{00000000-0005-0000-0000-000022050000}"/>
    <cellStyle name="Date 2 6 2" xfId="4800" xr:uid="{00000000-0005-0000-0000-0000C0120000}"/>
    <cellStyle name="Date 2 6 2 2" xfId="9709" xr:uid="{AD1374BA-A350-4731-BCD5-AE938ACA40F3}"/>
    <cellStyle name="Date 2 6 3" xfId="8200" xr:uid="{21B8E925-0757-4F37-B9C8-94D519AC11B6}"/>
    <cellStyle name="Date 2 7" xfId="1315" xr:uid="{00000000-0005-0000-0000-000023050000}"/>
    <cellStyle name="Date 2 7 2" xfId="8201" xr:uid="{5428DB57-8DA2-4F1D-93C8-DD8BD443EEA4}"/>
    <cellStyle name="Date 2 8" xfId="1316" xr:uid="{00000000-0005-0000-0000-000024050000}"/>
    <cellStyle name="Date 2 8 2" xfId="8202" xr:uid="{AF724395-6340-4215-B2D6-D4C93DF976A1}"/>
    <cellStyle name="Date 2 9" xfId="8195" xr:uid="{C3C7D195-FFDA-40AD-9E0C-8C977746DDA7}"/>
    <cellStyle name="Date 3" xfId="1317" xr:uid="{00000000-0005-0000-0000-000025050000}"/>
    <cellStyle name="Date 3 2" xfId="1318" xr:uid="{00000000-0005-0000-0000-000026050000}"/>
    <cellStyle name="Date 3 2 2" xfId="4801" xr:uid="{00000000-0005-0000-0000-0000C1120000}"/>
    <cellStyle name="Date 3 2 2 2" xfId="9710" xr:uid="{552BAEBF-EC0C-4502-B740-8FF8FB27C517}"/>
    <cellStyle name="Date 3 2 3" xfId="8204" xr:uid="{3D34430D-824C-48BC-B18B-DC72FB91F786}"/>
    <cellStyle name="Date 3 3" xfId="1319" xr:uid="{00000000-0005-0000-0000-000027050000}"/>
    <cellStyle name="Date 3 3 2" xfId="4802" xr:uid="{00000000-0005-0000-0000-0000C2120000}"/>
    <cellStyle name="Date 3 3 2 2" xfId="9711" xr:uid="{1B4F9698-BCAB-4311-86C7-7174FBAB54C9}"/>
    <cellStyle name="Date 3 3 3" xfId="8205" xr:uid="{83D14DD6-9C83-48C5-8E1E-AEDC29F46E22}"/>
    <cellStyle name="Date 3 4" xfId="1320" xr:uid="{00000000-0005-0000-0000-000028050000}"/>
    <cellStyle name="Date 3 4 2" xfId="4803" xr:uid="{00000000-0005-0000-0000-0000C3120000}"/>
    <cellStyle name="Date 3 4 2 2" xfId="9712" xr:uid="{EE6672C4-DE02-4E3D-964C-F510112435EA}"/>
    <cellStyle name="Date 3 4 3" xfId="8206" xr:uid="{24588388-9BA7-4768-8ACE-1615326EDD9F}"/>
    <cellStyle name="Date 3 5" xfId="1321" xr:uid="{00000000-0005-0000-0000-000029050000}"/>
    <cellStyle name="Date 3 5 2" xfId="4804" xr:uid="{00000000-0005-0000-0000-0000C4120000}"/>
    <cellStyle name="Date 3 5 2 2" xfId="9713" xr:uid="{0E35E359-627B-47E8-BB34-97FA87665878}"/>
    <cellStyle name="Date 3 5 3" xfId="8207" xr:uid="{E5A4A5BB-1C5E-4BB6-889D-155810D5B527}"/>
    <cellStyle name="Date 3 6" xfId="1322" xr:uid="{00000000-0005-0000-0000-00002A050000}"/>
    <cellStyle name="Date 3 6 2" xfId="4805" xr:uid="{00000000-0005-0000-0000-0000C5120000}"/>
    <cellStyle name="Date 3 6 2 2" xfId="9714" xr:uid="{8A8472A6-4C88-4748-AB00-9D5F6D5ADB24}"/>
    <cellStyle name="Date 3 6 3" xfId="8208" xr:uid="{286D1EC9-94FF-4D6D-A383-0B11B43BCED5}"/>
    <cellStyle name="Date 3 7" xfId="1323" xr:uid="{00000000-0005-0000-0000-00002B050000}"/>
    <cellStyle name="Date 3 7 2" xfId="8209" xr:uid="{0B515590-D9A6-4C42-8486-E7EFB6AB66DC}"/>
    <cellStyle name="Date 3 8" xfId="1324" xr:uid="{00000000-0005-0000-0000-00002C050000}"/>
    <cellStyle name="Date 3 8 2" xfId="8210" xr:uid="{CD244092-3EF9-4327-8571-A6734F8D0362}"/>
    <cellStyle name="Date 3 9" xfId="8203" xr:uid="{BD3EB4BA-D259-40AE-90C5-97B6B1294645}"/>
    <cellStyle name="Date 4" xfId="1325" xr:uid="{00000000-0005-0000-0000-00002D050000}"/>
    <cellStyle name="Date 4 2" xfId="1326" xr:uid="{00000000-0005-0000-0000-00002E050000}"/>
    <cellStyle name="Date 4 2 2" xfId="4806" xr:uid="{00000000-0005-0000-0000-0000C6120000}"/>
    <cellStyle name="Date 4 2 2 2" xfId="9715" xr:uid="{9A6C61A3-A054-4956-B1AC-2C1FF36A67FF}"/>
    <cellStyle name="Date 4 2 3" xfId="8212" xr:uid="{D7220CB9-6732-45C1-8BA2-164E989EC94C}"/>
    <cellStyle name="Date 4 3" xfId="1327" xr:uid="{00000000-0005-0000-0000-00002F050000}"/>
    <cellStyle name="Date 4 3 2" xfId="4807" xr:uid="{00000000-0005-0000-0000-0000C7120000}"/>
    <cellStyle name="Date 4 3 2 2" xfId="9716" xr:uid="{C610B367-0EB0-44D6-B98F-CCEA0EC9EE0D}"/>
    <cellStyle name="Date 4 3 3" xfId="8213" xr:uid="{E2BE2DF8-A3C9-44C5-A1B9-38935072476C}"/>
    <cellStyle name="Date 4 4" xfId="1328" xr:uid="{00000000-0005-0000-0000-000030050000}"/>
    <cellStyle name="Date 4 4 2" xfId="4808" xr:uid="{00000000-0005-0000-0000-0000C8120000}"/>
    <cellStyle name="Date 4 4 2 2" xfId="9717" xr:uid="{F8771D54-35EE-4D95-88F2-612E2E8A8A7C}"/>
    <cellStyle name="Date 4 4 3" xfId="8214" xr:uid="{ED642DB1-96DA-441D-8A4C-BB2C8612C5C2}"/>
    <cellStyle name="Date 4 5" xfId="1329" xr:uid="{00000000-0005-0000-0000-000031050000}"/>
    <cellStyle name="Date 4 5 2" xfId="4809" xr:uid="{00000000-0005-0000-0000-0000C9120000}"/>
    <cellStyle name="Date 4 5 2 2" xfId="9718" xr:uid="{A223B2B0-1504-453B-B7C9-F0C3C410CB8C}"/>
    <cellStyle name="Date 4 5 3" xfId="8215" xr:uid="{4D4076F3-3D49-4F2F-9FAB-F00EA2CE76FF}"/>
    <cellStyle name="Date 4 6" xfId="1330" xr:uid="{00000000-0005-0000-0000-000032050000}"/>
    <cellStyle name="Date 4 6 2" xfId="4810" xr:uid="{00000000-0005-0000-0000-0000CA120000}"/>
    <cellStyle name="Date 4 6 2 2" xfId="9719" xr:uid="{B65A2B77-9E6E-4917-B347-CFB104682A95}"/>
    <cellStyle name="Date 4 6 3" xfId="8216" xr:uid="{633F1BF5-E5BB-427F-A0D4-1D5F041BA238}"/>
    <cellStyle name="Date 4 7" xfId="1331" xr:uid="{00000000-0005-0000-0000-000033050000}"/>
    <cellStyle name="Date 4 7 2" xfId="8217" xr:uid="{3033577D-C710-4751-8F94-F8B00D28EE3A}"/>
    <cellStyle name="Date 4 8" xfId="1332" xr:uid="{00000000-0005-0000-0000-000034050000}"/>
    <cellStyle name="Date 4 8 2" xfId="8218" xr:uid="{4BB03AA4-48D2-46BD-83C9-DB1A5B60126D}"/>
    <cellStyle name="Date 4 9" xfId="8211" xr:uid="{13EBEC65-BAEC-4329-8097-E520569B24B9}"/>
    <cellStyle name="Date 5" xfId="1333" xr:uid="{00000000-0005-0000-0000-000035050000}"/>
    <cellStyle name="Date 5 2" xfId="4811" xr:uid="{00000000-0005-0000-0000-0000CB120000}"/>
    <cellStyle name="Date 5 2 2" xfId="9720" xr:uid="{9E95F5CB-7569-4550-96FB-AA927990A699}"/>
    <cellStyle name="Date 5 3" xfId="8219" xr:uid="{4256D7CD-E13E-4601-8A65-811E81706139}"/>
    <cellStyle name="Date 6" xfId="1334" xr:uid="{00000000-0005-0000-0000-000036050000}"/>
    <cellStyle name="Date 6 2" xfId="4812" xr:uid="{00000000-0005-0000-0000-0000CC120000}"/>
    <cellStyle name="Date 6 2 2" xfId="9721" xr:uid="{C49A7190-5C52-4055-8743-5664D4B6E9D8}"/>
    <cellStyle name="Date 6 3" xfId="8220" xr:uid="{84C3365F-DEF6-41F1-964F-1F00CE110966}"/>
    <cellStyle name="Date 7" xfId="1335" xr:uid="{00000000-0005-0000-0000-000037050000}"/>
    <cellStyle name="Date 7 2" xfId="4813" xr:uid="{00000000-0005-0000-0000-0000CD120000}"/>
    <cellStyle name="Date 7 2 2" xfId="9722" xr:uid="{A71FBA26-2406-4225-B191-C014FC101E5B}"/>
    <cellStyle name="Date 7 3" xfId="8221" xr:uid="{23332A85-433D-45FF-9C21-C28D331DDA7A}"/>
    <cellStyle name="Date 8" xfId="1336" xr:uid="{00000000-0005-0000-0000-000038050000}"/>
    <cellStyle name="Date 8 2" xfId="4814" xr:uid="{00000000-0005-0000-0000-0000CE120000}"/>
    <cellStyle name="Date 8 2 2" xfId="9723" xr:uid="{5AFB785D-64C9-488C-A112-387F71C511E9}"/>
    <cellStyle name="Date 8 3" xfId="8222" xr:uid="{C5D60797-123E-4BF3-81BD-ADD308B29343}"/>
    <cellStyle name="Date 9" xfId="1337" xr:uid="{00000000-0005-0000-0000-000039050000}"/>
    <cellStyle name="Date 9 2" xfId="4815" xr:uid="{00000000-0005-0000-0000-0000CF120000}"/>
    <cellStyle name="Date 9 2 2" xfId="9724" xr:uid="{C8AADCFD-813D-4EF2-A1D7-A6B0BA30BC1F}"/>
    <cellStyle name="Date 9 3" xfId="8223" xr:uid="{01E87525-6E28-4F98-BD13-28B152A44267}"/>
    <cellStyle name="Dia" xfId="3391" xr:uid="{00000000-0005-0000-0000-00003F0D0000}"/>
    <cellStyle name="Encabez1" xfId="3392" xr:uid="{00000000-0005-0000-0000-0000400D0000}"/>
    <cellStyle name="Encabez2" xfId="3393" xr:uid="{00000000-0005-0000-0000-0000410D0000}"/>
    <cellStyle name="Encabezado 4 10" xfId="4816" xr:uid="{00000000-0005-0000-0000-0000D0120000}"/>
    <cellStyle name="Encabezado 4 10 2" xfId="4817" xr:uid="{00000000-0005-0000-0000-0000D1120000}"/>
    <cellStyle name="Encabezado 4 11" xfId="4818" xr:uid="{00000000-0005-0000-0000-0000D2120000}"/>
    <cellStyle name="Encabezado 4 11 2" xfId="4819" xr:uid="{00000000-0005-0000-0000-0000D3120000}"/>
    <cellStyle name="Encabezado 4 12" xfId="4820" xr:uid="{00000000-0005-0000-0000-0000D4120000}"/>
    <cellStyle name="Encabezado 4 12 2" xfId="4821" xr:uid="{00000000-0005-0000-0000-0000D5120000}"/>
    <cellStyle name="Encabezado 4 13" xfId="4822" xr:uid="{00000000-0005-0000-0000-0000D6120000}"/>
    <cellStyle name="Encabezado 4 13 2" xfId="4823" xr:uid="{00000000-0005-0000-0000-0000D7120000}"/>
    <cellStyle name="Encabezado 4 14" xfId="4824" xr:uid="{00000000-0005-0000-0000-0000D8120000}"/>
    <cellStyle name="Encabezado 4 14 2" xfId="4825" xr:uid="{00000000-0005-0000-0000-0000D9120000}"/>
    <cellStyle name="Encabezado 4 15" xfId="4826" xr:uid="{00000000-0005-0000-0000-0000DA120000}"/>
    <cellStyle name="Encabezado 4 2" xfId="3394" xr:uid="{00000000-0005-0000-0000-0000420D0000}"/>
    <cellStyle name="Encabezado 4 2 2" xfId="4827" xr:uid="{00000000-0005-0000-0000-0000DB120000}"/>
    <cellStyle name="Encabezado 4 2 3" xfId="4828" xr:uid="{00000000-0005-0000-0000-0000DC120000}"/>
    <cellStyle name="Encabezado 4 2 4" xfId="4829" xr:uid="{00000000-0005-0000-0000-0000DD120000}"/>
    <cellStyle name="Encabezado 4 3" xfId="3395" xr:uid="{00000000-0005-0000-0000-0000430D0000}"/>
    <cellStyle name="Encabezado 4 3 2" xfId="4830" xr:uid="{00000000-0005-0000-0000-0000DE120000}"/>
    <cellStyle name="Encabezado 4 3 3" xfId="4831" xr:uid="{00000000-0005-0000-0000-0000DF120000}"/>
    <cellStyle name="Encabezado 4 4" xfId="4832" xr:uid="{00000000-0005-0000-0000-0000E0120000}"/>
    <cellStyle name="Encabezado 4 4 2" xfId="4833" xr:uid="{00000000-0005-0000-0000-0000E1120000}"/>
    <cellStyle name="Encabezado 4 4 3" xfId="4834" xr:uid="{00000000-0005-0000-0000-0000E2120000}"/>
    <cellStyle name="Encabezado 4 5" xfId="4835" xr:uid="{00000000-0005-0000-0000-0000E3120000}"/>
    <cellStyle name="Encabezado 4 6" xfId="4836" xr:uid="{00000000-0005-0000-0000-0000E4120000}"/>
    <cellStyle name="Encabezado 4 7" xfId="4837" xr:uid="{00000000-0005-0000-0000-0000E5120000}"/>
    <cellStyle name="Encabezado 4 8" xfId="4838" xr:uid="{00000000-0005-0000-0000-0000E6120000}"/>
    <cellStyle name="Encabezado 4 9" xfId="4839" xr:uid="{00000000-0005-0000-0000-0000E7120000}"/>
    <cellStyle name="Ênfase1" xfId="1338" xr:uid="{00000000-0005-0000-0000-00003A050000}"/>
    <cellStyle name="Ênfase1 2" xfId="8224" xr:uid="{231F6693-2BA1-4349-9092-C717296AB318}"/>
    <cellStyle name="Ênfase2" xfId="1339" xr:uid="{00000000-0005-0000-0000-00003B050000}"/>
    <cellStyle name="Ênfase2 2" xfId="8225" xr:uid="{4274076B-3389-4F43-A27D-556CE374CDE5}"/>
    <cellStyle name="Ênfase3" xfId="1340" xr:uid="{00000000-0005-0000-0000-00003C050000}"/>
    <cellStyle name="Ênfase3 2" xfId="8226" xr:uid="{BEAF903E-5EDD-43A3-AFE7-66C94FDE5B93}"/>
    <cellStyle name="Ênfase4" xfId="1341" xr:uid="{00000000-0005-0000-0000-00003D050000}"/>
    <cellStyle name="Ênfase4 2" xfId="8227" xr:uid="{37CDBB04-FDA5-485A-8A67-36F81614411F}"/>
    <cellStyle name="Ênfase5" xfId="1342" xr:uid="{00000000-0005-0000-0000-00003E050000}"/>
    <cellStyle name="Ênfase5 2" xfId="8228" xr:uid="{6443A1AD-EB2D-43CA-BEB5-2AABDD25F7CA}"/>
    <cellStyle name="Ênfase6" xfId="1343" xr:uid="{00000000-0005-0000-0000-00003F050000}"/>
    <cellStyle name="Ênfase6 2" xfId="8229" xr:uid="{044B49F9-756B-4DE0-A93E-ECE3C7D45EC4}"/>
    <cellStyle name="Énfasis1 10" xfId="4840" xr:uid="{00000000-0005-0000-0000-0000E8120000}"/>
    <cellStyle name="Énfasis1 10 2" xfId="9725" xr:uid="{8CA853F2-1C55-4CA3-8330-28F5BCA709B2}"/>
    <cellStyle name="Énfasis1 11" xfId="4841" xr:uid="{00000000-0005-0000-0000-0000E9120000}"/>
    <cellStyle name="Énfasis1 11 2" xfId="9726" xr:uid="{E6BB4369-29B9-4B5C-9EFD-CBFA606CF6F7}"/>
    <cellStyle name="Énfasis1 12" xfId="4842" xr:uid="{00000000-0005-0000-0000-0000EA120000}"/>
    <cellStyle name="Énfasis1 12 2" xfId="4843" xr:uid="{00000000-0005-0000-0000-0000EB120000}"/>
    <cellStyle name="Énfasis1 12 2 2" xfId="9728" xr:uid="{99C0CCA5-99EC-448F-8766-4F296EB69B75}"/>
    <cellStyle name="Énfasis1 12 3" xfId="9727" xr:uid="{5A8B7208-BBEC-46F5-8B38-5584E3864F72}"/>
    <cellStyle name="Énfasis1 13" xfId="4844" xr:uid="{00000000-0005-0000-0000-0000EC120000}"/>
    <cellStyle name="Énfasis1 13 2" xfId="4845" xr:uid="{00000000-0005-0000-0000-0000ED120000}"/>
    <cellStyle name="Énfasis1 13 2 2" xfId="9730" xr:uid="{BF6BA9AF-2916-4BD7-BF3F-17CC43886FC7}"/>
    <cellStyle name="Énfasis1 13 3" xfId="9729" xr:uid="{8DF87506-1618-4DB1-9524-18C1BCD88892}"/>
    <cellStyle name="Énfasis1 14" xfId="4846" xr:uid="{00000000-0005-0000-0000-0000EE120000}"/>
    <cellStyle name="Énfasis1 14 2" xfId="4847" xr:uid="{00000000-0005-0000-0000-0000EF120000}"/>
    <cellStyle name="Énfasis1 14 2 2" xfId="9732" xr:uid="{7E778E01-ED57-407C-BB69-AE2151E6D39A}"/>
    <cellStyle name="Énfasis1 14 3" xfId="9731" xr:uid="{82E87701-F299-4B69-8395-62497204BFE4}"/>
    <cellStyle name="Énfasis1 15" xfId="4848" xr:uid="{00000000-0005-0000-0000-0000F0120000}"/>
    <cellStyle name="Énfasis1 15 2" xfId="4849" xr:uid="{00000000-0005-0000-0000-0000F1120000}"/>
    <cellStyle name="Énfasis1 15 2 2" xfId="9734" xr:uid="{90B0AB49-8735-44BD-A073-E0B3D3E0AC09}"/>
    <cellStyle name="Énfasis1 15 3" xfId="9733" xr:uid="{7B2DB0CA-96E5-487D-94D5-F6DFCEDCC3DB}"/>
    <cellStyle name="Énfasis1 16" xfId="4850" xr:uid="{00000000-0005-0000-0000-0000F2120000}"/>
    <cellStyle name="Énfasis1 16 2" xfId="4851" xr:uid="{00000000-0005-0000-0000-0000F3120000}"/>
    <cellStyle name="Énfasis1 16 2 2" xfId="9736" xr:uid="{68A9D3EA-18AE-4B2E-BB17-4138124A3CA9}"/>
    <cellStyle name="Énfasis1 16 3" xfId="9735" xr:uid="{A274378C-F818-4E5B-AFCF-62BF0237A7E1}"/>
    <cellStyle name="Énfasis1 17" xfId="4852" xr:uid="{00000000-0005-0000-0000-0000F4120000}"/>
    <cellStyle name="Énfasis1 17 2" xfId="9737" xr:uid="{FEA3895D-922B-4CD6-AF20-3426122704B9}"/>
    <cellStyle name="Énfasis1 2" xfId="1344" xr:uid="{00000000-0005-0000-0000-000040050000}"/>
    <cellStyle name="Énfasis1 2 2" xfId="1345" xr:uid="{00000000-0005-0000-0000-000041050000}"/>
    <cellStyle name="Énfasis1 2 2 2" xfId="4853" xr:uid="{00000000-0005-0000-0000-0000F5120000}"/>
    <cellStyle name="Énfasis1 2 2 2 2" xfId="9738" xr:uid="{F0F62866-6EAA-4D92-AF97-310D7F428542}"/>
    <cellStyle name="Énfasis1 2 2 3" xfId="4854" xr:uid="{00000000-0005-0000-0000-0000F6120000}"/>
    <cellStyle name="Énfasis1 2 2 3 2" xfId="9739" xr:uid="{E0E0FE0C-1C66-44B4-B3F5-0C21AA97759C}"/>
    <cellStyle name="Énfasis1 2 2 4" xfId="4855" xr:uid="{00000000-0005-0000-0000-0000F7120000}"/>
    <cellStyle name="Énfasis1 2 2 4 2" xfId="4856" xr:uid="{00000000-0005-0000-0000-0000F8120000}"/>
    <cellStyle name="Énfasis1 2 2 4 2 2" xfId="9741" xr:uid="{098FD2F9-71BF-4B16-98A1-AF264B1BB50F}"/>
    <cellStyle name="Énfasis1 2 2 4 3" xfId="9740" xr:uid="{1EFDF932-FCDB-4D8A-8D81-F32C6E1DD461}"/>
    <cellStyle name="Énfasis1 2 2 5" xfId="8231" xr:uid="{42F2EF5E-6C82-42A1-AD60-0E0A89747E4F}"/>
    <cellStyle name="Énfasis1 2 3" xfId="4857" xr:uid="{00000000-0005-0000-0000-0000F9120000}"/>
    <cellStyle name="Énfasis1 2 3 2" xfId="9742" xr:uid="{DDB73B85-77E5-4CF1-AEA6-C526CEF2695C}"/>
    <cellStyle name="Énfasis1 2 4" xfId="4858" xr:uid="{00000000-0005-0000-0000-0000FA120000}"/>
    <cellStyle name="Énfasis1 2 4 2" xfId="4859" xr:uid="{00000000-0005-0000-0000-0000FB120000}"/>
    <cellStyle name="Énfasis1 2 4 2 2" xfId="9744" xr:uid="{DD28FD53-04F5-41A6-8417-5F16B8E6B3F3}"/>
    <cellStyle name="Énfasis1 2 4 3" xfId="9743" xr:uid="{190AF718-EA5F-43EB-AA11-47414C5C1E1F}"/>
    <cellStyle name="Énfasis1 2 5" xfId="4860" xr:uid="{00000000-0005-0000-0000-0000FC120000}"/>
    <cellStyle name="Énfasis1 2 5 2" xfId="9745" xr:uid="{8D778228-A4C3-4859-906A-26ECF0CC2694}"/>
    <cellStyle name="Énfasis1 2 6" xfId="8230" xr:uid="{2B9D4237-B58C-4332-8552-C876963734DB}"/>
    <cellStyle name="Énfasis1 2_Deuda septiembre_marcos" xfId="1346" xr:uid="{00000000-0005-0000-0000-000042050000}"/>
    <cellStyle name="Énfasis1 3" xfId="1347" xr:uid="{00000000-0005-0000-0000-000043050000}"/>
    <cellStyle name="Énfasis1 3 2" xfId="8232" xr:uid="{D0000069-E8E4-4387-9786-6C37266E4CBE}"/>
    <cellStyle name="Énfasis1 4" xfId="4861" xr:uid="{00000000-0005-0000-0000-0000FD120000}"/>
    <cellStyle name="Énfasis1 4 2" xfId="4862" xr:uid="{00000000-0005-0000-0000-0000FE120000}"/>
    <cellStyle name="Énfasis1 4 2 2" xfId="9747" xr:uid="{1674432C-AA3F-4319-99E7-055A44521E6E}"/>
    <cellStyle name="Énfasis1 4 3" xfId="4863" xr:uid="{00000000-0005-0000-0000-0000FF120000}"/>
    <cellStyle name="Énfasis1 4 3 2" xfId="9748" xr:uid="{91CA48C9-D0F1-4594-B3A5-54DD2E85140A}"/>
    <cellStyle name="Énfasis1 4 4" xfId="9746" xr:uid="{51173479-2B56-4700-911D-08955F902D44}"/>
    <cellStyle name="Énfasis1 5" xfId="4864" xr:uid="{00000000-0005-0000-0000-000000130000}"/>
    <cellStyle name="Énfasis1 5 2" xfId="4865" xr:uid="{00000000-0005-0000-0000-000001130000}"/>
    <cellStyle name="Énfasis1 5 2 2" xfId="9750" xr:uid="{0038794C-6E0D-4D76-9598-1D327D98F0DB}"/>
    <cellStyle name="Énfasis1 5 3" xfId="4866" xr:uid="{00000000-0005-0000-0000-000002130000}"/>
    <cellStyle name="Énfasis1 5 3 2" xfId="9751" xr:uid="{00BDE8BA-0D0F-4A6D-A365-CF1E3F2780DF}"/>
    <cellStyle name="Énfasis1 5 4" xfId="9749" xr:uid="{53C5B2E7-AA20-4500-AEE1-1E7669314504}"/>
    <cellStyle name="Énfasis1 6" xfId="4867" xr:uid="{00000000-0005-0000-0000-000003130000}"/>
    <cellStyle name="Énfasis1 6 2" xfId="9752" xr:uid="{049E0279-CA69-4A34-B44F-8A1315A31C60}"/>
    <cellStyle name="Énfasis1 7" xfId="4868" xr:uid="{00000000-0005-0000-0000-000004130000}"/>
    <cellStyle name="Énfasis1 7 2" xfId="9753" xr:uid="{44B236FB-B957-494D-942B-3E60FA28D0FD}"/>
    <cellStyle name="Énfasis1 8" xfId="4869" xr:uid="{00000000-0005-0000-0000-000005130000}"/>
    <cellStyle name="Énfasis1 8 2" xfId="9754" xr:uid="{6BEEEA1E-5709-4DE0-9C79-61CF6CD737B7}"/>
    <cellStyle name="Énfasis1 9" xfId="4870" xr:uid="{00000000-0005-0000-0000-000006130000}"/>
    <cellStyle name="Énfasis1 9 2" xfId="9755" xr:uid="{8762695F-9C05-45AF-AE59-74C543FBAD7B}"/>
    <cellStyle name="Énfasis2 10" xfId="4871" xr:uid="{00000000-0005-0000-0000-000007130000}"/>
    <cellStyle name="Énfasis2 10 2" xfId="4872" xr:uid="{00000000-0005-0000-0000-000008130000}"/>
    <cellStyle name="Énfasis2 10 2 2" xfId="9757" xr:uid="{141CF3AC-D444-406B-8ABD-F3E8BBDBC2B0}"/>
    <cellStyle name="Énfasis2 10 3" xfId="9756" xr:uid="{29FC93A1-E3AF-41F3-9646-581D3FABFAB7}"/>
    <cellStyle name="Énfasis2 11" xfId="4873" xr:uid="{00000000-0005-0000-0000-000009130000}"/>
    <cellStyle name="Énfasis2 11 2" xfId="4874" xr:uid="{00000000-0005-0000-0000-00000A130000}"/>
    <cellStyle name="Énfasis2 11 2 2" xfId="9759" xr:uid="{40B347A0-A957-4521-B87E-67A78D887B5C}"/>
    <cellStyle name="Énfasis2 11 3" xfId="9758" xr:uid="{0A22B93C-F5BE-4453-8B56-232038250CE3}"/>
    <cellStyle name="Énfasis2 12" xfId="4875" xr:uid="{00000000-0005-0000-0000-00000B130000}"/>
    <cellStyle name="Énfasis2 12 2" xfId="4876" xr:uid="{00000000-0005-0000-0000-00000C130000}"/>
    <cellStyle name="Énfasis2 12 2 2" xfId="9761" xr:uid="{7E71F7A0-2120-47F5-BEC1-93E14D04CEAB}"/>
    <cellStyle name="Énfasis2 12 3" xfId="9760" xr:uid="{F2FF7FCD-2AEA-4221-BC00-054DEAAAEB54}"/>
    <cellStyle name="Énfasis2 13" xfId="4877" xr:uid="{00000000-0005-0000-0000-00000D130000}"/>
    <cellStyle name="Énfasis2 13 2" xfId="4878" xr:uid="{00000000-0005-0000-0000-00000E130000}"/>
    <cellStyle name="Énfasis2 13 2 2" xfId="9763" xr:uid="{19FC9303-AFB7-402C-9FD6-82CC88B9F47B}"/>
    <cellStyle name="Énfasis2 13 3" xfId="9762" xr:uid="{A7418C05-4C59-40B9-9C84-87BFE86D5A9F}"/>
    <cellStyle name="Énfasis2 14" xfId="4879" xr:uid="{00000000-0005-0000-0000-00000F130000}"/>
    <cellStyle name="Énfasis2 14 2" xfId="4880" xr:uid="{00000000-0005-0000-0000-000010130000}"/>
    <cellStyle name="Énfasis2 14 2 2" xfId="9765" xr:uid="{C1CAF933-CD06-4D98-90AD-A8FCDCB00119}"/>
    <cellStyle name="Énfasis2 14 3" xfId="9764" xr:uid="{0213C501-C836-4401-B53F-68BD58FBC7C7}"/>
    <cellStyle name="Énfasis2 15" xfId="4881" xr:uid="{00000000-0005-0000-0000-000011130000}"/>
    <cellStyle name="Énfasis2 15 2" xfId="9766" xr:uid="{BF49EE78-29F5-42A9-89C1-ED9630DD73A5}"/>
    <cellStyle name="Énfasis2 2" xfId="3396" xr:uid="{00000000-0005-0000-0000-0000440D0000}"/>
    <cellStyle name="Énfasis2 2 2" xfId="4882" xr:uid="{00000000-0005-0000-0000-000012130000}"/>
    <cellStyle name="Énfasis2 2 2 2" xfId="9767" xr:uid="{1621CAFC-F4B7-4E35-8FAF-E0B6EC874777}"/>
    <cellStyle name="Énfasis2 2 3" xfId="4883" xr:uid="{00000000-0005-0000-0000-000013130000}"/>
    <cellStyle name="Énfasis2 2 3 2" xfId="9768" xr:uid="{C260C428-C235-420E-BBFF-359338ED25F3}"/>
    <cellStyle name="Énfasis2 2 4" xfId="4884" xr:uid="{00000000-0005-0000-0000-000014130000}"/>
    <cellStyle name="Énfasis2 2 4 2" xfId="9769" xr:uid="{92C49130-06B8-4A74-A6B2-44D09BCA8A67}"/>
    <cellStyle name="Énfasis2 2 5" xfId="8802" xr:uid="{95865FE6-265E-453A-B231-A1419CA892FB}"/>
    <cellStyle name="Énfasis2 3" xfId="3397" xr:uid="{00000000-0005-0000-0000-0000450D0000}"/>
    <cellStyle name="Énfasis2 3 2" xfId="4885" xr:uid="{00000000-0005-0000-0000-000015130000}"/>
    <cellStyle name="Énfasis2 3 2 2" xfId="9770" xr:uid="{274861DF-9A88-4674-BE1B-6824393433D7}"/>
    <cellStyle name="Énfasis2 3 3" xfId="4886" xr:uid="{00000000-0005-0000-0000-000016130000}"/>
    <cellStyle name="Énfasis2 3 3 2" xfId="9771" xr:uid="{0DA696FC-1D14-4FB5-8E88-9978B0D2531E}"/>
    <cellStyle name="Énfasis2 3 4" xfId="8803" xr:uid="{B843641C-0EB1-4881-AA33-161F67828534}"/>
    <cellStyle name="Énfasis2 4" xfId="4887" xr:uid="{00000000-0005-0000-0000-000017130000}"/>
    <cellStyle name="Énfasis2 4 2" xfId="4888" xr:uid="{00000000-0005-0000-0000-000018130000}"/>
    <cellStyle name="Énfasis2 4 2 2" xfId="9773" xr:uid="{1118C783-BC29-4077-8AE3-988820CD1424}"/>
    <cellStyle name="Énfasis2 4 3" xfId="4889" xr:uid="{00000000-0005-0000-0000-000019130000}"/>
    <cellStyle name="Énfasis2 4 3 2" xfId="9774" xr:uid="{5EBB5468-F620-4940-8F15-98C92AAFF4C3}"/>
    <cellStyle name="Énfasis2 4 4" xfId="9772" xr:uid="{2546AD6F-8D7F-46E3-A81F-8ABEC949AEF5}"/>
    <cellStyle name="Énfasis2 5" xfId="4890" xr:uid="{00000000-0005-0000-0000-00001A130000}"/>
    <cellStyle name="Énfasis2 5 2" xfId="9775" xr:uid="{BCCD1BE2-5500-4AEE-861A-9F424A9996C0}"/>
    <cellStyle name="Énfasis2 6" xfId="4891" xr:uid="{00000000-0005-0000-0000-00001B130000}"/>
    <cellStyle name="Énfasis2 6 2" xfId="9776" xr:uid="{6E605304-99EF-4CC2-B711-27920B595CC6}"/>
    <cellStyle name="Énfasis2 7" xfId="4892" xr:uid="{00000000-0005-0000-0000-00001C130000}"/>
    <cellStyle name="Énfasis2 7 2" xfId="9777" xr:uid="{ABBDFA9A-8CD7-4A7C-A71D-255243FCCEFD}"/>
    <cellStyle name="Énfasis2 8" xfId="4893" xr:uid="{00000000-0005-0000-0000-00001D130000}"/>
    <cellStyle name="Énfasis2 8 2" xfId="9778" xr:uid="{52D80B4F-E442-46C2-9A98-3D105E459D2F}"/>
    <cellStyle name="Énfasis2 9" xfId="4894" xr:uid="{00000000-0005-0000-0000-00001E130000}"/>
    <cellStyle name="Énfasis2 9 2" xfId="9779" xr:uid="{0B17CF55-1B2A-426D-92E7-FBF15A0E468C}"/>
    <cellStyle name="Énfasis3 10" xfId="4895" xr:uid="{00000000-0005-0000-0000-00001F130000}"/>
    <cellStyle name="Énfasis3 10 2" xfId="9780" xr:uid="{6EB0FF8A-B7C9-45F1-8591-65AA7EB109D1}"/>
    <cellStyle name="Énfasis3 11" xfId="4896" xr:uid="{00000000-0005-0000-0000-000020130000}"/>
    <cellStyle name="Énfasis3 11 2" xfId="4897" xr:uid="{00000000-0005-0000-0000-000021130000}"/>
    <cellStyle name="Énfasis3 11 2 2" xfId="9782" xr:uid="{5AAE2B31-3EF2-4A9E-9F91-10F7AD2F731C}"/>
    <cellStyle name="Énfasis3 11 3" xfId="9781" xr:uid="{9DC228D9-AF64-4357-9379-4F0D34E5D00C}"/>
    <cellStyle name="Énfasis3 12" xfId="4898" xr:uid="{00000000-0005-0000-0000-000022130000}"/>
    <cellStyle name="Énfasis3 12 2" xfId="4899" xr:uid="{00000000-0005-0000-0000-000023130000}"/>
    <cellStyle name="Énfasis3 12 2 2" xfId="9784" xr:uid="{62228C1C-A2C2-447D-8B64-D6611B363BFA}"/>
    <cellStyle name="Énfasis3 12 3" xfId="9783" xr:uid="{731F2BEC-D4CA-4C33-A12A-7BB68C8F04AD}"/>
    <cellStyle name="Énfasis3 13" xfId="4900" xr:uid="{00000000-0005-0000-0000-000024130000}"/>
    <cellStyle name="Énfasis3 13 2" xfId="4901" xr:uid="{00000000-0005-0000-0000-000025130000}"/>
    <cellStyle name="Énfasis3 13 2 2" xfId="9786" xr:uid="{13B3197F-125C-4AD7-952A-B594089214BB}"/>
    <cellStyle name="Énfasis3 13 3" xfId="9785" xr:uid="{8530F929-D92C-4274-8CF9-02D0295111EB}"/>
    <cellStyle name="Énfasis3 14" xfId="4902" xr:uid="{00000000-0005-0000-0000-000026130000}"/>
    <cellStyle name="Énfasis3 14 2" xfId="4903" xr:uid="{00000000-0005-0000-0000-000027130000}"/>
    <cellStyle name="Énfasis3 14 2 2" xfId="9788" xr:uid="{A89A478E-66D4-445F-B1C3-58AD4804BCF2}"/>
    <cellStyle name="Énfasis3 14 3" xfId="9787" xr:uid="{8451F878-845B-46C2-8704-12B0B773F158}"/>
    <cellStyle name="Énfasis3 15" xfId="4904" xr:uid="{00000000-0005-0000-0000-000028130000}"/>
    <cellStyle name="Énfasis3 15 2" xfId="4905" xr:uid="{00000000-0005-0000-0000-000029130000}"/>
    <cellStyle name="Énfasis3 15 2 2" xfId="9790" xr:uid="{B6D17ADE-F612-455A-8A1D-24608EA70DCB}"/>
    <cellStyle name="Énfasis3 15 3" xfId="9789" xr:uid="{93D8A9FE-26AC-403F-B3E2-0A3F4E588AAB}"/>
    <cellStyle name="Énfasis3 16" xfId="4906" xr:uid="{00000000-0005-0000-0000-00002A130000}"/>
    <cellStyle name="Énfasis3 16 2" xfId="9791" xr:uid="{67E365DF-CFBA-4AEA-81BC-02D8293DDCE6}"/>
    <cellStyle name="Énfasis3 2" xfId="1348" xr:uid="{00000000-0005-0000-0000-000044050000}"/>
    <cellStyle name="Énfasis3 2 2" xfId="1349" xr:uid="{00000000-0005-0000-0000-000045050000}"/>
    <cellStyle name="Énfasis3 2 2 2" xfId="4907" xr:uid="{00000000-0005-0000-0000-00002B130000}"/>
    <cellStyle name="Énfasis3 2 2 2 2" xfId="9792" xr:uid="{55D5467D-6271-4B29-9F7F-55B140A596D8}"/>
    <cellStyle name="Énfasis3 2 2 3" xfId="4908" xr:uid="{00000000-0005-0000-0000-00002C130000}"/>
    <cellStyle name="Énfasis3 2 2 3 2" xfId="9793" xr:uid="{0768A0A4-62AD-4F2A-B594-1CA703070D0F}"/>
    <cellStyle name="Énfasis3 2 2 4" xfId="4909" xr:uid="{00000000-0005-0000-0000-00002D130000}"/>
    <cellStyle name="Énfasis3 2 2 4 2" xfId="4910" xr:uid="{00000000-0005-0000-0000-00002E130000}"/>
    <cellStyle name="Énfasis3 2 2 4 2 2" xfId="9795" xr:uid="{1F8101BE-7A55-4DCC-8011-C61C5FA843E6}"/>
    <cellStyle name="Énfasis3 2 2 4 3" xfId="9794" xr:uid="{58BD11C5-3FA3-4B9E-83FE-60D569D5D394}"/>
    <cellStyle name="Énfasis3 2 2 5" xfId="8234" xr:uid="{1DC7DBF0-FEBA-4BD2-BADB-BA29EC674A89}"/>
    <cellStyle name="Énfasis3 2 3" xfId="4911" xr:uid="{00000000-0005-0000-0000-00002F130000}"/>
    <cellStyle name="Énfasis3 2 3 2" xfId="9796" xr:uid="{E5F22C34-2642-4982-A790-F23A95AE1E09}"/>
    <cellStyle name="Énfasis3 2 4" xfId="4912" xr:uid="{00000000-0005-0000-0000-000030130000}"/>
    <cellStyle name="Énfasis3 2 4 2" xfId="4913" xr:uid="{00000000-0005-0000-0000-000031130000}"/>
    <cellStyle name="Énfasis3 2 4 2 2" xfId="9798" xr:uid="{5C47544B-C993-4FC6-8599-B0E77936E6E7}"/>
    <cellStyle name="Énfasis3 2 4 3" xfId="9797" xr:uid="{02AAF97F-44D7-4A54-8E35-9C3BDC09C569}"/>
    <cellStyle name="Énfasis3 2 5" xfId="4914" xr:uid="{00000000-0005-0000-0000-000032130000}"/>
    <cellStyle name="Énfasis3 2 5 2" xfId="9799" xr:uid="{4F249B3D-E291-4A16-B4CE-26A129916099}"/>
    <cellStyle name="Énfasis3 2 6" xfId="8233" xr:uid="{C9287FA2-EA6B-4787-AA4C-11EB3CA3F94C}"/>
    <cellStyle name="Énfasis3 2_Deuda septiembre_marcos" xfId="1350" xr:uid="{00000000-0005-0000-0000-000046050000}"/>
    <cellStyle name="Énfasis3 3" xfId="3398" xr:uid="{00000000-0005-0000-0000-0000460D0000}"/>
    <cellStyle name="Énfasis3 3 2" xfId="4915" xr:uid="{00000000-0005-0000-0000-000033130000}"/>
    <cellStyle name="Énfasis3 3 2 2" xfId="9800" xr:uid="{4AD12303-5670-4C01-BB96-945FA5ED1750}"/>
    <cellStyle name="Énfasis3 3 3" xfId="4916" xr:uid="{00000000-0005-0000-0000-000034130000}"/>
    <cellStyle name="Énfasis3 3 3 2" xfId="9801" xr:uid="{5AD31914-9C9D-47AA-BE0D-8842C8C8A77F}"/>
    <cellStyle name="Énfasis3 3 4" xfId="8804" xr:uid="{A978E30E-167F-4221-8A56-DFB286AB7779}"/>
    <cellStyle name="Énfasis3 4" xfId="4917" xr:uid="{00000000-0005-0000-0000-000035130000}"/>
    <cellStyle name="Énfasis3 4 2" xfId="4918" xr:uid="{00000000-0005-0000-0000-000036130000}"/>
    <cellStyle name="Énfasis3 4 2 2" xfId="9803" xr:uid="{DE147FFA-BC24-4555-8CB5-15B8196BE5C1}"/>
    <cellStyle name="Énfasis3 4 3" xfId="4919" xr:uid="{00000000-0005-0000-0000-000037130000}"/>
    <cellStyle name="Énfasis3 4 3 2" xfId="9804" xr:uid="{AB1E491F-6AB8-4E43-8167-B2685A830869}"/>
    <cellStyle name="Énfasis3 4 4" xfId="9802" xr:uid="{BA0570DE-C532-4407-B60C-27BF38AF7D7C}"/>
    <cellStyle name="Énfasis3 5" xfId="4920" xr:uid="{00000000-0005-0000-0000-000038130000}"/>
    <cellStyle name="Énfasis3 5 2" xfId="9805" xr:uid="{EEB43C9D-A7C0-40FF-A61E-197D0C487AF0}"/>
    <cellStyle name="Énfasis3 6" xfId="4921" xr:uid="{00000000-0005-0000-0000-000039130000}"/>
    <cellStyle name="Énfasis3 6 2" xfId="9806" xr:uid="{5E421E23-C1B5-47A2-82C3-17F61968FD42}"/>
    <cellStyle name="Énfasis3 7" xfId="4922" xr:uid="{00000000-0005-0000-0000-00003A130000}"/>
    <cellStyle name="Énfasis3 7 2" xfId="9807" xr:uid="{6A6CB1F2-A0F3-43F9-A22C-9B385F163AE6}"/>
    <cellStyle name="Énfasis3 8" xfId="4923" xr:uid="{00000000-0005-0000-0000-00003B130000}"/>
    <cellStyle name="Énfasis3 8 2" xfId="9808" xr:uid="{9C4149A3-4590-4E0D-8DB2-E8FA99A96CEF}"/>
    <cellStyle name="Énfasis3 9" xfId="4924" xr:uid="{00000000-0005-0000-0000-00003C130000}"/>
    <cellStyle name="Énfasis3 9 2" xfId="9809" xr:uid="{C803E60F-FF28-4155-948F-88A29EBB4F3D}"/>
    <cellStyle name="Énfasis4 10" xfId="4925" xr:uid="{00000000-0005-0000-0000-00003D130000}"/>
    <cellStyle name="Énfasis4 10 2" xfId="4926" xr:uid="{00000000-0005-0000-0000-00003E130000}"/>
    <cellStyle name="Énfasis4 10 2 2" xfId="9811" xr:uid="{8A15D347-B6DC-4989-B629-DEAEDA9A2869}"/>
    <cellStyle name="Énfasis4 10 3" xfId="9810" xr:uid="{297F1B37-951A-4CF5-8924-8EFF5AD0C511}"/>
    <cellStyle name="Énfasis4 11" xfId="4927" xr:uid="{00000000-0005-0000-0000-00003F130000}"/>
    <cellStyle name="Énfasis4 11 2" xfId="4928" xr:uid="{00000000-0005-0000-0000-000040130000}"/>
    <cellStyle name="Énfasis4 11 2 2" xfId="9813" xr:uid="{883BAE57-5D01-4650-9800-5AB78DF0FBC5}"/>
    <cellStyle name="Énfasis4 11 3" xfId="9812" xr:uid="{C1942B87-63E9-466A-8819-398750E7DC9E}"/>
    <cellStyle name="Énfasis4 12" xfId="4929" xr:uid="{00000000-0005-0000-0000-000041130000}"/>
    <cellStyle name="Énfasis4 12 2" xfId="4930" xr:uid="{00000000-0005-0000-0000-000042130000}"/>
    <cellStyle name="Énfasis4 12 2 2" xfId="9815" xr:uid="{11EB8806-1E8F-4B09-9AE8-610FFE16AA43}"/>
    <cellStyle name="Énfasis4 12 3" xfId="9814" xr:uid="{3CAD27B0-5268-45AB-8FDF-FC4F69987617}"/>
    <cellStyle name="Énfasis4 13" xfId="4931" xr:uid="{00000000-0005-0000-0000-000043130000}"/>
    <cellStyle name="Énfasis4 13 2" xfId="4932" xr:uid="{00000000-0005-0000-0000-000044130000}"/>
    <cellStyle name="Énfasis4 13 2 2" xfId="9817" xr:uid="{E1229912-DD86-4AD2-9D53-3977F371994D}"/>
    <cellStyle name="Énfasis4 13 3" xfId="9816" xr:uid="{F87EBF4F-D78F-4460-87B6-CFA3BAD959AF}"/>
    <cellStyle name="Énfasis4 14" xfId="4933" xr:uid="{00000000-0005-0000-0000-000045130000}"/>
    <cellStyle name="Énfasis4 14 2" xfId="4934" xr:uid="{00000000-0005-0000-0000-000046130000}"/>
    <cellStyle name="Énfasis4 14 2 2" xfId="9819" xr:uid="{C6C2556C-55AD-4109-BFD6-C61CD1AD7B83}"/>
    <cellStyle name="Énfasis4 14 3" xfId="9818" xr:uid="{AD4CF8EE-9873-4F3C-B3B9-785E21B3C6F1}"/>
    <cellStyle name="Énfasis4 15" xfId="4935" xr:uid="{00000000-0005-0000-0000-000047130000}"/>
    <cellStyle name="Énfasis4 15 2" xfId="9820" xr:uid="{0F33DA06-2756-48C3-AA1F-C162B2889557}"/>
    <cellStyle name="Énfasis4 2" xfId="3399" xr:uid="{00000000-0005-0000-0000-0000470D0000}"/>
    <cellStyle name="Énfasis4 2 2" xfId="4936" xr:uid="{00000000-0005-0000-0000-000048130000}"/>
    <cellStyle name="Énfasis4 2 2 2" xfId="9821" xr:uid="{D48A8968-F539-45BF-A391-6458ECDB7259}"/>
    <cellStyle name="Énfasis4 2 3" xfId="4937" xr:uid="{00000000-0005-0000-0000-000049130000}"/>
    <cellStyle name="Énfasis4 2 3 2" xfId="9822" xr:uid="{B05B40DB-22A5-4594-9733-EB7A05F90BD4}"/>
    <cellStyle name="Énfasis4 2 4" xfId="4938" xr:uid="{00000000-0005-0000-0000-00004A130000}"/>
    <cellStyle name="Énfasis4 2 4 2" xfId="9823" xr:uid="{93D0672E-3D00-4EA7-8FED-56B9676FB2C1}"/>
    <cellStyle name="Énfasis4 2 5" xfId="8805" xr:uid="{61A07D9A-87A6-4E90-9835-BF1B738AE76C}"/>
    <cellStyle name="Énfasis4 3" xfId="3400" xr:uid="{00000000-0005-0000-0000-0000480D0000}"/>
    <cellStyle name="Énfasis4 3 2" xfId="4939" xr:uid="{00000000-0005-0000-0000-00004B130000}"/>
    <cellStyle name="Énfasis4 3 2 2" xfId="9824" xr:uid="{0ADE1379-23FD-4BC5-9E78-4E9FC53789C6}"/>
    <cellStyle name="Énfasis4 3 3" xfId="4940" xr:uid="{00000000-0005-0000-0000-00004C130000}"/>
    <cellStyle name="Énfasis4 3 3 2" xfId="9825" xr:uid="{DB24A99D-5527-4C10-B411-7CCCC43BE5F3}"/>
    <cellStyle name="Énfasis4 3 4" xfId="8806" xr:uid="{7E331FD3-2B09-4C86-AC81-5C81D44C3774}"/>
    <cellStyle name="Énfasis4 4" xfId="4941" xr:uid="{00000000-0005-0000-0000-00004D130000}"/>
    <cellStyle name="Énfasis4 4 2" xfId="4942" xr:uid="{00000000-0005-0000-0000-00004E130000}"/>
    <cellStyle name="Énfasis4 4 2 2" xfId="9827" xr:uid="{2CFB612B-E047-4554-AFCA-E26E401747B8}"/>
    <cellStyle name="Énfasis4 4 3" xfId="4943" xr:uid="{00000000-0005-0000-0000-00004F130000}"/>
    <cellStyle name="Énfasis4 4 3 2" xfId="9828" xr:uid="{6A8B64D8-CC0C-481D-A2F2-9A4D9AD4D770}"/>
    <cellStyle name="Énfasis4 4 4" xfId="9826" xr:uid="{95B9F0EB-EF41-4E7A-864A-4AD31F1E9D92}"/>
    <cellStyle name="Énfasis4 5" xfId="4944" xr:uid="{00000000-0005-0000-0000-000050130000}"/>
    <cellStyle name="Énfasis4 5 2" xfId="9829" xr:uid="{5BAD635A-A364-4DA4-A1B0-1E8131798CDA}"/>
    <cellStyle name="Énfasis4 6" xfId="4945" xr:uid="{00000000-0005-0000-0000-000051130000}"/>
    <cellStyle name="Énfasis4 6 2" xfId="9830" xr:uid="{68EAB071-E0E7-443C-9093-B544E36E9E29}"/>
    <cellStyle name="Énfasis4 7" xfId="4946" xr:uid="{00000000-0005-0000-0000-000052130000}"/>
    <cellStyle name="Énfasis4 7 2" xfId="9831" xr:uid="{2B8C46BC-55C3-49B7-AAEF-A9F133F0970B}"/>
    <cellStyle name="Énfasis4 8" xfId="4947" xr:uid="{00000000-0005-0000-0000-000053130000}"/>
    <cellStyle name="Énfasis4 8 2" xfId="9832" xr:uid="{55A7827F-3381-4F33-B26E-C7DDEADEB602}"/>
    <cellStyle name="Énfasis4 9" xfId="4948" xr:uid="{00000000-0005-0000-0000-000054130000}"/>
    <cellStyle name="Énfasis4 9 2" xfId="9833" xr:uid="{CD63726D-9265-4061-AF4D-259D64ACA64B}"/>
    <cellStyle name="Énfasis5 10" xfId="4949" xr:uid="{00000000-0005-0000-0000-000055130000}"/>
    <cellStyle name="Énfasis5 10 2" xfId="9834" xr:uid="{3A628CBA-52DF-4F1F-9C75-0336B6ABCCA7}"/>
    <cellStyle name="Énfasis5 11" xfId="4950" xr:uid="{00000000-0005-0000-0000-000056130000}"/>
    <cellStyle name="Énfasis5 11 2" xfId="9835" xr:uid="{287CC262-7C30-4049-9E70-5013C2C8DE77}"/>
    <cellStyle name="Énfasis5 12" xfId="4951" xr:uid="{00000000-0005-0000-0000-000057130000}"/>
    <cellStyle name="Énfasis5 12 2" xfId="4952" xr:uid="{00000000-0005-0000-0000-000058130000}"/>
    <cellStyle name="Énfasis5 12 2 2" xfId="9837" xr:uid="{26B97911-83CF-476F-A8FF-9C8B6C8982C0}"/>
    <cellStyle name="Énfasis5 12 3" xfId="9836" xr:uid="{D9EF3B0C-4155-463A-86FC-6DC565C8A2C6}"/>
    <cellStyle name="Énfasis5 13" xfId="4953" xr:uid="{00000000-0005-0000-0000-000059130000}"/>
    <cellStyle name="Énfasis5 13 2" xfId="4954" xr:uid="{00000000-0005-0000-0000-00005A130000}"/>
    <cellStyle name="Énfasis5 13 2 2" xfId="9839" xr:uid="{DF71560C-FDBB-4F62-9B62-E3535653DC97}"/>
    <cellStyle name="Énfasis5 13 3" xfId="9838" xr:uid="{3E1859C0-7F15-4F8E-8711-DEF805B72103}"/>
    <cellStyle name="Énfasis5 14" xfId="4955" xr:uid="{00000000-0005-0000-0000-00005B130000}"/>
    <cellStyle name="Énfasis5 14 2" xfId="4956" xr:uid="{00000000-0005-0000-0000-00005C130000}"/>
    <cellStyle name="Énfasis5 14 2 2" xfId="9841" xr:uid="{62D0C443-9B4F-4209-AEF7-009239710808}"/>
    <cellStyle name="Énfasis5 14 3" xfId="9840" xr:uid="{B6C2C5A9-E71F-4936-BA22-1E5949441574}"/>
    <cellStyle name="Énfasis5 15" xfId="4957" xr:uid="{00000000-0005-0000-0000-00005D130000}"/>
    <cellStyle name="Énfasis5 15 2" xfId="4958" xr:uid="{00000000-0005-0000-0000-00005E130000}"/>
    <cellStyle name="Énfasis5 15 2 2" xfId="9843" xr:uid="{F9F805EB-0937-4CA9-B9E0-5BD7F3D6D823}"/>
    <cellStyle name="Énfasis5 15 3" xfId="9842" xr:uid="{55DAE782-A418-47F7-8C24-16B1AA8EE811}"/>
    <cellStyle name="Énfasis5 16" xfId="4959" xr:uid="{00000000-0005-0000-0000-00005F130000}"/>
    <cellStyle name="Énfasis5 16 2" xfId="4960" xr:uid="{00000000-0005-0000-0000-000060130000}"/>
    <cellStyle name="Énfasis5 16 2 2" xfId="9845" xr:uid="{2ACC5C1F-2010-4F4B-A76E-7CF3D8D5DDAB}"/>
    <cellStyle name="Énfasis5 16 3" xfId="9844" xr:uid="{B9DEE081-7625-4748-9020-9B00FE8110B5}"/>
    <cellStyle name="Énfasis5 17" xfId="4961" xr:uid="{00000000-0005-0000-0000-000061130000}"/>
    <cellStyle name="Énfasis5 17 2" xfId="9846" xr:uid="{A9948BF7-F91C-4436-B129-805549E8DB6C}"/>
    <cellStyle name="Énfasis5 2" xfId="1351" xr:uid="{00000000-0005-0000-0000-000047050000}"/>
    <cellStyle name="Énfasis5 2 2" xfId="1352" xr:uid="{00000000-0005-0000-0000-000048050000}"/>
    <cellStyle name="Énfasis5 2 2 2" xfId="4962" xr:uid="{00000000-0005-0000-0000-000062130000}"/>
    <cellStyle name="Énfasis5 2 2 2 2" xfId="9847" xr:uid="{EFF33602-B6E8-49D3-96B3-1179751DFD55}"/>
    <cellStyle name="Énfasis5 2 2 3" xfId="4963" xr:uid="{00000000-0005-0000-0000-000063130000}"/>
    <cellStyle name="Énfasis5 2 2 3 2" xfId="9848" xr:uid="{32A5012F-67A7-4F79-8F2D-B4C994FE8E70}"/>
    <cellStyle name="Énfasis5 2 2 4" xfId="4964" xr:uid="{00000000-0005-0000-0000-000064130000}"/>
    <cellStyle name="Énfasis5 2 2 4 2" xfId="4965" xr:uid="{00000000-0005-0000-0000-000065130000}"/>
    <cellStyle name="Énfasis5 2 2 4 2 2" xfId="9850" xr:uid="{60081E0D-2596-402B-8E09-8B2E00A8E5F4}"/>
    <cellStyle name="Énfasis5 2 2 4 3" xfId="9849" xr:uid="{367B2F2D-1F7F-4960-BEFA-A9D7C53A132C}"/>
    <cellStyle name="Énfasis5 2 2 5" xfId="8236" xr:uid="{A70B18AC-6962-498A-A7BA-323B7D736335}"/>
    <cellStyle name="Énfasis5 2 3" xfId="4966" xr:uid="{00000000-0005-0000-0000-000066130000}"/>
    <cellStyle name="Énfasis5 2 3 2" xfId="9851" xr:uid="{C7485C8E-16C3-45BF-B030-E0BC74FAB9E8}"/>
    <cellStyle name="Énfasis5 2 4" xfId="4967" xr:uid="{00000000-0005-0000-0000-000067130000}"/>
    <cellStyle name="Énfasis5 2 4 2" xfId="4968" xr:uid="{00000000-0005-0000-0000-000068130000}"/>
    <cellStyle name="Énfasis5 2 4 2 2" xfId="9853" xr:uid="{BA5F4310-1D32-4E42-BD00-945F4B3E11D9}"/>
    <cellStyle name="Énfasis5 2 4 3" xfId="9852" xr:uid="{D271A572-EA92-4BD8-9B09-D9773A777E9C}"/>
    <cellStyle name="Énfasis5 2 5" xfId="4969" xr:uid="{00000000-0005-0000-0000-000069130000}"/>
    <cellStyle name="Énfasis5 2 5 2" xfId="9854" xr:uid="{08E53E2A-2ED3-4F51-800D-94E901794BD3}"/>
    <cellStyle name="Énfasis5 2 6" xfId="8235" xr:uid="{C2380970-BCDC-407F-BBB7-C515339F5F65}"/>
    <cellStyle name="Énfasis5 2_Deuda septiembre_marcos" xfId="1353" xr:uid="{00000000-0005-0000-0000-000049050000}"/>
    <cellStyle name="Énfasis5 3" xfId="1354" xr:uid="{00000000-0005-0000-0000-00004A050000}"/>
    <cellStyle name="Énfasis5 3 2" xfId="8237" xr:uid="{B8F4C3AB-6F69-45D7-A9DA-FAF2FBD28E47}"/>
    <cellStyle name="Énfasis5 4" xfId="4970" xr:uid="{00000000-0005-0000-0000-00006A130000}"/>
    <cellStyle name="Énfasis5 4 2" xfId="4971" xr:uid="{00000000-0005-0000-0000-00006B130000}"/>
    <cellStyle name="Énfasis5 4 2 2" xfId="9856" xr:uid="{70E7E2B7-8DCE-4D93-8326-203D7330F991}"/>
    <cellStyle name="Énfasis5 4 3" xfId="4972" xr:uid="{00000000-0005-0000-0000-00006C130000}"/>
    <cellStyle name="Énfasis5 4 3 2" xfId="9857" xr:uid="{B91A45BE-9359-491B-8EBB-5CA3E6E55EDF}"/>
    <cellStyle name="Énfasis5 4 4" xfId="9855" xr:uid="{9A30F1DC-7478-49A4-B558-9B1555F01ACF}"/>
    <cellStyle name="Énfasis5 5" xfId="4973" xr:uid="{00000000-0005-0000-0000-00006D130000}"/>
    <cellStyle name="Énfasis5 5 2" xfId="4974" xr:uid="{00000000-0005-0000-0000-00006E130000}"/>
    <cellStyle name="Énfasis5 5 2 2" xfId="9859" xr:uid="{D3DD05B1-10A9-4050-911F-82BFA6C31DA0}"/>
    <cellStyle name="Énfasis5 5 3" xfId="4975" xr:uid="{00000000-0005-0000-0000-00006F130000}"/>
    <cellStyle name="Énfasis5 5 3 2" xfId="9860" xr:uid="{46948507-7BC4-4730-B5D9-B0932206E153}"/>
    <cellStyle name="Énfasis5 5 4" xfId="9858" xr:uid="{7B1FFDF7-6C01-40A3-A637-548227E944B7}"/>
    <cellStyle name="Énfasis5 6" xfId="4976" xr:uid="{00000000-0005-0000-0000-000070130000}"/>
    <cellStyle name="Énfasis5 6 2" xfId="9861" xr:uid="{1BB5CA11-5691-416A-90F1-81F5C339A162}"/>
    <cellStyle name="Énfasis5 7" xfId="4977" xr:uid="{00000000-0005-0000-0000-000071130000}"/>
    <cellStyle name="Énfasis5 7 2" xfId="9862" xr:uid="{FB1136ED-7420-4420-8FCB-E7016BE8C296}"/>
    <cellStyle name="Énfasis5 8" xfId="4978" xr:uid="{00000000-0005-0000-0000-000072130000}"/>
    <cellStyle name="Énfasis5 8 2" xfId="9863" xr:uid="{D7BDCF71-204B-45BD-9597-6854398173CF}"/>
    <cellStyle name="Énfasis5 9" xfId="4979" xr:uid="{00000000-0005-0000-0000-000073130000}"/>
    <cellStyle name="Énfasis5 9 2" xfId="9864" xr:uid="{9CD0CAF6-45A7-49B9-995C-2E2F009C76AB}"/>
    <cellStyle name="Énfasis6 10" xfId="4980" xr:uid="{00000000-0005-0000-0000-000074130000}"/>
    <cellStyle name="Énfasis6 10 2" xfId="4981" xr:uid="{00000000-0005-0000-0000-000075130000}"/>
    <cellStyle name="Énfasis6 10 2 2" xfId="9866" xr:uid="{4B86A8B9-CE6F-4328-A14B-53D4351E796C}"/>
    <cellStyle name="Énfasis6 10 3" xfId="9865" xr:uid="{E7B59902-8B58-4B74-8AF6-3CABDCB9123D}"/>
    <cellStyle name="Énfasis6 11" xfId="4982" xr:uid="{00000000-0005-0000-0000-000076130000}"/>
    <cellStyle name="Énfasis6 11 2" xfId="4983" xr:uid="{00000000-0005-0000-0000-000077130000}"/>
    <cellStyle name="Énfasis6 11 2 2" xfId="9868" xr:uid="{58450C31-0ADA-4CCF-8414-410F9BC7EC16}"/>
    <cellStyle name="Énfasis6 11 3" xfId="9867" xr:uid="{6D647898-1CEC-4684-B6F0-9C8EC3334007}"/>
    <cellStyle name="Énfasis6 12" xfId="4984" xr:uid="{00000000-0005-0000-0000-000078130000}"/>
    <cellStyle name="Énfasis6 12 2" xfId="4985" xr:uid="{00000000-0005-0000-0000-000079130000}"/>
    <cellStyle name="Énfasis6 12 2 2" xfId="9870" xr:uid="{64BC2F53-2FC5-4BEB-B738-9C1A69B0C437}"/>
    <cellStyle name="Énfasis6 12 3" xfId="9869" xr:uid="{A8F47E27-BFA3-42C5-8A34-E936EC8A249B}"/>
    <cellStyle name="Énfasis6 13" xfId="4986" xr:uid="{00000000-0005-0000-0000-00007A130000}"/>
    <cellStyle name="Énfasis6 13 2" xfId="4987" xr:uid="{00000000-0005-0000-0000-00007B130000}"/>
    <cellStyle name="Énfasis6 13 2 2" xfId="9872" xr:uid="{CE8A5205-A3FC-4C56-8823-47D3D7867410}"/>
    <cellStyle name="Énfasis6 13 3" xfId="9871" xr:uid="{B7ECED00-2CDB-49D0-B67A-02E018F02F16}"/>
    <cellStyle name="Énfasis6 14" xfId="4988" xr:uid="{00000000-0005-0000-0000-00007C130000}"/>
    <cellStyle name="Énfasis6 14 2" xfId="4989" xr:uid="{00000000-0005-0000-0000-00007D130000}"/>
    <cellStyle name="Énfasis6 14 2 2" xfId="9874" xr:uid="{4CBDE96D-A3FA-4A6D-9D05-FCB2B168AF67}"/>
    <cellStyle name="Énfasis6 14 3" xfId="9873" xr:uid="{272E6CB5-2677-4423-8B06-4C625C8ACEA7}"/>
    <cellStyle name="Énfasis6 15" xfId="4990" xr:uid="{00000000-0005-0000-0000-00007E130000}"/>
    <cellStyle name="Énfasis6 15 2" xfId="9875" xr:uid="{D80A7A66-5783-415B-8C2D-11761ABFC450}"/>
    <cellStyle name="Énfasis6 2" xfId="3401" xr:uid="{00000000-0005-0000-0000-0000490D0000}"/>
    <cellStyle name="Énfasis6 2 2" xfId="4991" xr:uid="{00000000-0005-0000-0000-00007F130000}"/>
    <cellStyle name="Énfasis6 2 2 2" xfId="9876" xr:uid="{12481FB2-E287-4D6B-9CB6-CAFED9DABCA8}"/>
    <cellStyle name="Énfasis6 2 3" xfId="4992" xr:uid="{00000000-0005-0000-0000-000080130000}"/>
    <cellStyle name="Énfasis6 2 3 2" xfId="9877" xr:uid="{DBD26142-759B-4630-BF49-19A555E6352D}"/>
    <cellStyle name="Énfasis6 2 4" xfId="4993" xr:uid="{00000000-0005-0000-0000-000081130000}"/>
    <cellStyle name="Énfasis6 2 4 2" xfId="9878" xr:uid="{CEF2003D-E299-40AE-A3B2-C3B3388D9193}"/>
    <cellStyle name="Énfasis6 2 5" xfId="8807" xr:uid="{BE3DBCA1-3A4C-4F24-A667-E7745E248EB3}"/>
    <cellStyle name="Énfasis6 3" xfId="3402" xr:uid="{00000000-0005-0000-0000-00004A0D0000}"/>
    <cellStyle name="Énfasis6 3 2" xfId="4994" xr:uid="{00000000-0005-0000-0000-000082130000}"/>
    <cellStyle name="Énfasis6 3 2 2" xfId="9879" xr:uid="{34DF4A65-87E9-4DF4-960C-9AE7F4A4A023}"/>
    <cellStyle name="Énfasis6 3 3" xfId="4995" xr:uid="{00000000-0005-0000-0000-000083130000}"/>
    <cellStyle name="Énfasis6 3 3 2" xfId="9880" xr:uid="{2BE0BD28-2833-4023-AD6D-447956667F6F}"/>
    <cellStyle name="Énfasis6 3 4" xfId="8808" xr:uid="{2BF9D7FF-B0F5-4A51-8B24-5BC9342EDE39}"/>
    <cellStyle name="Énfasis6 4" xfId="4996" xr:uid="{00000000-0005-0000-0000-000084130000}"/>
    <cellStyle name="Énfasis6 4 2" xfId="4997" xr:uid="{00000000-0005-0000-0000-000085130000}"/>
    <cellStyle name="Énfasis6 4 2 2" xfId="9882" xr:uid="{905C8559-4944-4A4E-9893-0F9D151CD27F}"/>
    <cellStyle name="Énfasis6 4 3" xfId="4998" xr:uid="{00000000-0005-0000-0000-000086130000}"/>
    <cellStyle name="Énfasis6 4 3 2" xfId="9883" xr:uid="{1B363085-D213-4EFA-8690-8466679677B7}"/>
    <cellStyle name="Énfasis6 4 4" xfId="9881" xr:uid="{656A0949-0837-4A84-AAB4-DA7F70029F0E}"/>
    <cellStyle name="Énfasis6 5" xfId="4999" xr:uid="{00000000-0005-0000-0000-000087130000}"/>
    <cellStyle name="Énfasis6 5 2" xfId="9884" xr:uid="{1BCBB878-2B59-4D00-AB6B-B113039B0AD9}"/>
    <cellStyle name="Énfasis6 6" xfId="5000" xr:uid="{00000000-0005-0000-0000-000088130000}"/>
    <cellStyle name="Énfasis6 6 2" xfId="9885" xr:uid="{43BC75F4-2B8A-454C-B823-294F466BFA5F}"/>
    <cellStyle name="Énfasis6 7" xfId="5001" xr:uid="{00000000-0005-0000-0000-000089130000}"/>
    <cellStyle name="Énfasis6 7 2" xfId="9886" xr:uid="{3B130F7D-014A-4979-92DE-6675405979FC}"/>
    <cellStyle name="Énfasis6 8" xfId="5002" xr:uid="{00000000-0005-0000-0000-00008A130000}"/>
    <cellStyle name="Énfasis6 8 2" xfId="9887" xr:uid="{A98C22C7-F7D1-4AF6-89E8-7C3A5AF189B6}"/>
    <cellStyle name="Énfasis6 9" xfId="5003" xr:uid="{00000000-0005-0000-0000-00008B130000}"/>
    <cellStyle name="Énfasis6 9 2" xfId="9888" xr:uid="{2072F58B-9CEA-4CD0-90CB-984D7C814BF6}"/>
    <cellStyle name="Entrada 10" xfId="5004" xr:uid="{00000000-0005-0000-0000-00008C130000}"/>
    <cellStyle name="Entrada 10 2" xfId="5005" xr:uid="{00000000-0005-0000-0000-00008D130000}"/>
    <cellStyle name="Entrada 10 2 2" xfId="9890" xr:uid="{36C3A6AE-EA7A-4436-94DA-2BA6AA1A3F19}"/>
    <cellStyle name="Entrada 10 3" xfId="9889" xr:uid="{C7D54B53-6BD7-4FC8-ACAE-7026C5A4047A}"/>
    <cellStyle name="Entrada 11" xfId="5006" xr:uid="{00000000-0005-0000-0000-00008E130000}"/>
    <cellStyle name="Entrada 11 2" xfId="5007" xr:uid="{00000000-0005-0000-0000-00008F130000}"/>
    <cellStyle name="Entrada 11 2 2" xfId="9892" xr:uid="{16D95FE3-6EAC-4C1E-A45F-D20182153DC0}"/>
    <cellStyle name="Entrada 11 3" xfId="9891" xr:uid="{D8E2BE53-62ED-4C7D-8162-FA073D8A2501}"/>
    <cellStyle name="Entrada 12" xfId="5008" xr:uid="{00000000-0005-0000-0000-000090130000}"/>
    <cellStyle name="Entrada 12 2" xfId="5009" xr:uid="{00000000-0005-0000-0000-000091130000}"/>
    <cellStyle name="Entrada 12 2 2" xfId="9894" xr:uid="{F85A1352-375A-4D11-AF50-CAE5A9AD56BA}"/>
    <cellStyle name="Entrada 12 3" xfId="9893" xr:uid="{96B68FD5-2DEA-4507-8CD0-261FE9E3C14B}"/>
    <cellStyle name="Entrada 13" xfId="5010" xr:uid="{00000000-0005-0000-0000-000092130000}"/>
    <cellStyle name="Entrada 13 2" xfId="5011" xr:uid="{00000000-0005-0000-0000-000093130000}"/>
    <cellStyle name="Entrada 13 2 2" xfId="9896" xr:uid="{3AA8E98B-172A-41DF-8E79-01E9BAB01DB5}"/>
    <cellStyle name="Entrada 13 3" xfId="9895" xr:uid="{851FA69F-CA57-4F78-91BE-104E5133FC04}"/>
    <cellStyle name="Entrada 14" xfId="5012" xr:uid="{00000000-0005-0000-0000-000094130000}"/>
    <cellStyle name="Entrada 14 2" xfId="5013" xr:uid="{00000000-0005-0000-0000-000095130000}"/>
    <cellStyle name="Entrada 14 2 2" xfId="9898" xr:uid="{41C808AF-7FE5-4C52-95E3-C3DC242698CE}"/>
    <cellStyle name="Entrada 14 3" xfId="9897" xr:uid="{135F9AE6-B6C4-41D7-96B9-78015DD04B0D}"/>
    <cellStyle name="Entrada 15" xfId="5014" xr:uid="{00000000-0005-0000-0000-000096130000}"/>
    <cellStyle name="Entrada 15 2" xfId="9899" xr:uid="{8C0DF5C2-1850-4629-8C5B-D9FC15FEF5D6}"/>
    <cellStyle name="Entrada 2" xfId="3403" xr:uid="{00000000-0005-0000-0000-00004B0D0000}"/>
    <cellStyle name="Entrada 2 2" xfId="5015" xr:uid="{00000000-0005-0000-0000-000097130000}"/>
    <cellStyle name="Entrada 2 2 2" xfId="9900" xr:uid="{E4DE0432-1ECA-4B76-A858-F92FF290B4B9}"/>
    <cellStyle name="Entrada 2 3" xfId="5016" xr:uid="{00000000-0005-0000-0000-000098130000}"/>
    <cellStyle name="Entrada 2 3 2" xfId="9901" xr:uid="{7FFDB47E-4753-49ED-B0DA-9B45CBF2E0BA}"/>
    <cellStyle name="Entrada 2 4" xfId="5017" xr:uid="{00000000-0005-0000-0000-000099130000}"/>
    <cellStyle name="Entrada 2 4 2" xfId="9902" xr:uid="{BA6A000C-FE0C-4F11-B833-EDDEAF02FC7F}"/>
    <cellStyle name="Entrada 2 5" xfId="8809" xr:uid="{09CA9131-3D8C-4639-BE34-88D11EF91217}"/>
    <cellStyle name="Entrada 3" xfId="3404" xr:uid="{00000000-0005-0000-0000-00004C0D0000}"/>
    <cellStyle name="Entrada 3 2" xfId="5018" xr:uid="{00000000-0005-0000-0000-00009A130000}"/>
    <cellStyle name="Entrada 3 2 2" xfId="9903" xr:uid="{656C1523-2FAC-44AD-92F4-8C2E24250A93}"/>
    <cellStyle name="Entrada 3 3" xfId="5019" xr:uid="{00000000-0005-0000-0000-00009B130000}"/>
    <cellStyle name="Entrada 3 3 2" xfId="9904" xr:uid="{E0C619AC-E894-443E-99DF-1A2E3DEB508C}"/>
    <cellStyle name="Entrada 3 4" xfId="8810" xr:uid="{7D1C5B68-DA8B-41C9-83C5-E71914DC8823}"/>
    <cellStyle name="Entrada 4" xfId="5020" xr:uid="{00000000-0005-0000-0000-00009C130000}"/>
    <cellStyle name="Entrada 4 2" xfId="5021" xr:uid="{00000000-0005-0000-0000-00009D130000}"/>
    <cellStyle name="Entrada 4 2 2" xfId="9906" xr:uid="{2DE62A35-B46B-4324-8100-039DFB3375B1}"/>
    <cellStyle name="Entrada 4 3" xfId="5022" xr:uid="{00000000-0005-0000-0000-00009E130000}"/>
    <cellStyle name="Entrada 4 3 2" xfId="9907" xr:uid="{71E934ED-7C9E-4A58-9E03-30501EC082C7}"/>
    <cellStyle name="Entrada 4 4" xfId="9905" xr:uid="{E0BC076C-9A74-4BDE-B267-465A4F0C8577}"/>
    <cellStyle name="Entrada 5" xfId="5023" xr:uid="{00000000-0005-0000-0000-00009F130000}"/>
    <cellStyle name="Entrada 5 2" xfId="9908" xr:uid="{14755D55-0D37-408F-9E07-420DD6B92B3B}"/>
    <cellStyle name="Entrada 6" xfId="5024" xr:uid="{00000000-0005-0000-0000-0000A0130000}"/>
    <cellStyle name="Entrada 6 2" xfId="9909" xr:uid="{34A9A6A1-DF34-41CC-8335-8E19CC67DF19}"/>
    <cellStyle name="Entrada 7" xfId="5025" xr:uid="{00000000-0005-0000-0000-0000A1130000}"/>
    <cellStyle name="Entrada 7 2" xfId="9910" xr:uid="{D8479C92-33E9-4F67-A235-B7E5CFDECA7A}"/>
    <cellStyle name="Entrada 8" xfId="5026" xr:uid="{00000000-0005-0000-0000-0000A2130000}"/>
    <cellStyle name="Entrada 8 2" xfId="9911" xr:uid="{BD79F222-E91C-4875-8970-0A2433EF5807}"/>
    <cellStyle name="Entrada 9" xfId="5027" xr:uid="{00000000-0005-0000-0000-0000A3130000}"/>
    <cellStyle name="Entrada 9 2" xfId="9912" xr:uid="{F5D18C6E-8185-4B60-A6B4-E173DF6ECED4}"/>
    <cellStyle name="EPMLargeKeyFigure" xfId="30" xr:uid="{00000000-0005-0000-0000-00001E000000}"/>
    <cellStyle name="EPMUnrecognizedMember" xfId="29" xr:uid="{00000000-0005-0000-0000-00001D000000}"/>
    <cellStyle name="Estilo 1" xfId="1355" xr:uid="{00000000-0005-0000-0000-00004B050000}"/>
    <cellStyle name="Estilo 1 2" xfId="1356" xr:uid="{00000000-0005-0000-0000-00004C050000}"/>
    <cellStyle name="Estilo 1 2 2" xfId="1357" xr:uid="{00000000-0005-0000-0000-00004D050000}"/>
    <cellStyle name="Estilo 1 2 2 2" xfId="5028" xr:uid="{00000000-0005-0000-0000-0000A4130000}"/>
    <cellStyle name="Estilo 1 2 3" xfId="1358" xr:uid="{00000000-0005-0000-0000-00004E050000}"/>
    <cellStyle name="Estilo 1 2 3 2" xfId="5029" xr:uid="{00000000-0005-0000-0000-0000A5130000}"/>
    <cellStyle name="Estilo 1 2 4" xfId="1359" xr:uid="{00000000-0005-0000-0000-00004F050000}"/>
    <cellStyle name="Estilo 1 2 4 2" xfId="5030" xr:uid="{00000000-0005-0000-0000-0000A6130000}"/>
    <cellStyle name="Estilo 1 2 5" xfId="1360" xr:uid="{00000000-0005-0000-0000-000050050000}"/>
    <cellStyle name="Estilo 1 2 5 2" xfId="5031" xr:uid="{00000000-0005-0000-0000-0000A7130000}"/>
    <cellStyle name="Estilo 1 2 6" xfId="1361" xr:uid="{00000000-0005-0000-0000-000051050000}"/>
    <cellStyle name="Estilo 1 2 6 2" xfId="5032" xr:uid="{00000000-0005-0000-0000-0000A8130000}"/>
    <cellStyle name="Estilo 1 2 7" xfId="1362" xr:uid="{00000000-0005-0000-0000-000052050000}"/>
    <cellStyle name="Estilo 1 2 7 2" xfId="5033" xr:uid="{00000000-0005-0000-0000-0000A9130000}"/>
    <cellStyle name="Estilo 1 2 8" xfId="1363" xr:uid="{00000000-0005-0000-0000-000053050000}"/>
    <cellStyle name="Estilo 1 2_ActiFijos" xfId="1364" xr:uid="{00000000-0005-0000-0000-000054050000}"/>
    <cellStyle name="Estilo 1 3" xfId="1365" xr:uid="{00000000-0005-0000-0000-000055050000}"/>
    <cellStyle name="Estilo 1 3 2" xfId="1366" xr:uid="{00000000-0005-0000-0000-000056050000}"/>
    <cellStyle name="Estilo 1 3 2 2" xfId="5034" xr:uid="{00000000-0005-0000-0000-0000AA130000}"/>
    <cellStyle name="Estilo 1 3 3" xfId="1367" xr:uid="{00000000-0005-0000-0000-000057050000}"/>
    <cellStyle name="Estilo 1 3 3 2" xfId="5035" xr:uid="{00000000-0005-0000-0000-0000AB130000}"/>
    <cellStyle name="Estilo 1 3 4" xfId="1368" xr:uid="{00000000-0005-0000-0000-000058050000}"/>
    <cellStyle name="Estilo 1 3 4 2" xfId="5036" xr:uid="{00000000-0005-0000-0000-0000AC130000}"/>
    <cellStyle name="Estilo 1 3 5" xfId="1369" xr:uid="{00000000-0005-0000-0000-000059050000}"/>
    <cellStyle name="Estilo 1 3 5 2" xfId="5037" xr:uid="{00000000-0005-0000-0000-0000AD130000}"/>
    <cellStyle name="Estilo 1 3 6" xfId="1370" xr:uid="{00000000-0005-0000-0000-00005A050000}"/>
    <cellStyle name="Estilo 1 3 6 2" xfId="5038" xr:uid="{00000000-0005-0000-0000-0000AE130000}"/>
    <cellStyle name="Estilo 1 3 7" xfId="1371" xr:uid="{00000000-0005-0000-0000-00005B050000}"/>
    <cellStyle name="Estilo 1 3 8" xfId="1372" xr:uid="{00000000-0005-0000-0000-00005C050000}"/>
    <cellStyle name="Estilo 1 3_ActiFijos" xfId="1373" xr:uid="{00000000-0005-0000-0000-00005D050000}"/>
    <cellStyle name="Estilo 1 4" xfId="1374" xr:uid="{00000000-0005-0000-0000-00005E050000}"/>
    <cellStyle name="Estilo 1 4 2" xfId="1375" xr:uid="{00000000-0005-0000-0000-00005F050000}"/>
    <cellStyle name="Estilo 1 4 2 2" xfId="5039" xr:uid="{00000000-0005-0000-0000-0000AF130000}"/>
    <cellStyle name="Estilo 1 4 3" xfId="1376" xr:uid="{00000000-0005-0000-0000-000060050000}"/>
    <cellStyle name="Estilo 1 4 3 2" xfId="5040" xr:uid="{00000000-0005-0000-0000-0000B0130000}"/>
    <cellStyle name="Estilo 1 4 4" xfId="1377" xr:uid="{00000000-0005-0000-0000-000061050000}"/>
    <cellStyle name="Estilo 1 4 4 2" xfId="5041" xr:uid="{00000000-0005-0000-0000-0000B1130000}"/>
    <cellStyle name="Estilo 1 4 5" xfId="1378" xr:uid="{00000000-0005-0000-0000-000062050000}"/>
    <cellStyle name="Estilo 1 4 5 2" xfId="5042" xr:uid="{00000000-0005-0000-0000-0000B2130000}"/>
    <cellStyle name="Estilo 1 4 6" xfId="1379" xr:uid="{00000000-0005-0000-0000-000063050000}"/>
    <cellStyle name="Estilo 1 4 6 2" xfId="5043" xr:uid="{00000000-0005-0000-0000-0000B3130000}"/>
    <cellStyle name="Estilo 1 4 7" xfId="1380" xr:uid="{00000000-0005-0000-0000-000064050000}"/>
    <cellStyle name="Estilo 1 4 8" xfId="1381" xr:uid="{00000000-0005-0000-0000-000065050000}"/>
    <cellStyle name="Estilo 1 4_ActiFijos" xfId="1382" xr:uid="{00000000-0005-0000-0000-000066050000}"/>
    <cellStyle name="Estilo 1 5" xfId="1383" xr:uid="{00000000-0005-0000-0000-000067050000}"/>
    <cellStyle name="Estilo 1 5 2" xfId="1384" xr:uid="{00000000-0005-0000-0000-000068050000}"/>
    <cellStyle name="Estilo 1 5 2 2" xfId="3785" xr:uid="{00000000-0005-0000-0000-0000C90E0000}"/>
    <cellStyle name="Estilo 1 5 3" xfId="1385" xr:uid="{00000000-0005-0000-0000-000069050000}"/>
    <cellStyle name="Estilo 1 5 3 2" xfId="3786" xr:uid="{00000000-0005-0000-0000-0000CA0E0000}"/>
    <cellStyle name="Estilo 1 5 4" xfId="1386" xr:uid="{00000000-0005-0000-0000-00006A050000}"/>
    <cellStyle name="Estilo 1 5 4 2" xfId="3787" xr:uid="{00000000-0005-0000-0000-0000CB0E0000}"/>
    <cellStyle name="Estilo 1 5 5" xfId="1387" xr:uid="{00000000-0005-0000-0000-00006B050000}"/>
    <cellStyle name="Estilo 1 5 5 2" xfId="3788" xr:uid="{00000000-0005-0000-0000-0000CC0E0000}"/>
    <cellStyle name="Estilo 1 5 6" xfId="3784" xr:uid="{00000000-0005-0000-0000-0000C80E0000}"/>
    <cellStyle name="Estilo 1 6" xfId="5044" xr:uid="{00000000-0005-0000-0000-0000B4130000}"/>
    <cellStyle name="Estilo 1_Bases_Generales" xfId="1388" xr:uid="{00000000-0005-0000-0000-00006C050000}"/>
    <cellStyle name="Estilo 10" xfId="3405" xr:uid="{00000000-0005-0000-0000-00004D0D0000}"/>
    <cellStyle name="Estilo 11" xfId="3406" xr:uid="{00000000-0005-0000-0000-00004E0D0000}"/>
    <cellStyle name="Estilo 12" xfId="3407" xr:uid="{00000000-0005-0000-0000-00004F0D0000}"/>
    <cellStyle name="Estilo 13" xfId="3408" xr:uid="{00000000-0005-0000-0000-0000500D0000}"/>
    <cellStyle name="Estilo 2" xfId="1389" xr:uid="{00000000-0005-0000-0000-00006D050000}"/>
    <cellStyle name="Estilo 2 2" xfId="8238" xr:uid="{E98183AA-72D8-4E0D-A2F3-82AAA60B84BA}"/>
    <cellStyle name="Estilo 3" xfId="1390" xr:uid="{00000000-0005-0000-0000-00006E050000}"/>
    <cellStyle name="Estilo 3 2" xfId="5045" xr:uid="{00000000-0005-0000-0000-0000B5130000}"/>
    <cellStyle name="Estilo 3 3" xfId="8239" xr:uid="{729D505F-1B24-4CE0-95D2-FFE42025416B}"/>
    <cellStyle name="Estilo 4" xfId="1391" xr:uid="{00000000-0005-0000-0000-00006F050000}"/>
    <cellStyle name="Estilo 4 2" xfId="5046" xr:uid="{00000000-0005-0000-0000-0000B6130000}"/>
    <cellStyle name="Estilo 4 3" xfId="8240" xr:uid="{FC07E53D-CE68-471E-ACAB-EFAB5776B6D8}"/>
    <cellStyle name="Estilo 5" xfId="1392" xr:uid="{00000000-0005-0000-0000-000070050000}"/>
    <cellStyle name="Estilo 5 2" xfId="5047" xr:uid="{00000000-0005-0000-0000-0000B7130000}"/>
    <cellStyle name="Estilo 6" xfId="1393" xr:uid="{00000000-0005-0000-0000-000071050000}"/>
    <cellStyle name="Estilo 7" xfId="1394" xr:uid="{00000000-0005-0000-0000-000072050000}"/>
    <cellStyle name="Estilo 8" xfId="1395" xr:uid="{00000000-0005-0000-0000-000073050000}"/>
    <cellStyle name="Estilo 9" xfId="1396" xr:uid="{00000000-0005-0000-0000-000074050000}"/>
    <cellStyle name="Euro" xfId="1397" xr:uid="{00000000-0005-0000-0000-000075050000}"/>
    <cellStyle name="Euro 2" xfId="1398" xr:uid="{00000000-0005-0000-0000-000076050000}"/>
    <cellStyle name="Euro 2 10" xfId="8241" xr:uid="{BEC3719F-E0D1-45DF-B0C2-6B2532A47663}"/>
    <cellStyle name="Euro 2 2" xfId="1399" xr:uid="{00000000-0005-0000-0000-000077050000}"/>
    <cellStyle name="Euro 2 2 2" xfId="8242" xr:uid="{BB4482FA-06F8-4048-8C61-1EAE1C3DE83F}"/>
    <cellStyle name="Euro 2 3" xfId="1400" xr:uid="{00000000-0005-0000-0000-000078050000}"/>
    <cellStyle name="Euro 2 3 2" xfId="8243" xr:uid="{72864E3E-B08E-43F9-85F2-432B1063ADB5}"/>
    <cellStyle name="Euro 2 4" xfId="1401" xr:uid="{00000000-0005-0000-0000-000079050000}"/>
    <cellStyle name="Euro 2 4 2" xfId="8244" xr:uid="{C469F89F-B5AE-4999-BE0D-CD318177B11F}"/>
    <cellStyle name="Euro 2 5" xfId="1402" xr:uid="{00000000-0005-0000-0000-00007A050000}"/>
    <cellStyle name="Euro 2 5 2" xfId="8245" xr:uid="{35F70AF2-CEFC-43CF-86AA-34E7182BF779}"/>
    <cellStyle name="Euro 2 6" xfId="1403" xr:uid="{00000000-0005-0000-0000-00007B050000}"/>
    <cellStyle name="Euro 2 6 2" xfId="8246" xr:uid="{7E64DEAF-F8BF-492F-9811-10A00DC13D1B}"/>
    <cellStyle name="Euro 2 7" xfId="1404" xr:uid="{00000000-0005-0000-0000-00007C050000}"/>
    <cellStyle name="Euro 2 7 2" xfId="8247" xr:uid="{4B6FCB6E-59DA-4991-9FBA-E16EF25A3483}"/>
    <cellStyle name="Euro 2 8" xfId="1405" xr:uid="{00000000-0005-0000-0000-00007D050000}"/>
    <cellStyle name="Euro 2 8 2" xfId="8248" xr:uid="{0D1D834F-AF40-4E88-9639-1051824CFDB0}"/>
    <cellStyle name="Euro 2 9" xfId="5048" xr:uid="{00000000-0005-0000-0000-0000B8130000}"/>
    <cellStyle name="Euro 3" xfId="1406" xr:uid="{00000000-0005-0000-0000-00007E050000}"/>
    <cellStyle name="Euro 3 2" xfId="1407" xr:uid="{00000000-0005-0000-0000-00007F050000}"/>
    <cellStyle name="Euro 3 2 2" xfId="8250" xr:uid="{413A0A12-D17C-4477-A7C6-A24A2CA73161}"/>
    <cellStyle name="Euro 3 3" xfId="1408" xr:uid="{00000000-0005-0000-0000-000080050000}"/>
    <cellStyle name="Euro 3 3 2" xfId="8251" xr:uid="{54168871-0833-4800-8347-C2FC2A23654F}"/>
    <cellStyle name="Euro 3 4" xfId="1409" xr:uid="{00000000-0005-0000-0000-000081050000}"/>
    <cellStyle name="Euro 3 4 2" xfId="8252" xr:uid="{EF1E1BA7-175B-4A98-A47B-12D360793166}"/>
    <cellStyle name="Euro 3 5" xfId="1410" xr:uid="{00000000-0005-0000-0000-000082050000}"/>
    <cellStyle name="Euro 3 5 2" xfId="8253" xr:uid="{B03579D8-5750-47B9-A456-5570698A119B}"/>
    <cellStyle name="Euro 3 6" xfId="1411" xr:uid="{00000000-0005-0000-0000-000083050000}"/>
    <cellStyle name="Euro 3 6 2" xfId="8254" xr:uid="{A9D999CB-1BF6-41CD-AAEB-FF9BA859EC3F}"/>
    <cellStyle name="Euro 3 7" xfId="1412" xr:uid="{00000000-0005-0000-0000-000084050000}"/>
    <cellStyle name="Euro 3 7 2" xfId="8255" xr:uid="{95804C7A-37A0-46B9-8A45-F6A77E093DA5}"/>
    <cellStyle name="Euro 3 8" xfId="1413" xr:uid="{00000000-0005-0000-0000-000085050000}"/>
    <cellStyle name="Euro 3 8 2" xfId="8256" xr:uid="{AFC46253-3C08-4BD6-8106-9B66C50632C5}"/>
    <cellStyle name="Euro 3 9" xfId="8249" xr:uid="{1102A93D-A829-483A-9843-2E042B770E81}"/>
    <cellStyle name="Euro 4" xfId="1414" xr:uid="{00000000-0005-0000-0000-000086050000}"/>
    <cellStyle name="Euro 4 2" xfId="1415" xr:uid="{00000000-0005-0000-0000-000087050000}"/>
    <cellStyle name="Euro 4 2 2" xfId="8258" xr:uid="{A61504C3-3BBA-4AF7-B066-1285A6842BCA}"/>
    <cellStyle name="Euro 4 3" xfId="1416" xr:uid="{00000000-0005-0000-0000-000088050000}"/>
    <cellStyle name="Euro 4 3 2" xfId="8259" xr:uid="{29AD8CE5-E80F-4243-89D0-7A937A0577E6}"/>
    <cellStyle name="Euro 4 4" xfId="1417" xr:uid="{00000000-0005-0000-0000-000089050000}"/>
    <cellStyle name="Euro 4 4 2" xfId="8260" xr:uid="{8189D9E8-5103-46BC-81E5-194449A30985}"/>
    <cellStyle name="Euro 4 5" xfId="1418" xr:uid="{00000000-0005-0000-0000-00008A050000}"/>
    <cellStyle name="Euro 4 5 2" xfId="8261" xr:uid="{D63ADE59-DF35-4465-817D-C07CCFA03254}"/>
    <cellStyle name="Euro 4 6" xfId="1419" xr:uid="{00000000-0005-0000-0000-00008B050000}"/>
    <cellStyle name="Euro 4 6 2" xfId="8262" xr:uid="{ADC7B2C8-3080-41BB-B28E-CC352867C840}"/>
    <cellStyle name="Euro 4 7" xfId="1420" xr:uid="{00000000-0005-0000-0000-00008C050000}"/>
    <cellStyle name="Euro 4 7 2" xfId="8263" xr:uid="{752BA3D4-220E-48D0-8BCC-2816C963A67C}"/>
    <cellStyle name="Euro 4 8" xfId="1421" xr:uid="{00000000-0005-0000-0000-00008D050000}"/>
    <cellStyle name="Euro 4 8 2" xfId="8264" xr:uid="{9EB0A429-ED41-4CA7-BA7A-A3357020640A}"/>
    <cellStyle name="Euro 4 9" xfId="8257" xr:uid="{488DFCEC-F7C6-4518-AF6E-A73859130891}"/>
    <cellStyle name="Euro 5" xfId="5049" xr:uid="{00000000-0005-0000-0000-0000B9130000}"/>
    <cellStyle name="Euro 5 2" xfId="5050" xr:uid="{00000000-0005-0000-0000-0000BA130000}"/>
    <cellStyle name="Euro 6" xfId="5051" xr:uid="{00000000-0005-0000-0000-0000BB130000}"/>
    <cellStyle name="Euro_Deuda septiembre_marcos" xfId="1422" xr:uid="{00000000-0005-0000-0000-00008E050000}"/>
    <cellStyle name="EY House" xfId="1423" xr:uid="{00000000-0005-0000-0000-00008F050000}"/>
    <cellStyle name="EY House 10" xfId="1424" xr:uid="{00000000-0005-0000-0000-000090050000}"/>
    <cellStyle name="EY House 11" xfId="1425" xr:uid="{00000000-0005-0000-0000-000091050000}"/>
    <cellStyle name="EY House 12" xfId="1426" xr:uid="{00000000-0005-0000-0000-000092050000}"/>
    <cellStyle name="EY House 13" xfId="1427" xr:uid="{00000000-0005-0000-0000-000093050000}"/>
    <cellStyle name="EY House 2" xfId="1428" xr:uid="{00000000-0005-0000-0000-000094050000}"/>
    <cellStyle name="EY House 3" xfId="1429" xr:uid="{00000000-0005-0000-0000-000095050000}"/>
    <cellStyle name="EY House 4" xfId="1430" xr:uid="{00000000-0005-0000-0000-000096050000}"/>
    <cellStyle name="EY House 5" xfId="1431" xr:uid="{00000000-0005-0000-0000-000097050000}"/>
    <cellStyle name="EY House 6" xfId="1432" xr:uid="{00000000-0005-0000-0000-000098050000}"/>
    <cellStyle name="EY House 7" xfId="1433" xr:uid="{00000000-0005-0000-0000-000099050000}"/>
    <cellStyle name="EY House 8" xfId="1434" xr:uid="{00000000-0005-0000-0000-00009A050000}"/>
    <cellStyle name="EY House 9" xfId="1435" xr:uid="{00000000-0005-0000-0000-00009B050000}"/>
    <cellStyle name="EY House_ActiFijos" xfId="1436" xr:uid="{00000000-0005-0000-0000-00009C050000}"/>
    <cellStyle name="EY%input" xfId="1437" xr:uid="{00000000-0005-0000-0000-00009D050000}"/>
    <cellStyle name="EY0dp" xfId="1438" xr:uid="{00000000-0005-0000-0000-00009E050000}"/>
    <cellStyle name="EYnumber_Project GuGu - Databook 050331 v2" xfId="1439" xr:uid="{00000000-0005-0000-0000-00009F050000}"/>
    <cellStyle name="EYtext_Project Sprinkle - Databook (PR) 4-1-05" xfId="1440" xr:uid="{00000000-0005-0000-0000-0000A0050000}"/>
    <cellStyle name="F2" xfId="1441" xr:uid="{00000000-0005-0000-0000-0000A1050000}"/>
    <cellStyle name="F2 2" xfId="1442" xr:uid="{00000000-0005-0000-0000-0000A2050000}"/>
    <cellStyle name="F2 2 2" xfId="1443" xr:uid="{00000000-0005-0000-0000-0000A3050000}"/>
    <cellStyle name="F2 2 3" xfId="1444" xr:uid="{00000000-0005-0000-0000-0000A4050000}"/>
    <cellStyle name="F2 2 4" xfId="1445" xr:uid="{00000000-0005-0000-0000-0000A5050000}"/>
    <cellStyle name="F2 2 5" xfId="1446" xr:uid="{00000000-0005-0000-0000-0000A6050000}"/>
    <cellStyle name="F2 2 6" xfId="1447" xr:uid="{00000000-0005-0000-0000-0000A7050000}"/>
    <cellStyle name="F2 2 7" xfId="1448" xr:uid="{00000000-0005-0000-0000-0000A8050000}"/>
    <cellStyle name="F2 2 8" xfId="1449" xr:uid="{00000000-0005-0000-0000-0000A9050000}"/>
    <cellStyle name="F2 2_ActiFijos" xfId="1450" xr:uid="{00000000-0005-0000-0000-0000AA050000}"/>
    <cellStyle name="F2 3" xfId="1451" xr:uid="{00000000-0005-0000-0000-0000AB050000}"/>
    <cellStyle name="F2 3 2" xfId="1452" xr:uid="{00000000-0005-0000-0000-0000AC050000}"/>
    <cellStyle name="F2 3 3" xfId="1453" xr:uid="{00000000-0005-0000-0000-0000AD050000}"/>
    <cellStyle name="F2 3 4" xfId="1454" xr:uid="{00000000-0005-0000-0000-0000AE050000}"/>
    <cellStyle name="F2 3 5" xfId="1455" xr:uid="{00000000-0005-0000-0000-0000AF050000}"/>
    <cellStyle name="F2 3 6" xfId="1456" xr:uid="{00000000-0005-0000-0000-0000B0050000}"/>
    <cellStyle name="F2 3 7" xfId="1457" xr:uid="{00000000-0005-0000-0000-0000B1050000}"/>
    <cellStyle name="F2 3 8" xfId="1458" xr:uid="{00000000-0005-0000-0000-0000B2050000}"/>
    <cellStyle name="F2 3_ActiFijos" xfId="1459" xr:uid="{00000000-0005-0000-0000-0000B3050000}"/>
    <cellStyle name="F2 4" xfId="1460" xr:uid="{00000000-0005-0000-0000-0000B4050000}"/>
    <cellStyle name="F2 4 2" xfId="1461" xr:uid="{00000000-0005-0000-0000-0000B5050000}"/>
    <cellStyle name="F2 4 3" xfId="1462" xr:uid="{00000000-0005-0000-0000-0000B6050000}"/>
    <cellStyle name="F2 4 4" xfId="1463" xr:uid="{00000000-0005-0000-0000-0000B7050000}"/>
    <cellStyle name="F2 4 5" xfId="1464" xr:uid="{00000000-0005-0000-0000-0000B8050000}"/>
    <cellStyle name="F2 4 6" xfId="1465" xr:uid="{00000000-0005-0000-0000-0000B9050000}"/>
    <cellStyle name="F2 4 7" xfId="1466" xr:uid="{00000000-0005-0000-0000-0000BA050000}"/>
    <cellStyle name="F2 4 8" xfId="1467" xr:uid="{00000000-0005-0000-0000-0000BB050000}"/>
    <cellStyle name="F2 4_ActiFijos" xfId="1468" xr:uid="{00000000-0005-0000-0000-0000BC050000}"/>
    <cellStyle name="F2_Bases_Generales" xfId="1469" xr:uid="{00000000-0005-0000-0000-0000BD050000}"/>
    <cellStyle name="F3" xfId="1470" xr:uid="{00000000-0005-0000-0000-0000BE050000}"/>
    <cellStyle name="F3 2" xfId="1471" xr:uid="{00000000-0005-0000-0000-0000BF050000}"/>
    <cellStyle name="F3 2 2" xfId="1472" xr:uid="{00000000-0005-0000-0000-0000C0050000}"/>
    <cellStyle name="F3 2 3" xfId="1473" xr:uid="{00000000-0005-0000-0000-0000C1050000}"/>
    <cellStyle name="F3 2 4" xfId="1474" xr:uid="{00000000-0005-0000-0000-0000C2050000}"/>
    <cellStyle name="F3 2 5" xfId="1475" xr:uid="{00000000-0005-0000-0000-0000C3050000}"/>
    <cellStyle name="F3 2 6" xfId="1476" xr:uid="{00000000-0005-0000-0000-0000C4050000}"/>
    <cellStyle name="F3 2 7" xfId="1477" xr:uid="{00000000-0005-0000-0000-0000C5050000}"/>
    <cellStyle name="F3 2 8" xfId="1478" xr:uid="{00000000-0005-0000-0000-0000C6050000}"/>
    <cellStyle name="F3 2_ActiFijos" xfId="1479" xr:uid="{00000000-0005-0000-0000-0000C7050000}"/>
    <cellStyle name="F3 3" xfId="1480" xr:uid="{00000000-0005-0000-0000-0000C8050000}"/>
    <cellStyle name="F3 3 2" xfId="1481" xr:uid="{00000000-0005-0000-0000-0000C9050000}"/>
    <cellStyle name="F3 3 3" xfId="1482" xr:uid="{00000000-0005-0000-0000-0000CA050000}"/>
    <cellStyle name="F3 3 4" xfId="1483" xr:uid="{00000000-0005-0000-0000-0000CB050000}"/>
    <cellStyle name="F3 3 5" xfId="1484" xr:uid="{00000000-0005-0000-0000-0000CC050000}"/>
    <cellStyle name="F3 3 6" xfId="1485" xr:uid="{00000000-0005-0000-0000-0000CD050000}"/>
    <cellStyle name="F3 3 7" xfId="1486" xr:uid="{00000000-0005-0000-0000-0000CE050000}"/>
    <cellStyle name="F3 3 8" xfId="1487" xr:uid="{00000000-0005-0000-0000-0000CF050000}"/>
    <cellStyle name="F3 3_ActiFijos" xfId="1488" xr:uid="{00000000-0005-0000-0000-0000D0050000}"/>
    <cellStyle name="F3 4" xfId="1489" xr:uid="{00000000-0005-0000-0000-0000D1050000}"/>
    <cellStyle name="F3 4 2" xfId="1490" xr:uid="{00000000-0005-0000-0000-0000D2050000}"/>
    <cellStyle name="F3 4 3" xfId="1491" xr:uid="{00000000-0005-0000-0000-0000D3050000}"/>
    <cellStyle name="F3 4 4" xfId="1492" xr:uid="{00000000-0005-0000-0000-0000D4050000}"/>
    <cellStyle name="F3 4 5" xfId="1493" xr:uid="{00000000-0005-0000-0000-0000D5050000}"/>
    <cellStyle name="F3 4 6" xfId="1494" xr:uid="{00000000-0005-0000-0000-0000D6050000}"/>
    <cellStyle name="F3 4 7" xfId="1495" xr:uid="{00000000-0005-0000-0000-0000D7050000}"/>
    <cellStyle name="F3 4 8" xfId="1496" xr:uid="{00000000-0005-0000-0000-0000D8050000}"/>
    <cellStyle name="F3 4_ActiFijos" xfId="1497" xr:uid="{00000000-0005-0000-0000-0000D9050000}"/>
    <cellStyle name="F3_Bases_Generales" xfId="1498" xr:uid="{00000000-0005-0000-0000-0000DA050000}"/>
    <cellStyle name="F4" xfId="1499" xr:uid="{00000000-0005-0000-0000-0000DB050000}"/>
    <cellStyle name="F4 2" xfId="1500" xr:uid="{00000000-0005-0000-0000-0000DC050000}"/>
    <cellStyle name="F4 2 2" xfId="1501" xr:uid="{00000000-0005-0000-0000-0000DD050000}"/>
    <cellStyle name="F4 2 3" xfId="1502" xr:uid="{00000000-0005-0000-0000-0000DE050000}"/>
    <cellStyle name="F4 2 4" xfId="1503" xr:uid="{00000000-0005-0000-0000-0000DF050000}"/>
    <cellStyle name="F4 2 5" xfId="1504" xr:uid="{00000000-0005-0000-0000-0000E0050000}"/>
    <cellStyle name="F4 2 6" xfId="1505" xr:uid="{00000000-0005-0000-0000-0000E1050000}"/>
    <cellStyle name="F4 2 7" xfId="1506" xr:uid="{00000000-0005-0000-0000-0000E2050000}"/>
    <cellStyle name="F4 2 8" xfId="1507" xr:uid="{00000000-0005-0000-0000-0000E3050000}"/>
    <cellStyle name="F4 2_ActiFijos" xfId="1508" xr:uid="{00000000-0005-0000-0000-0000E4050000}"/>
    <cellStyle name="F4 3" xfId="1509" xr:uid="{00000000-0005-0000-0000-0000E5050000}"/>
    <cellStyle name="F4 3 2" xfId="1510" xr:uid="{00000000-0005-0000-0000-0000E6050000}"/>
    <cellStyle name="F4 3 3" xfId="1511" xr:uid="{00000000-0005-0000-0000-0000E7050000}"/>
    <cellStyle name="F4 3 4" xfId="1512" xr:uid="{00000000-0005-0000-0000-0000E8050000}"/>
    <cellStyle name="F4 3 5" xfId="1513" xr:uid="{00000000-0005-0000-0000-0000E9050000}"/>
    <cellStyle name="F4 3 6" xfId="1514" xr:uid="{00000000-0005-0000-0000-0000EA050000}"/>
    <cellStyle name="F4 3 7" xfId="1515" xr:uid="{00000000-0005-0000-0000-0000EB050000}"/>
    <cellStyle name="F4 3 8" xfId="1516" xr:uid="{00000000-0005-0000-0000-0000EC050000}"/>
    <cellStyle name="F4 3_ActiFijos" xfId="1517" xr:uid="{00000000-0005-0000-0000-0000ED050000}"/>
    <cellStyle name="F4 4" xfId="1518" xr:uid="{00000000-0005-0000-0000-0000EE050000}"/>
    <cellStyle name="F4 4 2" xfId="1519" xr:uid="{00000000-0005-0000-0000-0000EF050000}"/>
    <cellStyle name="F4 4 3" xfId="1520" xr:uid="{00000000-0005-0000-0000-0000F0050000}"/>
    <cellStyle name="F4 4 4" xfId="1521" xr:uid="{00000000-0005-0000-0000-0000F1050000}"/>
    <cellStyle name="F4 4 5" xfId="1522" xr:uid="{00000000-0005-0000-0000-0000F2050000}"/>
    <cellStyle name="F4 4 6" xfId="1523" xr:uid="{00000000-0005-0000-0000-0000F3050000}"/>
    <cellStyle name="F4 4 7" xfId="1524" xr:uid="{00000000-0005-0000-0000-0000F4050000}"/>
    <cellStyle name="F4 4 8" xfId="1525" xr:uid="{00000000-0005-0000-0000-0000F5050000}"/>
    <cellStyle name="F4 4_ActiFijos" xfId="1526" xr:uid="{00000000-0005-0000-0000-0000F6050000}"/>
    <cellStyle name="F4_Bases_Generales" xfId="1527" xr:uid="{00000000-0005-0000-0000-0000F7050000}"/>
    <cellStyle name="F5" xfId="1528" xr:uid="{00000000-0005-0000-0000-0000F8050000}"/>
    <cellStyle name="F5 2" xfId="1529" xr:uid="{00000000-0005-0000-0000-0000F9050000}"/>
    <cellStyle name="F5 2 2" xfId="1530" xr:uid="{00000000-0005-0000-0000-0000FA050000}"/>
    <cellStyle name="F5 2 3" xfId="1531" xr:uid="{00000000-0005-0000-0000-0000FB050000}"/>
    <cellStyle name="F5 2 4" xfId="1532" xr:uid="{00000000-0005-0000-0000-0000FC050000}"/>
    <cellStyle name="F5 2 5" xfId="1533" xr:uid="{00000000-0005-0000-0000-0000FD050000}"/>
    <cellStyle name="F5 2 6" xfId="1534" xr:uid="{00000000-0005-0000-0000-0000FE050000}"/>
    <cellStyle name="F5 2 7" xfId="1535" xr:uid="{00000000-0005-0000-0000-0000FF050000}"/>
    <cellStyle name="F5 2 8" xfId="1536" xr:uid="{00000000-0005-0000-0000-000000060000}"/>
    <cellStyle name="F5 2_ActiFijos" xfId="1537" xr:uid="{00000000-0005-0000-0000-000001060000}"/>
    <cellStyle name="F5 3" xfId="1538" xr:uid="{00000000-0005-0000-0000-000002060000}"/>
    <cellStyle name="F5 3 2" xfId="1539" xr:uid="{00000000-0005-0000-0000-000003060000}"/>
    <cellStyle name="F5 3 3" xfId="1540" xr:uid="{00000000-0005-0000-0000-000004060000}"/>
    <cellStyle name="F5 3 4" xfId="1541" xr:uid="{00000000-0005-0000-0000-000005060000}"/>
    <cellStyle name="F5 3 5" xfId="1542" xr:uid="{00000000-0005-0000-0000-000006060000}"/>
    <cellStyle name="F5 3 6" xfId="1543" xr:uid="{00000000-0005-0000-0000-000007060000}"/>
    <cellStyle name="F5 3 7" xfId="1544" xr:uid="{00000000-0005-0000-0000-000008060000}"/>
    <cellStyle name="F5 3 8" xfId="1545" xr:uid="{00000000-0005-0000-0000-000009060000}"/>
    <cellStyle name="F5 3_ActiFijos" xfId="1546" xr:uid="{00000000-0005-0000-0000-00000A060000}"/>
    <cellStyle name="F5 4" xfId="1547" xr:uid="{00000000-0005-0000-0000-00000B060000}"/>
    <cellStyle name="F5 4 2" xfId="1548" xr:uid="{00000000-0005-0000-0000-00000C060000}"/>
    <cellStyle name="F5 4 3" xfId="1549" xr:uid="{00000000-0005-0000-0000-00000D060000}"/>
    <cellStyle name="F5 4 4" xfId="1550" xr:uid="{00000000-0005-0000-0000-00000E060000}"/>
    <cellStyle name="F5 4 5" xfId="1551" xr:uid="{00000000-0005-0000-0000-00000F060000}"/>
    <cellStyle name="F5 4 6" xfId="1552" xr:uid="{00000000-0005-0000-0000-000010060000}"/>
    <cellStyle name="F5 4 7" xfId="1553" xr:uid="{00000000-0005-0000-0000-000011060000}"/>
    <cellStyle name="F5 4 8" xfId="1554" xr:uid="{00000000-0005-0000-0000-000012060000}"/>
    <cellStyle name="F5 4_ActiFijos" xfId="1555" xr:uid="{00000000-0005-0000-0000-000013060000}"/>
    <cellStyle name="F5_Bases_Generales" xfId="1556" xr:uid="{00000000-0005-0000-0000-000014060000}"/>
    <cellStyle name="F6" xfId="1557" xr:uid="{00000000-0005-0000-0000-000015060000}"/>
    <cellStyle name="F6 2" xfId="1558" xr:uid="{00000000-0005-0000-0000-000016060000}"/>
    <cellStyle name="F6 2 2" xfId="1559" xr:uid="{00000000-0005-0000-0000-000017060000}"/>
    <cellStyle name="F6 2 3" xfId="1560" xr:uid="{00000000-0005-0000-0000-000018060000}"/>
    <cellStyle name="F6 2 4" xfId="1561" xr:uid="{00000000-0005-0000-0000-000019060000}"/>
    <cellStyle name="F6 2 5" xfId="1562" xr:uid="{00000000-0005-0000-0000-00001A060000}"/>
    <cellStyle name="F6 2 6" xfId="1563" xr:uid="{00000000-0005-0000-0000-00001B060000}"/>
    <cellStyle name="F6 2 7" xfId="1564" xr:uid="{00000000-0005-0000-0000-00001C060000}"/>
    <cellStyle name="F6 2 8" xfId="1565" xr:uid="{00000000-0005-0000-0000-00001D060000}"/>
    <cellStyle name="F6 2_ActiFijos" xfId="1566" xr:uid="{00000000-0005-0000-0000-00001E060000}"/>
    <cellStyle name="F6 3" xfId="1567" xr:uid="{00000000-0005-0000-0000-00001F060000}"/>
    <cellStyle name="F6 3 2" xfId="1568" xr:uid="{00000000-0005-0000-0000-000020060000}"/>
    <cellStyle name="F6 3 3" xfId="1569" xr:uid="{00000000-0005-0000-0000-000021060000}"/>
    <cellStyle name="F6 3 4" xfId="1570" xr:uid="{00000000-0005-0000-0000-000022060000}"/>
    <cellStyle name="F6 3 5" xfId="1571" xr:uid="{00000000-0005-0000-0000-000023060000}"/>
    <cellStyle name="F6 3 6" xfId="1572" xr:uid="{00000000-0005-0000-0000-000024060000}"/>
    <cellStyle name="F6 3 7" xfId="1573" xr:uid="{00000000-0005-0000-0000-000025060000}"/>
    <cellStyle name="F6 3 8" xfId="1574" xr:uid="{00000000-0005-0000-0000-000026060000}"/>
    <cellStyle name="F6 3_ActiFijos" xfId="1575" xr:uid="{00000000-0005-0000-0000-000027060000}"/>
    <cellStyle name="F6 4" xfId="1576" xr:uid="{00000000-0005-0000-0000-000028060000}"/>
    <cellStyle name="F6 4 2" xfId="1577" xr:uid="{00000000-0005-0000-0000-000029060000}"/>
    <cellStyle name="F6 4 3" xfId="1578" xr:uid="{00000000-0005-0000-0000-00002A060000}"/>
    <cellStyle name="F6 4 4" xfId="1579" xr:uid="{00000000-0005-0000-0000-00002B060000}"/>
    <cellStyle name="F6 4 5" xfId="1580" xr:uid="{00000000-0005-0000-0000-00002C060000}"/>
    <cellStyle name="F6 4 6" xfId="1581" xr:uid="{00000000-0005-0000-0000-00002D060000}"/>
    <cellStyle name="F6 4 7" xfId="1582" xr:uid="{00000000-0005-0000-0000-00002E060000}"/>
    <cellStyle name="F6 4 8" xfId="1583" xr:uid="{00000000-0005-0000-0000-00002F060000}"/>
    <cellStyle name="F6 4_ActiFijos" xfId="1584" xr:uid="{00000000-0005-0000-0000-000030060000}"/>
    <cellStyle name="F6_Bases_Generales" xfId="1585" xr:uid="{00000000-0005-0000-0000-000031060000}"/>
    <cellStyle name="F7" xfId="1586" xr:uid="{00000000-0005-0000-0000-000032060000}"/>
    <cellStyle name="F7 2" xfId="1587" xr:uid="{00000000-0005-0000-0000-000033060000}"/>
    <cellStyle name="F7 2 2" xfId="1588" xr:uid="{00000000-0005-0000-0000-000034060000}"/>
    <cellStyle name="F7 2 3" xfId="1589" xr:uid="{00000000-0005-0000-0000-000035060000}"/>
    <cellStyle name="F7 2 4" xfId="1590" xr:uid="{00000000-0005-0000-0000-000036060000}"/>
    <cellStyle name="F7 2 5" xfId="1591" xr:uid="{00000000-0005-0000-0000-000037060000}"/>
    <cellStyle name="F7 2 6" xfId="1592" xr:uid="{00000000-0005-0000-0000-000038060000}"/>
    <cellStyle name="F7 2 7" xfId="1593" xr:uid="{00000000-0005-0000-0000-000039060000}"/>
    <cellStyle name="F7 2 8" xfId="1594" xr:uid="{00000000-0005-0000-0000-00003A060000}"/>
    <cellStyle name="F7 2_ActiFijos" xfId="1595" xr:uid="{00000000-0005-0000-0000-00003B060000}"/>
    <cellStyle name="F7 3" xfId="1596" xr:uid="{00000000-0005-0000-0000-00003C060000}"/>
    <cellStyle name="F7 3 2" xfId="1597" xr:uid="{00000000-0005-0000-0000-00003D060000}"/>
    <cellStyle name="F7 3 3" xfId="1598" xr:uid="{00000000-0005-0000-0000-00003E060000}"/>
    <cellStyle name="F7 3 4" xfId="1599" xr:uid="{00000000-0005-0000-0000-00003F060000}"/>
    <cellStyle name="F7 3 5" xfId="1600" xr:uid="{00000000-0005-0000-0000-000040060000}"/>
    <cellStyle name="F7 3 6" xfId="1601" xr:uid="{00000000-0005-0000-0000-000041060000}"/>
    <cellStyle name="F7 3 7" xfId="1602" xr:uid="{00000000-0005-0000-0000-000042060000}"/>
    <cellStyle name="F7 3 8" xfId="1603" xr:uid="{00000000-0005-0000-0000-000043060000}"/>
    <cellStyle name="F7 3_ActiFijos" xfId="1604" xr:uid="{00000000-0005-0000-0000-000044060000}"/>
    <cellStyle name="F7 4" xfId="1605" xr:uid="{00000000-0005-0000-0000-000045060000}"/>
    <cellStyle name="F7 4 2" xfId="1606" xr:uid="{00000000-0005-0000-0000-000046060000}"/>
    <cellStyle name="F7 4 3" xfId="1607" xr:uid="{00000000-0005-0000-0000-000047060000}"/>
    <cellStyle name="F7 4 4" xfId="1608" xr:uid="{00000000-0005-0000-0000-000048060000}"/>
    <cellStyle name="F7 4 5" xfId="1609" xr:uid="{00000000-0005-0000-0000-000049060000}"/>
    <cellStyle name="F7 4 6" xfId="1610" xr:uid="{00000000-0005-0000-0000-00004A060000}"/>
    <cellStyle name="F7 4 7" xfId="1611" xr:uid="{00000000-0005-0000-0000-00004B060000}"/>
    <cellStyle name="F7 4 8" xfId="1612" xr:uid="{00000000-0005-0000-0000-00004C060000}"/>
    <cellStyle name="F7 4_ActiFijos" xfId="1613" xr:uid="{00000000-0005-0000-0000-00004D060000}"/>
    <cellStyle name="F7_Bases_Generales" xfId="1614" xr:uid="{00000000-0005-0000-0000-00004E060000}"/>
    <cellStyle name="F8" xfId="1615" xr:uid="{00000000-0005-0000-0000-00004F060000}"/>
    <cellStyle name="F8 2" xfId="1616" xr:uid="{00000000-0005-0000-0000-000050060000}"/>
    <cellStyle name="F8 2 2" xfId="1617" xr:uid="{00000000-0005-0000-0000-000051060000}"/>
    <cellStyle name="F8 2 3" xfId="1618" xr:uid="{00000000-0005-0000-0000-000052060000}"/>
    <cellStyle name="F8 2 4" xfId="1619" xr:uid="{00000000-0005-0000-0000-000053060000}"/>
    <cellStyle name="F8 2 5" xfId="1620" xr:uid="{00000000-0005-0000-0000-000054060000}"/>
    <cellStyle name="F8 2 6" xfId="1621" xr:uid="{00000000-0005-0000-0000-000055060000}"/>
    <cellStyle name="F8 2 7" xfId="1622" xr:uid="{00000000-0005-0000-0000-000056060000}"/>
    <cellStyle name="F8 2 8" xfId="1623" xr:uid="{00000000-0005-0000-0000-000057060000}"/>
    <cellStyle name="F8 2_ActiFijos" xfId="1624" xr:uid="{00000000-0005-0000-0000-000058060000}"/>
    <cellStyle name="F8 3" xfId="1625" xr:uid="{00000000-0005-0000-0000-000059060000}"/>
    <cellStyle name="F8 3 2" xfId="1626" xr:uid="{00000000-0005-0000-0000-00005A060000}"/>
    <cellStyle name="F8 3 3" xfId="1627" xr:uid="{00000000-0005-0000-0000-00005B060000}"/>
    <cellStyle name="F8 3 4" xfId="1628" xr:uid="{00000000-0005-0000-0000-00005C060000}"/>
    <cellStyle name="F8 3 5" xfId="1629" xr:uid="{00000000-0005-0000-0000-00005D060000}"/>
    <cellStyle name="F8 3 6" xfId="1630" xr:uid="{00000000-0005-0000-0000-00005E060000}"/>
    <cellStyle name="F8 3 7" xfId="1631" xr:uid="{00000000-0005-0000-0000-00005F060000}"/>
    <cellStyle name="F8 3 8" xfId="1632" xr:uid="{00000000-0005-0000-0000-000060060000}"/>
    <cellStyle name="F8 3_ActiFijos" xfId="1633" xr:uid="{00000000-0005-0000-0000-000061060000}"/>
    <cellStyle name="F8 4" xfId="1634" xr:uid="{00000000-0005-0000-0000-000062060000}"/>
    <cellStyle name="F8 4 2" xfId="1635" xr:uid="{00000000-0005-0000-0000-000063060000}"/>
    <cellStyle name="F8 4 3" xfId="1636" xr:uid="{00000000-0005-0000-0000-000064060000}"/>
    <cellStyle name="F8 4 4" xfId="1637" xr:uid="{00000000-0005-0000-0000-000065060000}"/>
    <cellStyle name="F8 4 5" xfId="1638" xr:uid="{00000000-0005-0000-0000-000066060000}"/>
    <cellStyle name="F8 4 6" xfId="1639" xr:uid="{00000000-0005-0000-0000-000067060000}"/>
    <cellStyle name="F8 4 7" xfId="1640" xr:uid="{00000000-0005-0000-0000-000068060000}"/>
    <cellStyle name="F8 4 8" xfId="1641" xr:uid="{00000000-0005-0000-0000-000069060000}"/>
    <cellStyle name="F8 4_ActiFijos" xfId="1642" xr:uid="{00000000-0005-0000-0000-00006A060000}"/>
    <cellStyle name="F8_Bases_Generales" xfId="1643" xr:uid="{00000000-0005-0000-0000-00006B060000}"/>
    <cellStyle name="Fecha" xfId="3409" xr:uid="{00000000-0005-0000-0000-0000510D0000}"/>
    <cellStyle name="Fijo" xfId="3410" xr:uid="{00000000-0005-0000-0000-0000520D0000}"/>
    <cellStyle name="Financiero" xfId="3411" xr:uid="{00000000-0005-0000-0000-0000530D0000}"/>
    <cellStyle name="Fixed" xfId="1644" xr:uid="{00000000-0005-0000-0000-00006C060000}"/>
    <cellStyle name="Fixed 10" xfId="1645" xr:uid="{00000000-0005-0000-0000-00006D060000}"/>
    <cellStyle name="Fixed 10 2" xfId="5052" xr:uid="{00000000-0005-0000-0000-0000BC130000}"/>
    <cellStyle name="Fixed 10 2 2" xfId="9913" xr:uid="{C7A06332-891A-461E-BB88-E6E3122C9D1B}"/>
    <cellStyle name="Fixed 10 3" xfId="8266" xr:uid="{90B7374D-17D7-4815-B392-9DA8312BCAC9}"/>
    <cellStyle name="Fixed 11" xfId="1646" xr:uid="{00000000-0005-0000-0000-00006E060000}"/>
    <cellStyle name="Fixed 11 2" xfId="5053" xr:uid="{00000000-0005-0000-0000-0000BD130000}"/>
    <cellStyle name="Fixed 11 2 2" xfId="9914" xr:uid="{A03C6A52-7C08-4F2C-93CE-C3686768E693}"/>
    <cellStyle name="Fixed 11 3" xfId="8267" xr:uid="{94B32A76-4B2B-4B4D-8321-F14E8FF2A71B}"/>
    <cellStyle name="Fixed 12" xfId="1647" xr:uid="{00000000-0005-0000-0000-00006F060000}"/>
    <cellStyle name="Fixed 12 2" xfId="8268" xr:uid="{EF5971FA-0890-4696-A1E3-0536E7A5D1A9}"/>
    <cellStyle name="Fixed 13" xfId="1648" xr:uid="{00000000-0005-0000-0000-000070060000}"/>
    <cellStyle name="Fixed 13 2" xfId="8269" xr:uid="{9338D365-407B-47F7-B9DD-00B7CCDCABA6}"/>
    <cellStyle name="Fixed 14" xfId="8265" xr:uid="{62F85CAE-F5E8-4F89-9397-4D6E03FCA2CD}"/>
    <cellStyle name="Fixed 2" xfId="1649" xr:uid="{00000000-0005-0000-0000-000071060000}"/>
    <cellStyle name="Fixed 2 2" xfId="1650" xr:uid="{00000000-0005-0000-0000-000072060000}"/>
    <cellStyle name="Fixed 2 2 2" xfId="5054" xr:uid="{00000000-0005-0000-0000-0000BE130000}"/>
    <cellStyle name="Fixed 2 2 2 2" xfId="9915" xr:uid="{BADE279E-8740-4190-A240-FBBB8F818DF7}"/>
    <cellStyle name="Fixed 2 2 3" xfId="8271" xr:uid="{431D0783-A4A3-483C-9619-300410CBCCEC}"/>
    <cellStyle name="Fixed 2 3" xfId="1651" xr:uid="{00000000-0005-0000-0000-000073060000}"/>
    <cellStyle name="Fixed 2 3 2" xfId="5055" xr:uid="{00000000-0005-0000-0000-0000BF130000}"/>
    <cellStyle name="Fixed 2 3 2 2" xfId="9916" xr:uid="{8E3BA509-F031-4CAE-B56D-0BA8493972D9}"/>
    <cellStyle name="Fixed 2 3 3" xfId="8272" xr:uid="{B6179D5B-77D3-4034-92E7-3C0E56B2787D}"/>
    <cellStyle name="Fixed 2 4" xfId="1652" xr:uid="{00000000-0005-0000-0000-000074060000}"/>
    <cellStyle name="Fixed 2 4 2" xfId="5056" xr:uid="{00000000-0005-0000-0000-0000C0130000}"/>
    <cellStyle name="Fixed 2 4 2 2" xfId="9917" xr:uid="{3238371A-7FD1-4C2F-8765-28C5104A6DCD}"/>
    <cellStyle name="Fixed 2 4 3" xfId="8273" xr:uid="{CAE68ABC-FD0A-496C-94A6-14AAD56F6869}"/>
    <cellStyle name="Fixed 2 5" xfId="1653" xr:uid="{00000000-0005-0000-0000-000075060000}"/>
    <cellStyle name="Fixed 2 5 2" xfId="5057" xr:uid="{00000000-0005-0000-0000-0000C1130000}"/>
    <cellStyle name="Fixed 2 5 2 2" xfId="9918" xr:uid="{F1AC54F4-7B13-4D43-BABC-401C85F887C7}"/>
    <cellStyle name="Fixed 2 5 3" xfId="8274" xr:uid="{4225CA91-BB43-42B0-9BA4-BE817AD126F8}"/>
    <cellStyle name="Fixed 2 6" xfId="1654" xr:uid="{00000000-0005-0000-0000-000076060000}"/>
    <cellStyle name="Fixed 2 6 2" xfId="5058" xr:uid="{00000000-0005-0000-0000-0000C2130000}"/>
    <cellStyle name="Fixed 2 6 2 2" xfId="9919" xr:uid="{11680C30-A76F-4AE1-B33A-90E1BC560087}"/>
    <cellStyle name="Fixed 2 6 3" xfId="8275" xr:uid="{E455E65A-BF20-4292-BC68-788D0F07BBCE}"/>
    <cellStyle name="Fixed 2 7" xfId="1655" xr:uid="{00000000-0005-0000-0000-000077060000}"/>
    <cellStyle name="Fixed 2 7 2" xfId="8276" xr:uid="{A511B5EC-64C7-442B-8E9F-92047E8213E1}"/>
    <cellStyle name="Fixed 2 8" xfId="1656" xr:uid="{00000000-0005-0000-0000-000078060000}"/>
    <cellStyle name="Fixed 2 8 2" xfId="8277" xr:uid="{A78ABADC-32D6-4517-9775-1928E6A65D8A}"/>
    <cellStyle name="Fixed 2 9" xfId="8270" xr:uid="{91D20883-46EB-4714-9F50-503484E2132C}"/>
    <cellStyle name="Fixed 3" xfId="1657" xr:uid="{00000000-0005-0000-0000-000079060000}"/>
    <cellStyle name="Fixed 3 2" xfId="1658" xr:uid="{00000000-0005-0000-0000-00007A060000}"/>
    <cellStyle name="Fixed 3 2 2" xfId="5059" xr:uid="{00000000-0005-0000-0000-0000C3130000}"/>
    <cellStyle name="Fixed 3 2 2 2" xfId="9920" xr:uid="{4F9152BE-093A-43B5-A78F-BB6A6BEB4271}"/>
    <cellStyle name="Fixed 3 2 3" xfId="8279" xr:uid="{E8087AC6-1732-4E7B-BB5C-DDFE61AD07BC}"/>
    <cellStyle name="Fixed 3 3" xfId="1659" xr:uid="{00000000-0005-0000-0000-00007B060000}"/>
    <cellStyle name="Fixed 3 3 2" xfId="5060" xr:uid="{00000000-0005-0000-0000-0000C4130000}"/>
    <cellStyle name="Fixed 3 3 2 2" xfId="9921" xr:uid="{DDFE88E4-8647-49AF-B533-ED80F2DBAD81}"/>
    <cellStyle name="Fixed 3 3 3" xfId="8280" xr:uid="{E38BD9B9-37C7-4B5B-8869-6546F8D46F0A}"/>
    <cellStyle name="Fixed 3 4" xfId="1660" xr:uid="{00000000-0005-0000-0000-00007C060000}"/>
    <cellStyle name="Fixed 3 4 2" xfId="5061" xr:uid="{00000000-0005-0000-0000-0000C5130000}"/>
    <cellStyle name="Fixed 3 4 2 2" xfId="9922" xr:uid="{A6C91F8C-277A-4128-A2F5-4210FC50A14C}"/>
    <cellStyle name="Fixed 3 4 3" xfId="8281" xr:uid="{2929F4C0-7217-406F-88BD-1E1A86375310}"/>
    <cellStyle name="Fixed 3 5" xfId="1661" xr:uid="{00000000-0005-0000-0000-00007D060000}"/>
    <cellStyle name="Fixed 3 5 2" xfId="5062" xr:uid="{00000000-0005-0000-0000-0000C6130000}"/>
    <cellStyle name="Fixed 3 5 2 2" xfId="9923" xr:uid="{0138A7F9-2CB8-4B34-9A8C-DCEAA751B5C0}"/>
    <cellStyle name="Fixed 3 5 3" xfId="8282" xr:uid="{E5D31435-1A9F-417C-A90B-FB7AB572C1EC}"/>
    <cellStyle name="Fixed 3 6" xfId="1662" xr:uid="{00000000-0005-0000-0000-00007E060000}"/>
    <cellStyle name="Fixed 3 6 2" xfId="5063" xr:uid="{00000000-0005-0000-0000-0000C7130000}"/>
    <cellStyle name="Fixed 3 6 2 2" xfId="9924" xr:uid="{95FA0376-F52C-4B9E-984C-B768ED02C6B3}"/>
    <cellStyle name="Fixed 3 6 3" xfId="8283" xr:uid="{895345A1-0752-4A4C-9E1E-71FD6039D68E}"/>
    <cellStyle name="Fixed 3 7" xfId="1663" xr:uid="{00000000-0005-0000-0000-00007F060000}"/>
    <cellStyle name="Fixed 3 7 2" xfId="8284" xr:uid="{57B94659-A36A-4751-B1FC-4D3555253FE8}"/>
    <cellStyle name="Fixed 3 8" xfId="1664" xr:uid="{00000000-0005-0000-0000-000080060000}"/>
    <cellStyle name="Fixed 3 8 2" xfId="8285" xr:uid="{C7C067BF-2BB6-4A85-B552-FEC6CC8E4954}"/>
    <cellStyle name="Fixed 3 9" xfId="8278" xr:uid="{8E6518FE-2BE2-41A4-BF83-F0363A4EDD4A}"/>
    <cellStyle name="Fixed 4" xfId="1665" xr:uid="{00000000-0005-0000-0000-000081060000}"/>
    <cellStyle name="Fixed 4 2" xfId="1666" xr:uid="{00000000-0005-0000-0000-000082060000}"/>
    <cellStyle name="Fixed 4 2 2" xfId="5064" xr:uid="{00000000-0005-0000-0000-0000C8130000}"/>
    <cellStyle name="Fixed 4 2 2 2" xfId="9925" xr:uid="{64852D10-343F-4BE1-9660-DE2A92CC8A42}"/>
    <cellStyle name="Fixed 4 2 3" xfId="8287" xr:uid="{01E939D0-1F35-42D6-A918-22F5F3D7586F}"/>
    <cellStyle name="Fixed 4 3" xfId="1667" xr:uid="{00000000-0005-0000-0000-000083060000}"/>
    <cellStyle name="Fixed 4 3 2" xfId="5065" xr:uid="{00000000-0005-0000-0000-0000C9130000}"/>
    <cellStyle name="Fixed 4 3 2 2" xfId="9926" xr:uid="{8C1AC9CE-C13F-48D2-8D57-5B33F460BCD6}"/>
    <cellStyle name="Fixed 4 3 3" xfId="8288" xr:uid="{ECAB9A24-D37F-4FC6-9D23-976AC1EAB1FB}"/>
    <cellStyle name="Fixed 4 4" xfId="1668" xr:uid="{00000000-0005-0000-0000-000084060000}"/>
    <cellStyle name="Fixed 4 4 2" xfId="5066" xr:uid="{00000000-0005-0000-0000-0000CA130000}"/>
    <cellStyle name="Fixed 4 4 2 2" xfId="9927" xr:uid="{5642C84F-D264-40CE-825C-BC8313795DCF}"/>
    <cellStyle name="Fixed 4 4 3" xfId="8289" xr:uid="{E8F21C80-C8EA-4A1C-A6A4-8A8737F70158}"/>
    <cellStyle name="Fixed 4 5" xfId="1669" xr:uid="{00000000-0005-0000-0000-000085060000}"/>
    <cellStyle name="Fixed 4 5 2" xfId="5067" xr:uid="{00000000-0005-0000-0000-0000CB130000}"/>
    <cellStyle name="Fixed 4 5 2 2" xfId="9928" xr:uid="{512F5A87-E9EE-490D-B932-7F938158611E}"/>
    <cellStyle name="Fixed 4 5 3" xfId="8290" xr:uid="{6D4FA0BB-EEF1-4422-A3A8-825728408523}"/>
    <cellStyle name="Fixed 4 6" xfId="1670" xr:uid="{00000000-0005-0000-0000-000086060000}"/>
    <cellStyle name="Fixed 4 6 2" xfId="5068" xr:uid="{00000000-0005-0000-0000-0000CC130000}"/>
    <cellStyle name="Fixed 4 6 2 2" xfId="9929" xr:uid="{9EB4EC78-8F0B-4D94-A3E8-F2DC5027CCB1}"/>
    <cellStyle name="Fixed 4 6 3" xfId="8291" xr:uid="{8D419AEE-3902-469D-A375-8BBA4AA06C93}"/>
    <cellStyle name="Fixed 4 7" xfId="1671" xr:uid="{00000000-0005-0000-0000-000087060000}"/>
    <cellStyle name="Fixed 4 7 2" xfId="8292" xr:uid="{AAAE97F1-780B-48A3-9FF5-3F1919651670}"/>
    <cellStyle name="Fixed 4 8" xfId="1672" xr:uid="{00000000-0005-0000-0000-000088060000}"/>
    <cellStyle name="Fixed 4 8 2" xfId="8293" xr:uid="{88383EC2-270B-494C-AA0F-89DCF842F568}"/>
    <cellStyle name="Fixed 4 9" xfId="8286" xr:uid="{E359216B-4B32-453F-966C-DE97EB0D19E8}"/>
    <cellStyle name="Fixed 5" xfId="1673" xr:uid="{00000000-0005-0000-0000-000089060000}"/>
    <cellStyle name="Fixed 5 2" xfId="5069" xr:uid="{00000000-0005-0000-0000-0000CD130000}"/>
    <cellStyle name="Fixed 5 2 2" xfId="9930" xr:uid="{DCDAAEFB-29CE-4061-ABF4-8CA8A321B1F8}"/>
    <cellStyle name="Fixed 5 3" xfId="8294" xr:uid="{CDF3B053-C4A8-4491-A335-55E017AAA6C7}"/>
    <cellStyle name="Fixed 6" xfId="1674" xr:uid="{00000000-0005-0000-0000-00008A060000}"/>
    <cellStyle name="Fixed 6 2" xfId="5070" xr:uid="{00000000-0005-0000-0000-0000CE130000}"/>
    <cellStyle name="Fixed 6 2 2" xfId="9931" xr:uid="{E72DA7FC-CB91-423B-8148-40C1C8928D8F}"/>
    <cellStyle name="Fixed 6 3" xfId="8295" xr:uid="{156BB51D-F46D-4AFC-B4D0-B4A534413087}"/>
    <cellStyle name="Fixed 7" xfId="1675" xr:uid="{00000000-0005-0000-0000-00008B060000}"/>
    <cellStyle name="Fixed 7 2" xfId="5071" xr:uid="{00000000-0005-0000-0000-0000CF130000}"/>
    <cellStyle name="Fixed 7 2 2" xfId="9932" xr:uid="{C60A7885-DDC9-43AF-BE30-37C3215510E4}"/>
    <cellStyle name="Fixed 7 3" xfId="8296" xr:uid="{4D77C27C-0B17-47B9-A5AF-D2F533AE7C99}"/>
    <cellStyle name="Fixed 8" xfId="1676" xr:uid="{00000000-0005-0000-0000-00008C060000}"/>
    <cellStyle name="Fixed 8 2" xfId="5072" xr:uid="{00000000-0005-0000-0000-0000D0130000}"/>
    <cellStyle name="Fixed 8 2 2" xfId="9933" xr:uid="{D050E4B2-2160-4C36-85BE-9DA0E5926148}"/>
    <cellStyle name="Fixed 8 3" xfId="8297" xr:uid="{96EC8115-705D-442D-821C-E1C5CDCD726A}"/>
    <cellStyle name="Fixed 9" xfId="1677" xr:uid="{00000000-0005-0000-0000-00008D060000}"/>
    <cellStyle name="Fixed 9 2" xfId="5073" xr:uid="{00000000-0005-0000-0000-0000D1130000}"/>
    <cellStyle name="Fixed 9 2 2" xfId="9934" xr:uid="{7C36072E-89E7-455F-96B2-26E298B476C4}"/>
    <cellStyle name="Fixed 9 3" xfId="8298" xr:uid="{1B63A85B-F3A9-4DB6-AD30-E606040CF26C}"/>
    <cellStyle name="font12" xfId="1678" xr:uid="{00000000-0005-0000-0000-00008E060000}"/>
    <cellStyle name="font12 10" xfId="3412" xr:uid="{00000000-0005-0000-0000-0000540D0000}"/>
    <cellStyle name="font12 2" xfId="1679" xr:uid="{00000000-0005-0000-0000-00008F060000}"/>
    <cellStyle name="font12 2 2" xfId="1680" xr:uid="{00000000-0005-0000-0000-000090060000}"/>
    <cellStyle name="font12 2 3" xfId="1681" xr:uid="{00000000-0005-0000-0000-000091060000}"/>
    <cellStyle name="font12 2 4" xfId="1682" xr:uid="{00000000-0005-0000-0000-000092060000}"/>
    <cellStyle name="font12 2 5" xfId="1683" xr:uid="{00000000-0005-0000-0000-000093060000}"/>
    <cellStyle name="font12 2 6" xfId="1684" xr:uid="{00000000-0005-0000-0000-000094060000}"/>
    <cellStyle name="font12 2 7" xfId="1685" xr:uid="{00000000-0005-0000-0000-000095060000}"/>
    <cellStyle name="font12 2 8" xfId="1686" xr:uid="{00000000-0005-0000-0000-000096060000}"/>
    <cellStyle name="font12 2_ActiFijos" xfId="1687" xr:uid="{00000000-0005-0000-0000-000097060000}"/>
    <cellStyle name="font12 3" xfId="1688" xr:uid="{00000000-0005-0000-0000-000098060000}"/>
    <cellStyle name="font12 3 2" xfId="1689" xr:uid="{00000000-0005-0000-0000-000099060000}"/>
    <cellStyle name="font12 3 3" xfId="1690" xr:uid="{00000000-0005-0000-0000-00009A060000}"/>
    <cellStyle name="font12 3 4" xfId="1691" xr:uid="{00000000-0005-0000-0000-00009B060000}"/>
    <cellStyle name="font12 3 5" xfId="1692" xr:uid="{00000000-0005-0000-0000-00009C060000}"/>
    <cellStyle name="font12 3 6" xfId="1693" xr:uid="{00000000-0005-0000-0000-00009D060000}"/>
    <cellStyle name="font12 3 7" xfId="1694" xr:uid="{00000000-0005-0000-0000-00009E060000}"/>
    <cellStyle name="font12 3 8" xfId="1695" xr:uid="{00000000-0005-0000-0000-00009F060000}"/>
    <cellStyle name="font12 3_ActiFijos" xfId="1696" xr:uid="{00000000-0005-0000-0000-0000A0060000}"/>
    <cellStyle name="font12 4" xfId="1697" xr:uid="{00000000-0005-0000-0000-0000A1060000}"/>
    <cellStyle name="font12 4 2" xfId="1698" xr:uid="{00000000-0005-0000-0000-0000A2060000}"/>
    <cellStyle name="font12 4 3" xfId="1699" xr:uid="{00000000-0005-0000-0000-0000A3060000}"/>
    <cellStyle name="font12 4 4" xfId="1700" xr:uid="{00000000-0005-0000-0000-0000A4060000}"/>
    <cellStyle name="font12 4 5" xfId="1701" xr:uid="{00000000-0005-0000-0000-0000A5060000}"/>
    <cellStyle name="font12 4 6" xfId="1702" xr:uid="{00000000-0005-0000-0000-0000A6060000}"/>
    <cellStyle name="font12 4 7" xfId="1703" xr:uid="{00000000-0005-0000-0000-0000A7060000}"/>
    <cellStyle name="font12 4 8" xfId="1704" xr:uid="{00000000-0005-0000-0000-0000A8060000}"/>
    <cellStyle name="font12 4_ActiFijos" xfId="1705" xr:uid="{00000000-0005-0000-0000-0000A9060000}"/>
    <cellStyle name="font12 5" xfId="3413" xr:uid="{00000000-0005-0000-0000-0000550D0000}"/>
    <cellStyle name="font12 6" xfId="3414" xr:uid="{00000000-0005-0000-0000-0000560D0000}"/>
    <cellStyle name="font12 7" xfId="3415" xr:uid="{00000000-0005-0000-0000-0000570D0000}"/>
    <cellStyle name="font12 8" xfId="3416" xr:uid="{00000000-0005-0000-0000-0000580D0000}"/>
    <cellStyle name="font12 9" xfId="3417" xr:uid="{00000000-0005-0000-0000-0000590D0000}"/>
    <cellStyle name="font12_Bases_Generales" xfId="1706" xr:uid="{00000000-0005-0000-0000-0000AA060000}"/>
    <cellStyle name="font14" xfId="1707" xr:uid="{00000000-0005-0000-0000-0000AB060000}"/>
    <cellStyle name="font14 10" xfId="3418" xr:uid="{00000000-0005-0000-0000-00005A0D0000}"/>
    <cellStyle name="font14 2" xfId="1708" xr:uid="{00000000-0005-0000-0000-0000AC060000}"/>
    <cellStyle name="font14 2 2" xfId="1709" xr:uid="{00000000-0005-0000-0000-0000AD060000}"/>
    <cellStyle name="font14 2 3" xfId="1710" xr:uid="{00000000-0005-0000-0000-0000AE060000}"/>
    <cellStyle name="font14 2 4" xfId="1711" xr:uid="{00000000-0005-0000-0000-0000AF060000}"/>
    <cellStyle name="font14 2 5" xfId="1712" xr:uid="{00000000-0005-0000-0000-0000B0060000}"/>
    <cellStyle name="font14 2 6" xfId="1713" xr:uid="{00000000-0005-0000-0000-0000B1060000}"/>
    <cellStyle name="font14 2 7" xfId="1714" xr:uid="{00000000-0005-0000-0000-0000B2060000}"/>
    <cellStyle name="font14 2 8" xfId="1715" xr:uid="{00000000-0005-0000-0000-0000B3060000}"/>
    <cellStyle name="font14 2_ActiFijos" xfId="1716" xr:uid="{00000000-0005-0000-0000-0000B4060000}"/>
    <cellStyle name="font14 3" xfId="1717" xr:uid="{00000000-0005-0000-0000-0000B5060000}"/>
    <cellStyle name="font14 3 2" xfId="1718" xr:uid="{00000000-0005-0000-0000-0000B6060000}"/>
    <cellStyle name="font14 3 3" xfId="1719" xr:uid="{00000000-0005-0000-0000-0000B7060000}"/>
    <cellStyle name="font14 3 4" xfId="1720" xr:uid="{00000000-0005-0000-0000-0000B8060000}"/>
    <cellStyle name="font14 3 5" xfId="1721" xr:uid="{00000000-0005-0000-0000-0000B9060000}"/>
    <cellStyle name="font14 3 6" xfId="1722" xr:uid="{00000000-0005-0000-0000-0000BA060000}"/>
    <cellStyle name="font14 3 7" xfId="1723" xr:uid="{00000000-0005-0000-0000-0000BB060000}"/>
    <cellStyle name="font14 3 8" xfId="1724" xr:uid="{00000000-0005-0000-0000-0000BC060000}"/>
    <cellStyle name="font14 3_ActiFijos" xfId="1725" xr:uid="{00000000-0005-0000-0000-0000BD060000}"/>
    <cellStyle name="font14 4" xfId="1726" xr:uid="{00000000-0005-0000-0000-0000BE060000}"/>
    <cellStyle name="font14 4 2" xfId="1727" xr:uid="{00000000-0005-0000-0000-0000BF060000}"/>
    <cellStyle name="font14 4 3" xfId="1728" xr:uid="{00000000-0005-0000-0000-0000C0060000}"/>
    <cellStyle name="font14 4 4" xfId="1729" xr:uid="{00000000-0005-0000-0000-0000C1060000}"/>
    <cellStyle name="font14 4 5" xfId="1730" xr:uid="{00000000-0005-0000-0000-0000C2060000}"/>
    <cellStyle name="font14 4 6" xfId="1731" xr:uid="{00000000-0005-0000-0000-0000C3060000}"/>
    <cellStyle name="font14 4 7" xfId="1732" xr:uid="{00000000-0005-0000-0000-0000C4060000}"/>
    <cellStyle name="font14 4 8" xfId="1733" xr:uid="{00000000-0005-0000-0000-0000C5060000}"/>
    <cellStyle name="font14 4_ActiFijos" xfId="1734" xr:uid="{00000000-0005-0000-0000-0000C6060000}"/>
    <cellStyle name="font14 5" xfId="3419" xr:uid="{00000000-0005-0000-0000-00005B0D0000}"/>
    <cellStyle name="font14 6" xfId="3420" xr:uid="{00000000-0005-0000-0000-00005C0D0000}"/>
    <cellStyle name="font14 7" xfId="3421" xr:uid="{00000000-0005-0000-0000-00005D0D0000}"/>
    <cellStyle name="font14 8" xfId="3422" xr:uid="{00000000-0005-0000-0000-00005E0D0000}"/>
    <cellStyle name="font14 9" xfId="3423" xr:uid="{00000000-0005-0000-0000-00005F0D0000}"/>
    <cellStyle name="font14_Bases_Generales" xfId="1735" xr:uid="{00000000-0005-0000-0000-0000C7060000}"/>
    <cellStyle name="Grey" xfId="1736" xr:uid="{00000000-0005-0000-0000-0000C8060000}"/>
    <cellStyle name="Grey 10" xfId="1737" xr:uid="{00000000-0005-0000-0000-0000C9060000}"/>
    <cellStyle name="Grey 10 2" xfId="8311" xr:uid="{21EC994E-B9FD-4CC8-A7D6-1C45696AAC41}"/>
    <cellStyle name="Grey 11" xfId="1738" xr:uid="{00000000-0005-0000-0000-0000CA060000}"/>
    <cellStyle name="Grey 11 2" xfId="8312" xr:uid="{53358A83-E365-4564-BFF8-5D62D8AFBBCD}"/>
    <cellStyle name="Grey 12" xfId="1739" xr:uid="{00000000-0005-0000-0000-0000CB060000}"/>
    <cellStyle name="Grey 12 2" xfId="8313" xr:uid="{D5E9068E-378A-45EB-8EE3-A66FE8684C0D}"/>
    <cellStyle name="Grey 13" xfId="1740" xr:uid="{00000000-0005-0000-0000-0000CC060000}"/>
    <cellStyle name="Grey 13 2" xfId="8314" xr:uid="{3F876ECD-6512-4D14-AD37-F5BC27639F7D}"/>
    <cellStyle name="Grey 14" xfId="8310" xr:uid="{2F913B0C-6DC8-4193-9E75-43FB5332084B}"/>
    <cellStyle name="Grey 2" xfId="1741" xr:uid="{00000000-0005-0000-0000-0000CD060000}"/>
    <cellStyle name="Grey 2 2" xfId="8315" xr:uid="{65D9C31A-AA3C-4AEC-A0E1-F76C45B33093}"/>
    <cellStyle name="Grey 3" xfId="1742" xr:uid="{00000000-0005-0000-0000-0000CE060000}"/>
    <cellStyle name="Grey 3 2" xfId="8316" xr:uid="{FB0AC133-23D1-4B9F-B11F-BBACF7C2CC71}"/>
    <cellStyle name="Grey 4" xfId="1743" xr:uid="{00000000-0005-0000-0000-0000CF060000}"/>
    <cellStyle name="Grey 4 2" xfId="8317" xr:uid="{D12E92F9-D01D-4047-9E64-F95AD598544B}"/>
    <cellStyle name="Grey 5" xfId="1744" xr:uid="{00000000-0005-0000-0000-0000D0060000}"/>
    <cellStyle name="Grey 5 2" xfId="8318" xr:uid="{2B7263FB-7110-406B-8F18-E1F2B4E10DB8}"/>
    <cellStyle name="Grey 6" xfId="1745" xr:uid="{00000000-0005-0000-0000-0000D1060000}"/>
    <cellStyle name="Grey 6 2" xfId="8319" xr:uid="{28612A1E-D4F5-43A9-BE6D-4A077D78FDC7}"/>
    <cellStyle name="Grey 7" xfId="1746" xr:uid="{00000000-0005-0000-0000-0000D2060000}"/>
    <cellStyle name="Grey 7 2" xfId="8320" xr:uid="{C78A763E-2F4D-4345-A448-045AA070BE5C}"/>
    <cellStyle name="Grey 8" xfId="1747" xr:uid="{00000000-0005-0000-0000-0000D3060000}"/>
    <cellStyle name="Grey 8 2" xfId="8321" xr:uid="{815F539E-777E-457D-9A64-969CB7E117B2}"/>
    <cellStyle name="Grey 9" xfId="1748" xr:uid="{00000000-0005-0000-0000-0000D4060000}"/>
    <cellStyle name="Grey 9 2" xfId="8322" xr:uid="{9C632641-7F02-4173-B671-A6F4C0A7DB6A}"/>
    <cellStyle name="Grey_ActiFijos" xfId="1749" xr:uid="{00000000-0005-0000-0000-0000D5060000}"/>
    <cellStyle name="Heading 1" xfId="1750" xr:uid="{00000000-0005-0000-0000-0000D6060000}"/>
    <cellStyle name="Heading 1 2" xfId="1751" xr:uid="{00000000-0005-0000-0000-0000D7060000}"/>
    <cellStyle name="Heading 1 2 2" xfId="1752" xr:uid="{00000000-0005-0000-0000-0000D8060000}"/>
    <cellStyle name="Heading 1 2 2 2" xfId="8325" xr:uid="{FCA11C97-CD0C-4D92-A821-A2FDFDB53D02}"/>
    <cellStyle name="Heading 1 2 3" xfId="1753" xr:uid="{00000000-0005-0000-0000-0000D9060000}"/>
    <cellStyle name="Heading 1 2 3 2" xfId="8326" xr:uid="{E39827FA-355F-4B39-9CE4-20D2F4048FCF}"/>
    <cellStyle name="Heading 1 2 4" xfId="1754" xr:uid="{00000000-0005-0000-0000-0000DA060000}"/>
    <cellStyle name="Heading 1 2 4 2" xfId="8327" xr:uid="{9C7DCB52-B745-40B7-B021-AAB0CCC3710A}"/>
    <cellStyle name="Heading 1 2 5" xfId="1755" xr:uid="{00000000-0005-0000-0000-0000DB060000}"/>
    <cellStyle name="Heading 1 2 5 2" xfId="8328" xr:uid="{FC369DF2-0691-4F5E-A90D-2DABEE80BB12}"/>
    <cellStyle name="Heading 1 2 6" xfId="1756" xr:uid="{00000000-0005-0000-0000-0000DC060000}"/>
    <cellStyle name="Heading 1 2 6 2" xfId="8329" xr:uid="{DA658F3F-21EC-4A18-9997-2190085D09D6}"/>
    <cellStyle name="Heading 1 2 7" xfId="1757" xr:uid="{00000000-0005-0000-0000-0000DD060000}"/>
    <cellStyle name="Heading 1 2 7 2" xfId="8330" xr:uid="{FAC4E3B8-7542-49CD-804A-06572BAE81EF}"/>
    <cellStyle name="Heading 1 2 8" xfId="1758" xr:uid="{00000000-0005-0000-0000-0000DE060000}"/>
    <cellStyle name="Heading 1 2 8 2" xfId="8331" xr:uid="{39A04918-B8B5-4032-9C80-DB27DBA6F6A6}"/>
    <cellStyle name="Heading 1 2 9" xfId="8324" xr:uid="{0474D064-1558-4C50-B316-A6F70BF7A5C1}"/>
    <cellStyle name="Heading 1 2_ActiFijos" xfId="1759" xr:uid="{00000000-0005-0000-0000-0000DF060000}"/>
    <cellStyle name="Heading 1 3" xfId="1760" xr:uid="{00000000-0005-0000-0000-0000E0060000}"/>
    <cellStyle name="Heading 1 3 2" xfId="1761" xr:uid="{00000000-0005-0000-0000-0000E1060000}"/>
    <cellStyle name="Heading 1 3 2 2" xfId="8333" xr:uid="{32B2D8B6-CF2E-418C-ADEB-D527C3D4DD55}"/>
    <cellStyle name="Heading 1 3 3" xfId="1762" xr:uid="{00000000-0005-0000-0000-0000E2060000}"/>
    <cellStyle name="Heading 1 3 3 2" xfId="8334" xr:uid="{20DBB899-D437-4058-BC9F-BD41BE3A45DB}"/>
    <cellStyle name="Heading 1 3 4" xfId="1763" xr:uid="{00000000-0005-0000-0000-0000E3060000}"/>
    <cellStyle name="Heading 1 3 4 2" xfId="8335" xr:uid="{5613A37E-0F11-4DDE-98ED-947BC9412A0D}"/>
    <cellStyle name="Heading 1 3 5" xfId="1764" xr:uid="{00000000-0005-0000-0000-0000E4060000}"/>
    <cellStyle name="Heading 1 3 5 2" xfId="8336" xr:uid="{C3A97605-BAED-430D-BA50-0461B1686775}"/>
    <cellStyle name="Heading 1 3 6" xfId="1765" xr:uid="{00000000-0005-0000-0000-0000E5060000}"/>
    <cellStyle name="Heading 1 3 6 2" xfId="8337" xr:uid="{A90D784C-658A-4353-B073-6DCAC0F7C72A}"/>
    <cellStyle name="Heading 1 3 7" xfId="1766" xr:uid="{00000000-0005-0000-0000-0000E6060000}"/>
    <cellStyle name="Heading 1 3 7 2" xfId="8338" xr:uid="{84E7AC53-F08B-48B5-8004-C443354AFE9A}"/>
    <cellStyle name="Heading 1 3 8" xfId="1767" xr:uid="{00000000-0005-0000-0000-0000E7060000}"/>
    <cellStyle name="Heading 1 3 8 2" xfId="8339" xr:uid="{3FAC29EC-231A-4357-9E63-03BB09EF1DEB}"/>
    <cellStyle name="Heading 1 3 9" xfId="8332" xr:uid="{3F6D2864-F0CE-47CF-84B1-B5D2E27A67DC}"/>
    <cellStyle name="Heading 1 3_ActiFijos" xfId="1768" xr:uid="{00000000-0005-0000-0000-0000E8060000}"/>
    <cellStyle name="Heading 1 4" xfId="1769" xr:uid="{00000000-0005-0000-0000-0000E9060000}"/>
    <cellStyle name="Heading 1 4 2" xfId="1770" xr:uid="{00000000-0005-0000-0000-0000EA060000}"/>
    <cellStyle name="Heading 1 4 2 2" xfId="8341" xr:uid="{A1FD7D68-6FE7-4855-B32C-2320BDFD074F}"/>
    <cellStyle name="Heading 1 4 3" xfId="1771" xr:uid="{00000000-0005-0000-0000-0000EB060000}"/>
    <cellStyle name="Heading 1 4 3 2" xfId="8342" xr:uid="{A00AD4CC-7A3B-49A8-933A-45C87CB9ABD0}"/>
    <cellStyle name="Heading 1 4 4" xfId="1772" xr:uid="{00000000-0005-0000-0000-0000EC060000}"/>
    <cellStyle name="Heading 1 4 4 2" xfId="8343" xr:uid="{9DD72BF0-CE98-43E9-A7D3-B1685CED113B}"/>
    <cellStyle name="Heading 1 4 5" xfId="1773" xr:uid="{00000000-0005-0000-0000-0000ED060000}"/>
    <cellStyle name="Heading 1 4 5 2" xfId="8344" xr:uid="{9233DAEC-6B4E-46C8-BBB0-73C3048FF287}"/>
    <cellStyle name="Heading 1 4 6" xfId="1774" xr:uid="{00000000-0005-0000-0000-0000EE060000}"/>
    <cellStyle name="Heading 1 4 6 2" xfId="8345" xr:uid="{B8C5565C-B36E-47C5-8402-E1A991776161}"/>
    <cellStyle name="Heading 1 4 7" xfId="1775" xr:uid="{00000000-0005-0000-0000-0000EF060000}"/>
    <cellStyle name="Heading 1 4 7 2" xfId="8346" xr:uid="{CA213634-8B79-4FA5-89E5-520A84FA5A12}"/>
    <cellStyle name="Heading 1 4 8" xfId="1776" xr:uid="{00000000-0005-0000-0000-0000F0060000}"/>
    <cellStyle name="Heading 1 4 8 2" xfId="8347" xr:uid="{F4074F8A-5579-482E-B9C5-60A43101199F}"/>
    <cellStyle name="Heading 1 4 9" xfId="8340" xr:uid="{A45BF7DF-C4F9-41EF-BD22-4D9D957F75E1}"/>
    <cellStyle name="Heading 1 4_ActiFijos" xfId="1777" xr:uid="{00000000-0005-0000-0000-0000F1060000}"/>
    <cellStyle name="Heading 1 5" xfId="8323" xr:uid="{36C72B78-9DF1-4E26-8399-0B14CBA53CA3}"/>
    <cellStyle name="Heading 1_Bases_Generales" xfId="1778" xr:uid="{00000000-0005-0000-0000-0000F2060000}"/>
    <cellStyle name="Heading 2" xfId="1779" xr:uid="{00000000-0005-0000-0000-0000F3060000}"/>
    <cellStyle name="Heading 2 2" xfId="1780" xr:uid="{00000000-0005-0000-0000-0000F4060000}"/>
    <cellStyle name="Heading 2 2 2" xfId="1781" xr:uid="{00000000-0005-0000-0000-0000F5060000}"/>
    <cellStyle name="Heading 2 2 2 2" xfId="8350" xr:uid="{3DA380AB-8A24-4D47-9E44-089018CEA4C5}"/>
    <cellStyle name="Heading 2 2 3" xfId="1782" xr:uid="{00000000-0005-0000-0000-0000F6060000}"/>
    <cellStyle name="Heading 2 2 3 2" xfId="8351" xr:uid="{0727074E-76B1-4856-8DB3-9A417F867A9A}"/>
    <cellStyle name="Heading 2 2 4" xfId="1783" xr:uid="{00000000-0005-0000-0000-0000F7060000}"/>
    <cellStyle name="Heading 2 2 4 2" xfId="8352" xr:uid="{5A2A8192-6605-4A3E-ACCD-47EB15BE4E63}"/>
    <cellStyle name="Heading 2 2 5" xfId="1784" xr:uid="{00000000-0005-0000-0000-0000F8060000}"/>
    <cellStyle name="Heading 2 2 5 2" xfId="8353" xr:uid="{C1C7FAF1-7798-4E8A-9FB0-93D94A6B67B1}"/>
    <cellStyle name="Heading 2 2 6" xfId="1785" xr:uid="{00000000-0005-0000-0000-0000F9060000}"/>
    <cellStyle name="Heading 2 2 6 2" xfId="8354" xr:uid="{D6F312A0-6327-447E-9F78-9C4480A9F2BF}"/>
    <cellStyle name="Heading 2 2 7" xfId="1786" xr:uid="{00000000-0005-0000-0000-0000FA060000}"/>
    <cellStyle name="Heading 2 2 7 2" xfId="8355" xr:uid="{CE333552-22EF-4DFD-B980-DFB2947D102A}"/>
    <cellStyle name="Heading 2 2 8" xfId="1787" xr:uid="{00000000-0005-0000-0000-0000FB060000}"/>
    <cellStyle name="Heading 2 2 8 2" xfId="8356" xr:uid="{30FEF24B-A8C7-412A-AC7C-2B22FDA204EB}"/>
    <cellStyle name="Heading 2 2 9" xfId="8349" xr:uid="{A4FAD148-CE1E-48F3-B8F1-92634195A13F}"/>
    <cellStyle name="Heading 2 2_ActiFijos" xfId="1788" xr:uid="{00000000-0005-0000-0000-0000FC060000}"/>
    <cellStyle name="Heading 2 3" xfId="1789" xr:uid="{00000000-0005-0000-0000-0000FD060000}"/>
    <cellStyle name="Heading 2 3 2" xfId="1790" xr:uid="{00000000-0005-0000-0000-0000FE060000}"/>
    <cellStyle name="Heading 2 3 2 2" xfId="8358" xr:uid="{14196170-18FD-4460-987E-2981BAF28B75}"/>
    <cellStyle name="Heading 2 3 3" xfId="1791" xr:uid="{00000000-0005-0000-0000-0000FF060000}"/>
    <cellStyle name="Heading 2 3 3 2" xfId="8359" xr:uid="{65851FB8-3AB5-4955-A4E0-EB72F6355803}"/>
    <cellStyle name="Heading 2 3 4" xfId="1792" xr:uid="{00000000-0005-0000-0000-000000070000}"/>
    <cellStyle name="Heading 2 3 4 2" xfId="8360" xr:uid="{320F2173-A006-4C07-83EE-4598AB8B8DBC}"/>
    <cellStyle name="Heading 2 3 5" xfId="1793" xr:uid="{00000000-0005-0000-0000-000001070000}"/>
    <cellStyle name="Heading 2 3 5 2" xfId="8361" xr:uid="{8E542C3D-6BC5-4890-8313-9FC74642A1FE}"/>
    <cellStyle name="Heading 2 3 6" xfId="1794" xr:uid="{00000000-0005-0000-0000-000002070000}"/>
    <cellStyle name="Heading 2 3 6 2" xfId="8362" xr:uid="{52654917-2CA2-429F-8EB1-4D97E3F19291}"/>
    <cellStyle name="Heading 2 3 7" xfId="1795" xr:uid="{00000000-0005-0000-0000-000003070000}"/>
    <cellStyle name="Heading 2 3 7 2" xfId="8363" xr:uid="{0AD2AE86-461E-485D-B5A1-D7DB428E50CE}"/>
    <cellStyle name="Heading 2 3 8" xfId="1796" xr:uid="{00000000-0005-0000-0000-000004070000}"/>
    <cellStyle name="Heading 2 3 8 2" xfId="8364" xr:uid="{E69D44AB-E0C3-46BC-9668-A31FCA0F3AF6}"/>
    <cellStyle name="Heading 2 3 9" xfId="8357" xr:uid="{56EC2BC9-E17D-454F-9DC3-1A8C72A966D8}"/>
    <cellStyle name="Heading 2 3_ActiFijos" xfId="1797" xr:uid="{00000000-0005-0000-0000-000005070000}"/>
    <cellStyle name="Heading 2 4" xfId="1798" xr:uid="{00000000-0005-0000-0000-000006070000}"/>
    <cellStyle name="Heading 2 4 2" xfId="1799" xr:uid="{00000000-0005-0000-0000-000007070000}"/>
    <cellStyle name="Heading 2 4 2 2" xfId="8366" xr:uid="{A05FBD49-5F7C-448B-9DD0-0FD5E8793F1E}"/>
    <cellStyle name="Heading 2 4 3" xfId="1800" xr:uid="{00000000-0005-0000-0000-000008070000}"/>
    <cellStyle name="Heading 2 4 3 2" xfId="8367" xr:uid="{7D4778D9-8725-4C3A-8CBE-EF1E94EA963C}"/>
    <cellStyle name="Heading 2 4 4" xfId="1801" xr:uid="{00000000-0005-0000-0000-000009070000}"/>
    <cellStyle name="Heading 2 4 4 2" xfId="8368" xr:uid="{76DE9E15-4B9C-47D3-9687-606D07BA7442}"/>
    <cellStyle name="Heading 2 4 5" xfId="1802" xr:uid="{00000000-0005-0000-0000-00000A070000}"/>
    <cellStyle name="Heading 2 4 5 2" xfId="8369" xr:uid="{6A008817-9A9F-418E-910C-78464426EBB4}"/>
    <cellStyle name="Heading 2 4 6" xfId="1803" xr:uid="{00000000-0005-0000-0000-00000B070000}"/>
    <cellStyle name="Heading 2 4 6 2" xfId="8370" xr:uid="{2D81D247-D8E9-44CD-9843-97C0DBE2F0AD}"/>
    <cellStyle name="Heading 2 4 7" xfId="1804" xr:uid="{00000000-0005-0000-0000-00000C070000}"/>
    <cellStyle name="Heading 2 4 7 2" xfId="8371" xr:uid="{CA55D653-12E3-49D4-8DF6-0047B54E5202}"/>
    <cellStyle name="Heading 2 4 8" xfId="1805" xr:uid="{00000000-0005-0000-0000-00000D070000}"/>
    <cellStyle name="Heading 2 4 8 2" xfId="8372" xr:uid="{274FC432-AA46-4FAC-8E4F-6016C8ED8417}"/>
    <cellStyle name="Heading 2 4 9" xfId="8365" xr:uid="{266B1FB9-E13F-47AE-B5C8-982407080288}"/>
    <cellStyle name="Heading 2 4_ActiFijos" xfId="1806" xr:uid="{00000000-0005-0000-0000-00000E070000}"/>
    <cellStyle name="Heading 2 5" xfId="8348" xr:uid="{DFEA1ECF-0CFF-4A5C-9FE6-6AA107875568}"/>
    <cellStyle name="Heading 2_Bases_Generales" xfId="1807" xr:uid="{00000000-0005-0000-0000-00000F070000}"/>
    <cellStyle name="Heading1" xfId="1808" xr:uid="{00000000-0005-0000-0000-000010070000}"/>
    <cellStyle name="Heading1 2" xfId="1809" xr:uid="{00000000-0005-0000-0000-000011070000}"/>
    <cellStyle name="Heading1 2 2" xfId="1810" xr:uid="{00000000-0005-0000-0000-000012070000}"/>
    <cellStyle name="Heading1 2 3" xfId="1811" xr:uid="{00000000-0005-0000-0000-000013070000}"/>
    <cellStyle name="Heading1 2 4" xfId="1812" xr:uid="{00000000-0005-0000-0000-000014070000}"/>
    <cellStyle name="Heading1 2 5" xfId="1813" xr:uid="{00000000-0005-0000-0000-000015070000}"/>
    <cellStyle name="Heading1 2 6" xfId="1814" xr:uid="{00000000-0005-0000-0000-000016070000}"/>
    <cellStyle name="Heading1 2 7" xfId="1815" xr:uid="{00000000-0005-0000-0000-000017070000}"/>
    <cellStyle name="Heading1 2 8" xfId="1816" xr:uid="{00000000-0005-0000-0000-000018070000}"/>
    <cellStyle name="Heading1 2_ActiFijos" xfId="1817" xr:uid="{00000000-0005-0000-0000-000019070000}"/>
    <cellStyle name="Heading1 3" xfId="1818" xr:uid="{00000000-0005-0000-0000-00001A070000}"/>
    <cellStyle name="Heading1 3 2" xfId="1819" xr:uid="{00000000-0005-0000-0000-00001B070000}"/>
    <cellStyle name="Heading1 3 3" xfId="1820" xr:uid="{00000000-0005-0000-0000-00001C070000}"/>
    <cellStyle name="Heading1 3 4" xfId="1821" xr:uid="{00000000-0005-0000-0000-00001D070000}"/>
    <cellStyle name="Heading1 3 5" xfId="1822" xr:uid="{00000000-0005-0000-0000-00001E070000}"/>
    <cellStyle name="Heading1 3 6" xfId="1823" xr:uid="{00000000-0005-0000-0000-00001F070000}"/>
    <cellStyle name="Heading1 3 7" xfId="1824" xr:uid="{00000000-0005-0000-0000-000020070000}"/>
    <cellStyle name="Heading1 3 8" xfId="1825" xr:uid="{00000000-0005-0000-0000-000021070000}"/>
    <cellStyle name="Heading1 3_ActiFijos" xfId="1826" xr:uid="{00000000-0005-0000-0000-000022070000}"/>
    <cellStyle name="Heading1 4" xfId="1827" xr:uid="{00000000-0005-0000-0000-000023070000}"/>
    <cellStyle name="Heading1 4 2" xfId="1828" xr:uid="{00000000-0005-0000-0000-000024070000}"/>
    <cellStyle name="Heading1 4 3" xfId="1829" xr:uid="{00000000-0005-0000-0000-000025070000}"/>
    <cellStyle name="Heading1 4 4" xfId="1830" xr:uid="{00000000-0005-0000-0000-000026070000}"/>
    <cellStyle name="Heading1 4 5" xfId="1831" xr:uid="{00000000-0005-0000-0000-000027070000}"/>
    <cellStyle name="Heading1 4 6" xfId="1832" xr:uid="{00000000-0005-0000-0000-000028070000}"/>
    <cellStyle name="Heading1 4 7" xfId="1833" xr:uid="{00000000-0005-0000-0000-000029070000}"/>
    <cellStyle name="Heading1 4 8" xfId="1834" xr:uid="{00000000-0005-0000-0000-00002A070000}"/>
    <cellStyle name="Heading1 4_ActiFijos" xfId="1835" xr:uid="{00000000-0005-0000-0000-00002B070000}"/>
    <cellStyle name="Heading1_Bases_Generales" xfId="1836" xr:uid="{00000000-0005-0000-0000-00002C070000}"/>
    <cellStyle name="Heading2" xfId="1837" xr:uid="{00000000-0005-0000-0000-00002D070000}"/>
    <cellStyle name="Heading2 2" xfId="1838" xr:uid="{00000000-0005-0000-0000-00002E070000}"/>
    <cellStyle name="Heading2 2 2" xfId="1839" xr:uid="{00000000-0005-0000-0000-00002F070000}"/>
    <cellStyle name="Heading2 2 3" xfId="1840" xr:uid="{00000000-0005-0000-0000-000030070000}"/>
    <cellStyle name="Heading2 2 4" xfId="1841" xr:uid="{00000000-0005-0000-0000-000031070000}"/>
    <cellStyle name="Heading2 2 5" xfId="1842" xr:uid="{00000000-0005-0000-0000-000032070000}"/>
    <cellStyle name="Heading2 2 6" xfId="1843" xr:uid="{00000000-0005-0000-0000-000033070000}"/>
    <cellStyle name="Heading2 2 7" xfId="1844" xr:uid="{00000000-0005-0000-0000-000034070000}"/>
    <cellStyle name="Heading2 2 8" xfId="1845" xr:uid="{00000000-0005-0000-0000-000035070000}"/>
    <cellStyle name="Heading2 2_ActiFijos" xfId="1846" xr:uid="{00000000-0005-0000-0000-000036070000}"/>
    <cellStyle name="Heading2 3" xfId="1847" xr:uid="{00000000-0005-0000-0000-000037070000}"/>
    <cellStyle name="Heading2 3 2" xfId="1848" xr:uid="{00000000-0005-0000-0000-000038070000}"/>
    <cellStyle name="Heading2 3 3" xfId="1849" xr:uid="{00000000-0005-0000-0000-000039070000}"/>
    <cellStyle name="Heading2 3 4" xfId="1850" xr:uid="{00000000-0005-0000-0000-00003A070000}"/>
    <cellStyle name="Heading2 3 5" xfId="1851" xr:uid="{00000000-0005-0000-0000-00003B070000}"/>
    <cellStyle name="Heading2 3 6" xfId="1852" xr:uid="{00000000-0005-0000-0000-00003C070000}"/>
    <cellStyle name="Heading2 3 7" xfId="1853" xr:uid="{00000000-0005-0000-0000-00003D070000}"/>
    <cellStyle name="Heading2 3 8" xfId="1854" xr:uid="{00000000-0005-0000-0000-00003E070000}"/>
    <cellStyle name="Heading2 3_ActiFijos" xfId="1855" xr:uid="{00000000-0005-0000-0000-00003F070000}"/>
    <cellStyle name="Heading2 4" xfId="1856" xr:uid="{00000000-0005-0000-0000-000040070000}"/>
    <cellStyle name="Heading2 4 2" xfId="1857" xr:uid="{00000000-0005-0000-0000-000041070000}"/>
    <cellStyle name="Heading2 4 3" xfId="1858" xr:uid="{00000000-0005-0000-0000-000042070000}"/>
    <cellStyle name="Heading2 4 4" xfId="1859" xr:uid="{00000000-0005-0000-0000-000043070000}"/>
    <cellStyle name="Heading2 4 5" xfId="1860" xr:uid="{00000000-0005-0000-0000-000044070000}"/>
    <cellStyle name="Heading2 4 6" xfId="1861" xr:uid="{00000000-0005-0000-0000-000045070000}"/>
    <cellStyle name="Heading2 4 7" xfId="1862" xr:uid="{00000000-0005-0000-0000-000046070000}"/>
    <cellStyle name="Heading2 4 8" xfId="1863" xr:uid="{00000000-0005-0000-0000-000047070000}"/>
    <cellStyle name="Heading2 4_ActiFijos" xfId="1864" xr:uid="{00000000-0005-0000-0000-000048070000}"/>
    <cellStyle name="Heading2_Bases_Generales" xfId="1865" xr:uid="{00000000-0005-0000-0000-000049070000}"/>
    <cellStyle name="Hide" xfId="1866" xr:uid="{00000000-0005-0000-0000-00004A070000}"/>
    <cellStyle name="Hide 2" xfId="8377" xr:uid="{75C2F4A5-21CF-44CF-8F3A-DB0E3F8D3A18}"/>
    <cellStyle name="Hipervínculo" xfId="8" xr:uid="{00000000-0005-0000-0000-000008000000}"/>
    <cellStyle name="Hipervínculo 2" xfId="3733" xr:uid="{00000000-0005-0000-0000-0000950E0000}"/>
    <cellStyle name="Hipervínculo 2 2" xfId="8959" xr:uid="{9D44EFA1-9DA5-4AA1-B046-FFB6E0040B8C}"/>
    <cellStyle name="Hipervínculo 3" xfId="7875" xr:uid="{348C5E0E-86CD-4851-9135-5B62F4418C66}"/>
    <cellStyle name="Hyperlink seguido_ISA TOTAL" xfId="1867" xr:uid="{00000000-0005-0000-0000-00004B070000}"/>
    <cellStyle name="Hyperlink_ISA TOTAL" xfId="1868" xr:uid="{00000000-0005-0000-0000-00004C070000}"/>
    <cellStyle name="Incorrecto 10" xfId="5074" xr:uid="{00000000-0005-0000-0000-0000D2130000}"/>
    <cellStyle name="Incorrecto 10 2" xfId="5075" xr:uid="{00000000-0005-0000-0000-0000D3130000}"/>
    <cellStyle name="Incorrecto 10 2 2" xfId="9936" xr:uid="{4DB2393E-3F53-44FF-8A37-BABF009F1E6D}"/>
    <cellStyle name="Incorrecto 10 3" xfId="9935" xr:uid="{009F808C-C724-46D7-9965-F31EF3F09993}"/>
    <cellStyle name="Incorrecto 11" xfId="5076" xr:uid="{00000000-0005-0000-0000-0000D4130000}"/>
    <cellStyle name="Incorrecto 11 2" xfId="5077" xr:uid="{00000000-0005-0000-0000-0000D5130000}"/>
    <cellStyle name="Incorrecto 11 2 2" xfId="9938" xr:uid="{3B400CBC-E658-4131-9F7D-413D4D1487FF}"/>
    <cellStyle name="Incorrecto 11 3" xfId="9937" xr:uid="{E019123F-C66E-4035-8D9F-D3304BA79755}"/>
    <cellStyle name="Incorrecto 12" xfId="5078" xr:uid="{00000000-0005-0000-0000-0000D6130000}"/>
    <cellStyle name="Incorrecto 12 2" xfId="5079" xr:uid="{00000000-0005-0000-0000-0000D7130000}"/>
    <cellStyle name="Incorrecto 12 2 2" xfId="9940" xr:uid="{7CB3D105-0FF4-4382-AE23-F82DBDCC4FBA}"/>
    <cellStyle name="Incorrecto 12 3" xfId="9939" xr:uid="{D0C9B0FC-04E0-4A5D-A606-537A3F3DB02F}"/>
    <cellStyle name="Incorrecto 13" xfId="5080" xr:uid="{00000000-0005-0000-0000-0000D8130000}"/>
    <cellStyle name="Incorrecto 13 2" xfId="5081" xr:uid="{00000000-0005-0000-0000-0000D9130000}"/>
    <cellStyle name="Incorrecto 13 2 2" xfId="9942" xr:uid="{58E5F6A5-7060-40E4-909E-BC82740D4329}"/>
    <cellStyle name="Incorrecto 13 3" xfId="9941" xr:uid="{5BDA99B7-5F56-42CE-A67A-2C47A7924587}"/>
    <cellStyle name="Incorrecto 14" xfId="5082" xr:uid="{00000000-0005-0000-0000-0000DA130000}"/>
    <cellStyle name="Incorrecto 14 2" xfId="5083" xr:uid="{00000000-0005-0000-0000-0000DB130000}"/>
    <cellStyle name="Incorrecto 14 2 2" xfId="9944" xr:uid="{CAD69B5E-21D8-4319-898E-55B7613487FB}"/>
    <cellStyle name="Incorrecto 14 3" xfId="9943" xr:uid="{DCAE76CD-B590-42ED-911E-C5C45D09F405}"/>
    <cellStyle name="Incorrecto 15" xfId="5084" xr:uid="{00000000-0005-0000-0000-0000DC130000}"/>
    <cellStyle name="Incorrecto 15 2" xfId="5085" xr:uid="{00000000-0005-0000-0000-0000DD130000}"/>
    <cellStyle name="Incorrecto 15 2 2" xfId="9946" xr:uid="{98FBFA73-851E-44A0-BCE9-ACE34A0FF3E7}"/>
    <cellStyle name="Incorrecto 15 3" xfId="9945" xr:uid="{2E902FE8-AF0C-4528-A433-572D602B1554}"/>
    <cellStyle name="Incorrecto 16" xfId="5086" xr:uid="{00000000-0005-0000-0000-0000DE130000}"/>
    <cellStyle name="Incorrecto 16 2" xfId="9947" xr:uid="{9B17864D-C2D7-433D-AF7C-1A10F4943915}"/>
    <cellStyle name="Incorrecto 2" xfId="1869" xr:uid="{00000000-0005-0000-0000-00004D070000}"/>
    <cellStyle name="Incorrecto 2 2" xfId="1870" xr:uid="{00000000-0005-0000-0000-00004E070000}"/>
    <cellStyle name="Incorrecto 2 2 2" xfId="5087" xr:uid="{00000000-0005-0000-0000-0000DF130000}"/>
    <cellStyle name="Incorrecto 2 2 2 2" xfId="9948" xr:uid="{9D5E979C-F59B-4C07-A25C-CF5ECEB4389F}"/>
    <cellStyle name="Incorrecto 2 2 3" xfId="5088" xr:uid="{00000000-0005-0000-0000-0000E0130000}"/>
    <cellStyle name="Incorrecto 2 2 3 2" xfId="9949" xr:uid="{025D64D7-854A-4F08-98D0-0748F48254CC}"/>
    <cellStyle name="Incorrecto 2 2 4" xfId="5089" xr:uid="{00000000-0005-0000-0000-0000E1130000}"/>
    <cellStyle name="Incorrecto 2 2 4 2" xfId="5090" xr:uid="{00000000-0005-0000-0000-0000E2130000}"/>
    <cellStyle name="Incorrecto 2 2 4 2 2" xfId="9951" xr:uid="{6142DBEB-2A2A-4554-B1D9-B4D50E9106DC}"/>
    <cellStyle name="Incorrecto 2 2 4 3" xfId="9950" xr:uid="{2FE158FD-C5F4-408D-A7FB-1BF4CE3097A8}"/>
    <cellStyle name="Incorrecto 2 2 5" xfId="8379" xr:uid="{61D2F1D8-72A2-4FFE-A3D2-1B43490AA29D}"/>
    <cellStyle name="Incorrecto 2 3" xfId="5091" xr:uid="{00000000-0005-0000-0000-0000E3130000}"/>
    <cellStyle name="Incorrecto 2 3 2" xfId="9952" xr:uid="{C2C88AA0-4739-4AF1-A393-A7FE2D16F708}"/>
    <cellStyle name="Incorrecto 2 4" xfId="5092" xr:uid="{00000000-0005-0000-0000-0000E4130000}"/>
    <cellStyle name="Incorrecto 2 4 2" xfId="5093" xr:uid="{00000000-0005-0000-0000-0000E5130000}"/>
    <cellStyle name="Incorrecto 2 4 2 2" xfId="9954" xr:uid="{A7495CE8-1191-4FBA-B6D3-FDD8DAA69A52}"/>
    <cellStyle name="Incorrecto 2 4 3" xfId="9953" xr:uid="{45448CF3-E381-4605-BC1E-964AE1B8BC0A}"/>
    <cellStyle name="Incorrecto 2 5" xfId="5094" xr:uid="{00000000-0005-0000-0000-0000E6130000}"/>
    <cellStyle name="Incorrecto 2 5 2" xfId="9955" xr:uid="{448C920F-1ADF-4788-8402-47BD10B06B60}"/>
    <cellStyle name="Incorrecto 2 6" xfId="8378" xr:uid="{5BB5E685-1019-4919-B728-6A34DB841D55}"/>
    <cellStyle name="Incorrecto 2_Deuda septiembre_marcos" xfId="1871" xr:uid="{00000000-0005-0000-0000-00004F070000}"/>
    <cellStyle name="Incorrecto 3" xfId="3424" xr:uid="{00000000-0005-0000-0000-0000600D0000}"/>
    <cellStyle name="Incorrecto 3 2" xfId="5095" xr:uid="{00000000-0005-0000-0000-0000E7130000}"/>
    <cellStyle name="Incorrecto 3 2 2" xfId="9956" xr:uid="{99DFDAA8-1CE2-41A8-ACD6-3A26B6CD8C07}"/>
    <cellStyle name="Incorrecto 3 3" xfId="5096" xr:uid="{00000000-0005-0000-0000-0000E8130000}"/>
    <cellStyle name="Incorrecto 3 3 2" xfId="9957" xr:uid="{A2C3C0CA-007D-423C-A0BA-C422E5E19C0D}"/>
    <cellStyle name="Incorrecto 3 4" xfId="8815" xr:uid="{FFE84354-21FF-4E9C-B270-0465CD27180C}"/>
    <cellStyle name="Incorrecto 4" xfId="5097" xr:uid="{00000000-0005-0000-0000-0000E9130000}"/>
    <cellStyle name="Incorrecto 4 2" xfId="5098" xr:uid="{00000000-0005-0000-0000-0000EA130000}"/>
    <cellStyle name="Incorrecto 4 2 2" xfId="9959" xr:uid="{41938E93-CCCD-4D7D-8F75-28196426C905}"/>
    <cellStyle name="Incorrecto 4 3" xfId="5099" xr:uid="{00000000-0005-0000-0000-0000EB130000}"/>
    <cellStyle name="Incorrecto 4 3 2" xfId="9960" xr:uid="{01F8018B-AB3D-4117-80C1-AFB1EF59527B}"/>
    <cellStyle name="Incorrecto 4 4" xfId="9958" xr:uid="{6FC44F2A-5347-435C-9444-293510723974}"/>
    <cellStyle name="Incorrecto 5" xfId="5100" xr:uid="{00000000-0005-0000-0000-0000EC130000}"/>
    <cellStyle name="Incorrecto 5 2" xfId="5101" xr:uid="{00000000-0005-0000-0000-0000ED130000}"/>
    <cellStyle name="Incorrecto 5 2 2" xfId="9962" xr:uid="{E424340E-4371-4EBB-B726-63A0938C9B83}"/>
    <cellStyle name="Incorrecto 5 3" xfId="9961" xr:uid="{0DED1C76-6689-4A25-9BE7-774F5FDAEF08}"/>
    <cellStyle name="Incorrecto 6" xfId="5102" xr:uid="{00000000-0005-0000-0000-0000EE130000}"/>
    <cellStyle name="Incorrecto 6 2" xfId="5103" xr:uid="{00000000-0005-0000-0000-0000EF130000}"/>
    <cellStyle name="Incorrecto 6 2 2" xfId="9964" xr:uid="{063A0562-5123-42BD-985E-0CA465404207}"/>
    <cellStyle name="Incorrecto 6 3" xfId="9963" xr:uid="{EA967769-212C-4D5A-8AB9-4F9FAFEB1A55}"/>
    <cellStyle name="Incorrecto 7" xfId="5104" xr:uid="{00000000-0005-0000-0000-0000F0130000}"/>
    <cellStyle name="Incorrecto 7 2" xfId="5105" xr:uid="{00000000-0005-0000-0000-0000F1130000}"/>
    <cellStyle name="Incorrecto 7 2 2" xfId="9966" xr:uid="{A7B1DA24-C36A-4AE8-8AEF-69A4EE015E5D}"/>
    <cellStyle name="Incorrecto 7 3" xfId="9965" xr:uid="{4308ED57-9098-4F62-B29A-1F3320559E0D}"/>
    <cellStyle name="Incorrecto 8" xfId="5106" xr:uid="{00000000-0005-0000-0000-0000F2130000}"/>
    <cellStyle name="Incorrecto 8 2" xfId="5107" xr:uid="{00000000-0005-0000-0000-0000F3130000}"/>
    <cellStyle name="Incorrecto 8 2 2" xfId="9968" xr:uid="{8963B478-8092-4DBD-9D47-1859DDB57F07}"/>
    <cellStyle name="Incorrecto 8 3" xfId="9967" xr:uid="{CA6E372B-C0F8-4D82-8514-84791CFE9AC8}"/>
    <cellStyle name="Incorrecto 9" xfId="5108" xr:uid="{00000000-0005-0000-0000-0000F4130000}"/>
    <cellStyle name="Incorrecto 9 2" xfId="5109" xr:uid="{00000000-0005-0000-0000-0000F5130000}"/>
    <cellStyle name="Incorrecto 9 2 2" xfId="9970" xr:uid="{8F053062-D786-474D-B316-B6E40732488F}"/>
    <cellStyle name="Incorrecto 9 3" xfId="9969" xr:uid="{ABB9ACBB-D13D-4DEA-A5B7-661715A7F788}"/>
    <cellStyle name="Incorreto" xfId="1872" xr:uid="{00000000-0005-0000-0000-000050070000}"/>
    <cellStyle name="Incorreto 2" xfId="8380" xr:uid="{0BA846A7-B82F-4087-BB1A-AE8AB9ACE493}"/>
    <cellStyle name="Indefinido" xfId="1873" xr:uid="{00000000-0005-0000-0000-000051070000}"/>
    <cellStyle name="Input [yellow]" xfId="1874" xr:uid="{00000000-0005-0000-0000-000052070000}"/>
    <cellStyle name="Input [yellow] 10" xfId="1875" xr:uid="{00000000-0005-0000-0000-000053070000}"/>
    <cellStyle name="Input [yellow] 10 2" xfId="1876" xr:uid="{00000000-0005-0000-0000-000054070000}"/>
    <cellStyle name="Input [yellow] 10 2 2" xfId="8383" xr:uid="{484854A1-8C7C-4B9D-97FB-F6475EB1EBE4}"/>
    <cellStyle name="Input [yellow] 10 3" xfId="8382" xr:uid="{C08FF608-99A9-4F1E-9ADE-5AC5B83D8050}"/>
    <cellStyle name="Input [yellow] 11" xfId="1877" xr:uid="{00000000-0005-0000-0000-000055070000}"/>
    <cellStyle name="Input [yellow] 11 2" xfId="8384" xr:uid="{B3210B2E-1807-4619-A531-09937FEF2300}"/>
    <cellStyle name="Input [yellow] 12" xfId="1878" xr:uid="{00000000-0005-0000-0000-000056070000}"/>
    <cellStyle name="Input [yellow] 12 2" xfId="8385" xr:uid="{7B427BDB-AD88-4868-B360-92F109B47086}"/>
    <cellStyle name="Input [yellow] 13" xfId="1879" xr:uid="{00000000-0005-0000-0000-000057070000}"/>
    <cellStyle name="Input [yellow] 13 2" xfId="8386" xr:uid="{E03E8589-4C6B-432E-93D7-97B911842D09}"/>
    <cellStyle name="Input [yellow] 14" xfId="8381" xr:uid="{0EB09424-EF59-44D2-A38F-049A0316A61C}"/>
    <cellStyle name="Input [yellow] 2" xfId="1880" xr:uid="{00000000-0005-0000-0000-000058070000}"/>
    <cellStyle name="Input [yellow] 2 2" xfId="1881" xr:uid="{00000000-0005-0000-0000-000059070000}"/>
    <cellStyle name="Input [yellow] 2 2 2" xfId="1882" xr:uid="{00000000-0005-0000-0000-00005A070000}"/>
    <cellStyle name="Input [yellow] 2 2 2 2" xfId="8389" xr:uid="{EF4E4BA8-E96E-4016-814E-0DC3FCCAB0FD}"/>
    <cellStyle name="Input [yellow] 2 2 3" xfId="1883" xr:uid="{00000000-0005-0000-0000-00005B070000}"/>
    <cellStyle name="Input [yellow] 2 2 3 2" xfId="8390" xr:uid="{A2F7DE36-8489-4C4D-8A9A-1E6F4DF6B4AE}"/>
    <cellStyle name="Input [yellow] 2 2 4" xfId="8388" xr:uid="{698DBE71-8E23-4AF2-9A47-664B32ED81CC}"/>
    <cellStyle name="Input [yellow] 2 3" xfId="1884" xr:uid="{00000000-0005-0000-0000-00005C070000}"/>
    <cellStyle name="Input [yellow] 2 3 2" xfId="8391" xr:uid="{B71C0438-10AA-493E-8642-3BAD2702194E}"/>
    <cellStyle name="Input [yellow] 2 4" xfId="1885" xr:uid="{00000000-0005-0000-0000-00005D070000}"/>
    <cellStyle name="Input [yellow] 2 4 2" xfId="8392" xr:uid="{CF0B34F1-8E72-4407-BD7C-84678EC51D67}"/>
    <cellStyle name="Input [yellow] 2 5" xfId="8387" xr:uid="{D9850496-C93E-4931-8E3B-E9DC24654D08}"/>
    <cellStyle name="Input [yellow] 2_PPT Final" xfId="1886" xr:uid="{00000000-0005-0000-0000-00005E070000}"/>
    <cellStyle name="Input [yellow] 3" xfId="1887" xr:uid="{00000000-0005-0000-0000-00005F070000}"/>
    <cellStyle name="Input [yellow] 3 2" xfId="1888" xr:uid="{00000000-0005-0000-0000-000060070000}"/>
    <cellStyle name="Input [yellow] 3 2 2" xfId="1889" xr:uid="{00000000-0005-0000-0000-000061070000}"/>
    <cellStyle name="Input [yellow] 3 2 2 2" xfId="8395" xr:uid="{F60BB3AF-AFB6-4D06-B0CD-C1840B39BC71}"/>
    <cellStyle name="Input [yellow] 3 2 3" xfId="1890" xr:uid="{00000000-0005-0000-0000-000062070000}"/>
    <cellStyle name="Input [yellow] 3 2 3 2" xfId="8396" xr:uid="{80ACA751-6166-4E86-BCD3-C10FE6034B3B}"/>
    <cellStyle name="Input [yellow] 3 2 4" xfId="8394" xr:uid="{47110798-492D-40CA-9702-196852E22C33}"/>
    <cellStyle name="Input [yellow] 3 3" xfId="1891" xr:uid="{00000000-0005-0000-0000-000063070000}"/>
    <cellStyle name="Input [yellow] 3 3 2" xfId="8397" xr:uid="{78196902-63DA-4D55-BCFC-836370271F7E}"/>
    <cellStyle name="Input [yellow] 3 4" xfId="1892" xr:uid="{00000000-0005-0000-0000-000064070000}"/>
    <cellStyle name="Input [yellow] 3 4 2" xfId="8398" xr:uid="{80CD959E-0770-47FA-AC09-81F38E50D854}"/>
    <cellStyle name="Input [yellow] 3 5" xfId="8393" xr:uid="{041DE88B-EB34-4809-9BCC-127AC8DBAAFC}"/>
    <cellStyle name="Input [yellow] 3_PPT Final" xfId="1893" xr:uid="{00000000-0005-0000-0000-000065070000}"/>
    <cellStyle name="Input [yellow] 4" xfId="1894" xr:uid="{00000000-0005-0000-0000-000066070000}"/>
    <cellStyle name="Input [yellow] 4 2" xfId="1895" xr:uid="{00000000-0005-0000-0000-000067070000}"/>
    <cellStyle name="Input [yellow] 4 2 2" xfId="1896" xr:uid="{00000000-0005-0000-0000-000068070000}"/>
    <cellStyle name="Input [yellow] 4 2 2 2" xfId="8401" xr:uid="{B5BE828B-E5CE-48CA-A091-069152F404BA}"/>
    <cellStyle name="Input [yellow] 4 2 3" xfId="1897" xr:uid="{00000000-0005-0000-0000-000069070000}"/>
    <cellStyle name="Input [yellow] 4 2 3 2" xfId="8402" xr:uid="{0B040D32-1116-4820-B66C-36F0F9B02FF0}"/>
    <cellStyle name="Input [yellow] 4 2 4" xfId="8400" xr:uid="{47917678-822C-4C08-8A80-1A5A9F299013}"/>
    <cellStyle name="Input [yellow] 4 3" xfId="1898" xr:uid="{00000000-0005-0000-0000-00006A070000}"/>
    <cellStyle name="Input [yellow] 4 3 2" xfId="8403" xr:uid="{A3CD3C56-E054-4B67-B161-1842A59D06BF}"/>
    <cellStyle name="Input [yellow] 4 4" xfId="1899" xr:uid="{00000000-0005-0000-0000-00006B070000}"/>
    <cellStyle name="Input [yellow] 4 4 2" xfId="8404" xr:uid="{5B41D11E-5937-4CF0-9535-3FB45B4EC5C8}"/>
    <cellStyle name="Input [yellow] 4 5" xfId="8399" xr:uid="{DC0C258C-5B76-4659-B8FE-444B9E408353}"/>
    <cellStyle name="Input [yellow] 4_PPT Final" xfId="1900" xr:uid="{00000000-0005-0000-0000-00006C070000}"/>
    <cellStyle name="Input [yellow] 5" xfId="1901" xr:uid="{00000000-0005-0000-0000-00006D070000}"/>
    <cellStyle name="Input [yellow] 5 2" xfId="1902" xr:uid="{00000000-0005-0000-0000-00006E070000}"/>
    <cellStyle name="Input [yellow] 5 2 2" xfId="1903" xr:uid="{00000000-0005-0000-0000-00006F070000}"/>
    <cellStyle name="Input [yellow] 5 2 2 2" xfId="8407" xr:uid="{D53BEAFC-98BC-4E34-8D5C-D6C71C151CF4}"/>
    <cellStyle name="Input [yellow] 5 2 3" xfId="1904" xr:uid="{00000000-0005-0000-0000-000070070000}"/>
    <cellStyle name="Input [yellow] 5 2 3 2" xfId="8408" xr:uid="{8BB0A48B-F721-49C9-AADF-199E05EB9539}"/>
    <cellStyle name="Input [yellow] 5 2 4" xfId="8406" xr:uid="{BCADDF29-29A6-403E-9986-4B9DBB0214AF}"/>
    <cellStyle name="Input [yellow] 5 3" xfId="1905" xr:uid="{00000000-0005-0000-0000-000071070000}"/>
    <cellStyle name="Input [yellow] 5 3 2" xfId="8409" xr:uid="{573E03D3-BBE5-4037-9223-01BAE23F2A95}"/>
    <cellStyle name="Input [yellow] 5 4" xfId="1906" xr:uid="{00000000-0005-0000-0000-000072070000}"/>
    <cellStyle name="Input [yellow] 5 4 2" xfId="8410" xr:uid="{05FF563B-67D1-4270-8298-D4FCA6AFDED4}"/>
    <cellStyle name="Input [yellow] 5 5" xfId="8405" xr:uid="{297D204C-5673-4C25-890E-72A1B5279B26}"/>
    <cellStyle name="Input [yellow] 5_PPT Final" xfId="1907" xr:uid="{00000000-0005-0000-0000-000073070000}"/>
    <cellStyle name="Input [yellow] 6" xfId="1908" xr:uid="{00000000-0005-0000-0000-000074070000}"/>
    <cellStyle name="Input [yellow] 6 2" xfId="1909" xr:uid="{00000000-0005-0000-0000-000075070000}"/>
    <cellStyle name="Input [yellow] 6 2 2" xfId="1910" xr:uid="{00000000-0005-0000-0000-000076070000}"/>
    <cellStyle name="Input [yellow] 6 2 2 2" xfId="8413" xr:uid="{15A3CE51-37BE-4652-AFBD-A95A01328FD9}"/>
    <cellStyle name="Input [yellow] 6 2 3" xfId="1911" xr:uid="{00000000-0005-0000-0000-000077070000}"/>
    <cellStyle name="Input [yellow] 6 2 3 2" xfId="8414" xr:uid="{4E5E4C70-4C7C-4351-AEE2-912CCE6F1920}"/>
    <cellStyle name="Input [yellow] 6 2 4" xfId="8412" xr:uid="{9CF37C80-9B72-49CA-B3BE-F8B15FD38991}"/>
    <cellStyle name="Input [yellow] 6 3" xfId="1912" xr:uid="{00000000-0005-0000-0000-000078070000}"/>
    <cellStyle name="Input [yellow] 6 3 2" xfId="8415" xr:uid="{0D14727A-5AF6-40A0-BA1A-B2409E5016E5}"/>
    <cellStyle name="Input [yellow] 6 4" xfId="1913" xr:uid="{00000000-0005-0000-0000-000079070000}"/>
    <cellStyle name="Input [yellow] 6 4 2" xfId="8416" xr:uid="{6A9D5BCD-95AD-4AB2-B656-BC526EA491F4}"/>
    <cellStyle name="Input [yellow] 6 5" xfId="8411" xr:uid="{32B5CDCF-9BA4-402C-B7FA-DE3B72B53DBC}"/>
    <cellStyle name="Input [yellow] 6_PPT Final" xfId="1914" xr:uid="{00000000-0005-0000-0000-00007A070000}"/>
    <cellStyle name="Input [yellow] 7" xfId="1915" xr:uid="{00000000-0005-0000-0000-00007B070000}"/>
    <cellStyle name="Input [yellow] 7 2" xfId="1916" xr:uid="{00000000-0005-0000-0000-00007C070000}"/>
    <cellStyle name="Input [yellow] 7 2 2" xfId="1917" xr:uid="{00000000-0005-0000-0000-00007D070000}"/>
    <cellStyle name="Input [yellow] 7 2 2 2" xfId="8419" xr:uid="{7D420830-375C-4134-931E-3E30090C3D34}"/>
    <cellStyle name="Input [yellow] 7 2 3" xfId="1918" xr:uid="{00000000-0005-0000-0000-00007E070000}"/>
    <cellStyle name="Input [yellow] 7 2 3 2" xfId="8420" xr:uid="{48D7FE5F-9771-4129-B328-8D29AF409B32}"/>
    <cellStyle name="Input [yellow] 7 2 4" xfId="8418" xr:uid="{3E32DED5-D70C-4B59-B96A-13CB76A9FB96}"/>
    <cellStyle name="Input [yellow] 7 3" xfId="1919" xr:uid="{00000000-0005-0000-0000-00007F070000}"/>
    <cellStyle name="Input [yellow] 7 3 2" xfId="8421" xr:uid="{5CCDF57E-A6F4-49FB-9E7B-45BFFDEE4EB6}"/>
    <cellStyle name="Input [yellow] 7 4" xfId="1920" xr:uid="{00000000-0005-0000-0000-000080070000}"/>
    <cellStyle name="Input [yellow] 7 4 2" xfId="8422" xr:uid="{B91095AE-8D17-4E34-B060-E1D2C8288465}"/>
    <cellStyle name="Input [yellow] 7 5" xfId="8417" xr:uid="{21D8FD75-C8D5-4C57-8654-402C12C3A16D}"/>
    <cellStyle name="Input [yellow] 7_PPT Final" xfId="1921" xr:uid="{00000000-0005-0000-0000-000081070000}"/>
    <cellStyle name="Input [yellow] 8" xfId="1922" xr:uid="{00000000-0005-0000-0000-000082070000}"/>
    <cellStyle name="Input [yellow] 8 2" xfId="1923" xr:uid="{00000000-0005-0000-0000-000083070000}"/>
    <cellStyle name="Input [yellow] 8 2 2" xfId="8424" xr:uid="{67F1C546-3409-4458-BF11-191E5B05EE52}"/>
    <cellStyle name="Input [yellow] 8 3" xfId="1924" xr:uid="{00000000-0005-0000-0000-000084070000}"/>
    <cellStyle name="Input [yellow] 8 3 2" xfId="8425" xr:uid="{02D683E3-307E-4106-AE45-277D1596B1CA}"/>
    <cellStyle name="Input [yellow] 8 4" xfId="8423" xr:uid="{42E008EC-0CEA-4391-9B96-104739578A23}"/>
    <cellStyle name="Input [yellow] 9" xfId="1925" xr:uid="{00000000-0005-0000-0000-000085070000}"/>
    <cellStyle name="Input [yellow] 9 2" xfId="1926" xr:uid="{00000000-0005-0000-0000-000086070000}"/>
    <cellStyle name="Input [yellow] 9 2 2" xfId="8427" xr:uid="{23DA30E3-557F-4EB3-BBD5-49B338EF2589}"/>
    <cellStyle name="Input [yellow] 9 3" xfId="1927" xr:uid="{00000000-0005-0000-0000-000087070000}"/>
    <cellStyle name="Input [yellow] 9 3 2" xfId="8428" xr:uid="{6652F418-7DE8-4D03-BB37-531711F9E890}"/>
    <cellStyle name="Input [yellow] 9 4" xfId="8426" xr:uid="{EA789B26-7492-494C-8FC6-4B25BDC98E92}"/>
    <cellStyle name="Input [yellow]_ActiFijos" xfId="1928" xr:uid="{00000000-0005-0000-0000-000088070000}"/>
    <cellStyle name="INPUTS" xfId="3425" xr:uid="{00000000-0005-0000-0000-0000610D0000}"/>
    <cellStyle name="INPUTS 2" xfId="8816" xr:uid="{9FF6D76B-8AC9-47BD-841D-06A02BDA9AAA}"/>
    <cellStyle name="lista 3" xfId="1929" xr:uid="{00000000-0005-0000-0000-000089070000}"/>
    <cellStyle name="lista 3 2" xfId="8429" xr:uid="{E83F331A-879A-4B55-9D1E-593F6985FDA5}"/>
    <cellStyle name="Millares" xfId="16" xr:uid="{00000000-0005-0000-0000-000010000000}"/>
    <cellStyle name="Millares [0,1]" xfId="1930" xr:uid="{00000000-0005-0000-0000-00008A070000}"/>
    <cellStyle name="Millares [0,1] 2" xfId="1931" xr:uid="{00000000-0005-0000-0000-00008B070000}"/>
    <cellStyle name="Millares [0,1] 2 2" xfId="1932" xr:uid="{00000000-0005-0000-0000-00008C070000}"/>
    <cellStyle name="Millares [0,1] 2 2 2" xfId="8432" xr:uid="{A7D93D0C-FDB4-4A32-9EB2-C38205F0F733}"/>
    <cellStyle name="Millares [0,1] 2 3" xfId="1933" xr:uid="{00000000-0005-0000-0000-00008D070000}"/>
    <cellStyle name="Millares [0,1] 2 3 2" xfId="8433" xr:uid="{B8A4176D-78D5-4DA3-BF1A-5B45E7DAC3D4}"/>
    <cellStyle name="Millares [0,1] 2 4" xfId="8431" xr:uid="{F27E2DD6-45EA-4B1A-BEE4-B6D3E8EDD659}"/>
    <cellStyle name="Millares [0,1] 2_Deuda septiembre_marcos" xfId="3426" xr:uid="{00000000-0005-0000-0000-0000620D0000}"/>
    <cellStyle name="Millares [0,1] 3" xfId="1934" xr:uid="{00000000-0005-0000-0000-00008E070000}"/>
    <cellStyle name="Millares [0,1] 3 2" xfId="1935" xr:uid="{00000000-0005-0000-0000-00008F070000}"/>
    <cellStyle name="Millares [0,1] 3 2 2" xfId="8435" xr:uid="{5B82950B-8DB0-40A9-B5C2-D86D5F0DA83A}"/>
    <cellStyle name="Millares [0,1] 3 3" xfId="8434" xr:uid="{79EB87AA-D2B4-4110-87CB-5B9FAF077540}"/>
    <cellStyle name="Millares [0,1] 3_Deuda septiembre_marcos" xfId="3427" xr:uid="{00000000-0005-0000-0000-0000630D0000}"/>
    <cellStyle name="Millares [0,1] 4" xfId="1936" xr:uid="{00000000-0005-0000-0000-000090070000}"/>
    <cellStyle name="Millares [0,1] 4 2" xfId="8436" xr:uid="{C820B854-74E6-4CB2-9BB3-CBA060408469}"/>
    <cellStyle name="Millares [0,1] 5" xfId="1937" xr:uid="{00000000-0005-0000-0000-000091070000}"/>
    <cellStyle name="Millares [0,1] 5 2" xfId="8437" xr:uid="{835C9ECC-2979-4E33-9AC2-6088E2D5F6CD}"/>
    <cellStyle name="Millares [0,1] 6" xfId="1938" xr:uid="{00000000-0005-0000-0000-000092070000}"/>
    <cellStyle name="Millares [0,1] 6 2" xfId="8438" xr:uid="{0C01D79F-CB2E-49F9-BCE4-0AF28B750216}"/>
    <cellStyle name="Millares [0,1] 7" xfId="8430" xr:uid="{0F359F64-17C1-44E7-92C2-A2768A37200F}"/>
    <cellStyle name="Millares [0,1]_Bases_Generales" xfId="1939" xr:uid="{00000000-0005-0000-0000-000093070000}"/>
    <cellStyle name="Millares [0.0]" xfId="1940" xr:uid="{00000000-0005-0000-0000-000094070000}"/>
    <cellStyle name="Millares [0.0] 2" xfId="1941" xr:uid="{00000000-0005-0000-0000-000095070000}"/>
    <cellStyle name="Millares [0.0] 2 2" xfId="1942" xr:uid="{00000000-0005-0000-0000-000096070000}"/>
    <cellStyle name="Millares [0.0] 2 2 2" xfId="8441" xr:uid="{761316F7-EA52-40DF-B72A-AA7A2B632EDE}"/>
    <cellStyle name="Millares [0.0] 2 3" xfId="1943" xr:uid="{00000000-0005-0000-0000-000097070000}"/>
    <cellStyle name="Millares [0.0] 2 3 2" xfId="8442" xr:uid="{40670D85-32A2-4B42-AF46-E58D3B900D37}"/>
    <cellStyle name="Millares [0.0] 2 4" xfId="8440" xr:uid="{C15D1A88-7BB5-444E-9B6C-390AB36706D0}"/>
    <cellStyle name="Millares [0.0] 2_Deuda septiembre_marcos" xfId="3428" xr:uid="{00000000-0005-0000-0000-0000640D0000}"/>
    <cellStyle name="Millares [0.0] 3" xfId="1944" xr:uid="{00000000-0005-0000-0000-000098070000}"/>
    <cellStyle name="Millares [0.0] 3 2" xfId="1945" xr:uid="{00000000-0005-0000-0000-000099070000}"/>
    <cellStyle name="Millares [0.0] 3 2 2" xfId="8444" xr:uid="{47BFE61B-C06C-454C-B331-25605278CA0D}"/>
    <cellStyle name="Millares [0.0] 3 3" xfId="8443" xr:uid="{97C33797-CEC1-4B8E-A327-19D640357B31}"/>
    <cellStyle name="Millares [0.0] 3_Deuda septiembre_marcos" xfId="3429" xr:uid="{00000000-0005-0000-0000-0000650D0000}"/>
    <cellStyle name="Millares [0.0] 4" xfId="1946" xr:uid="{00000000-0005-0000-0000-00009A070000}"/>
    <cellStyle name="Millares [0.0] 4 2" xfId="8445" xr:uid="{9BE07A72-26AD-493D-A8FF-B67D5D2E3C7E}"/>
    <cellStyle name="Millares [0.0] 5" xfId="1947" xr:uid="{00000000-0005-0000-0000-00009B070000}"/>
    <cellStyle name="Millares [0.0] 5 2" xfId="8446" xr:uid="{138FC730-2269-492C-88A9-061079D2213E}"/>
    <cellStyle name="Millares [0.0] 6" xfId="1948" xr:uid="{00000000-0005-0000-0000-00009C070000}"/>
    <cellStyle name="Millares [0.0] 6 2" xfId="8447" xr:uid="{27FD2AEE-C7AD-44A5-ACCF-6FEFA6534604}"/>
    <cellStyle name="Millares [0.0] 7" xfId="8439" xr:uid="{3E2D14A9-2E77-427A-8376-408A44651AF8}"/>
    <cellStyle name="Millares [0.0]_Bases_Generales" xfId="1949" xr:uid="{00000000-0005-0000-0000-00009D070000}"/>
    <cellStyle name="Millares [0.1]" xfId="1950" xr:uid="{00000000-0005-0000-0000-00009E070000}"/>
    <cellStyle name="Millares [0.1] 2" xfId="1951" xr:uid="{00000000-0005-0000-0000-00009F070000}"/>
    <cellStyle name="Millares [0.1] 2 2" xfId="1952" xr:uid="{00000000-0005-0000-0000-0000A0070000}"/>
    <cellStyle name="Millares [0.1] 2 2 2" xfId="8450" xr:uid="{4F7EC41A-10BC-44B5-8AAA-DD5AEFBA3062}"/>
    <cellStyle name="Millares [0.1] 2 3" xfId="1953" xr:uid="{00000000-0005-0000-0000-0000A1070000}"/>
    <cellStyle name="Millares [0.1] 2 3 2" xfId="8451" xr:uid="{4A226EBF-292D-498F-8968-82562F2E1158}"/>
    <cellStyle name="Millares [0.1] 2 4" xfId="8449" xr:uid="{341EC448-C0A3-4B36-9ABC-3951040DE3D0}"/>
    <cellStyle name="Millares [0.1] 2_Deuda septiembre_marcos" xfId="3430" xr:uid="{00000000-0005-0000-0000-0000660D0000}"/>
    <cellStyle name="Millares [0.1] 3" xfId="1954" xr:uid="{00000000-0005-0000-0000-0000A2070000}"/>
    <cellStyle name="Millares [0.1] 3 2" xfId="1955" xr:uid="{00000000-0005-0000-0000-0000A3070000}"/>
    <cellStyle name="Millares [0.1] 3 2 2" xfId="8453" xr:uid="{58547589-E6CA-42B8-92E0-5DBF07C7FC71}"/>
    <cellStyle name="Millares [0.1] 3 3" xfId="8452" xr:uid="{AEB2A37D-7B93-4E25-AE25-71E828279449}"/>
    <cellStyle name="Millares [0.1] 3_Deuda septiembre_marcos" xfId="3431" xr:uid="{00000000-0005-0000-0000-0000670D0000}"/>
    <cellStyle name="Millares [0.1] 4" xfId="1956" xr:uid="{00000000-0005-0000-0000-0000A4070000}"/>
    <cellStyle name="Millares [0.1] 4 2" xfId="8454" xr:uid="{1C0EA953-810F-4D98-BF96-C47581C7D99A}"/>
    <cellStyle name="Millares [0.1] 5" xfId="1957" xr:uid="{00000000-0005-0000-0000-0000A5070000}"/>
    <cellStyle name="Millares [0.1] 5 2" xfId="8455" xr:uid="{ED499E9C-6A77-4782-BFEE-87B681750046}"/>
    <cellStyle name="Millares [0.1] 6" xfId="1958" xr:uid="{00000000-0005-0000-0000-0000A6070000}"/>
    <cellStyle name="Millares [0.1] 6 2" xfId="8456" xr:uid="{90E1B400-BE1F-4BE6-A7E7-044478107631}"/>
    <cellStyle name="Millares [0.1] 7" xfId="8448" xr:uid="{7F27E0D0-8AE2-4CE0-8982-5440E64F573C}"/>
    <cellStyle name="Millares [0.1]_Bases_Generales" xfId="1959" xr:uid="{00000000-0005-0000-0000-0000A7070000}"/>
    <cellStyle name="Millares [0] 11" xfId="11711" xr:uid="{737B0684-53BF-4658-9EB1-5A5F42C61585}"/>
    <cellStyle name="Millares [0] 2" xfId="12" xr:uid="{00000000-0005-0000-0000-00000C000000}"/>
    <cellStyle name="Millares [0] 2 10" xfId="7226" xr:uid="{00000000-0005-0000-0000-00003A1C0000}"/>
    <cellStyle name="Millares [0] 2 10 2" xfId="11066" xr:uid="{3E5091B7-3309-4F17-BFDC-5890AB929DC9}"/>
    <cellStyle name="Millares [0] 2 11" xfId="7878" xr:uid="{97221B61-D3BA-497D-A787-359EAF5FF9AD}"/>
    <cellStyle name="Millares [0] 2 2" xfId="90" xr:uid="{00000000-0005-0000-0000-00005A000000}"/>
    <cellStyle name="Millares [0] 2 2 2" xfId="6726" xr:uid="{00000000-0005-0000-0000-0000461A0000}"/>
    <cellStyle name="Millares [0] 2 2 2 2" xfId="6892" xr:uid="{00000000-0005-0000-0000-0000EC1A0000}"/>
    <cellStyle name="Millares [0] 2 2 2 2 2" xfId="7215" xr:uid="{00000000-0005-0000-0000-00002F1C0000}"/>
    <cellStyle name="Millares [0] 2 2 2 2 2 2" xfId="7856" xr:uid="{00000000-0005-0000-0000-0000B01E0000}"/>
    <cellStyle name="Millares [0] 2 2 2 2 2 2 2" xfId="11696" xr:uid="{9B0B3503-B64E-488D-AB9D-1F2F63BD5FF2}"/>
    <cellStyle name="Millares [0] 2 2 2 2 2 3" xfId="11055" xr:uid="{7A49C96D-1DBD-4326-AC79-11D60C7C2FC9}"/>
    <cellStyle name="Millares [0] 2 2 2 2 3" xfId="7533" xr:uid="{00000000-0005-0000-0000-00006D1D0000}"/>
    <cellStyle name="Millares [0] 2 2 2 2 3 2" xfId="11373" xr:uid="{7E549856-F47E-4A74-AA75-202A3963E194}"/>
    <cellStyle name="Millares [0] 2 2 2 2 4" xfId="10732" xr:uid="{C98E7EE0-7385-4A5E-AE60-563FC2A2BC34}"/>
    <cellStyle name="Millares [0] 2 2 2 3" xfId="7049" xr:uid="{00000000-0005-0000-0000-0000891B0000}"/>
    <cellStyle name="Millares [0] 2 2 2 3 2" xfId="7690" xr:uid="{00000000-0005-0000-0000-00000A1E0000}"/>
    <cellStyle name="Millares [0] 2 2 2 3 2 2" xfId="11530" xr:uid="{5BCFA441-C5C3-4A6C-9F76-3821F860AA00}"/>
    <cellStyle name="Millares [0] 2 2 2 3 3" xfId="10889" xr:uid="{CCD473D7-78E8-4D79-A7A6-3E288BD4BD7A}"/>
    <cellStyle name="Millares [0] 2 2 2 4" xfId="7367" xr:uid="{00000000-0005-0000-0000-0000C71C0000}"/>
    <cellStyle name="Millares [0] 2 2 2 4 2" xfId="11207" xr:uid="{2CE4122E-87F1-41EC-B7C9-0EBC89FEA5E6}"/>
    <cellStyle name="Millares [0] 2 2 2 5" xfId="10566" xr:uid="{B5238E15-33B0-49ED-B75F-5167C964DF21}"/>
    <cellStyle name="Millares [0] 2 2 3" xfId="5110" xr:uid="{00000000-0005-0000-0000-0000F6130000}"/>
    <cellStyle name="Millares [0] 2 2 4" xfId="6734" xr:uid="{00000000-0005-0000-0000-00004E1A0000}"/>
    <cellStyle name="Millares [0] 2 2 4 2" xfId="7057" xr:uid="{00000000-0005-0000-0000-0000911B0000}"/>
    <cellStyle name="Millares [0] 2 2 4 2 2" xfId="7698" xr:uid="{00000000-0005-0000-0000-0000121E0000}"/>
    <cellStyle name="Millares [0] 2 2 4 2 2 2" xfId="11538" xr:uid="{F4705933-3902-4BCB-A00F-5D21FF1280B4}"/>
    <cellStyle name="Millares [0] 2 2 4 2 3" xfId="10897" xr:uid="{9711FFAC-B6CB-4267-835F-8A9041BC4EDB}"/>
    <cellStyle name="Millares [0] 2 2 4 3" xfId="7375" xr:uid="{00000000-0005-0000-0000-0000CF1C0000}"/>
    <cellStyle name="Millares [0] 2 2 4 3 2" xfId="11215" xr:uid="{F0E51A53-7463-402E-9F05-9232F821E332}"/>
    <cellStyle name="Millares [0] 2 2 4 4" xfId="10574" xr:uid="{970EFE9E-778B-4CB8-9B50-9D015021C214}"/>
    <cellStyle name="Millares [0] 2 2 5" xfId="6908" xr:uid="{00000000-0005-0000-0000-0000FC1A0000}"/>
    <cellStyle name="Millares [0] 2 2 5 2" xfId="7549" xr:uid="{00000000-0005-0000-0000-00007D1D0000}"/>
    <cellStyle name="Millares [0] 2 2 5 2 2" xfId="11389" xr:uid="{35F4B846-ED02-4BD6-8DF4-BC02386E349F}"/>
    <cellStyle name="Millares [0] 2 2 5 3" xfId="10748" xr:uid="{85CB4BDB-97DE-4CE3-9DF1-7055A7304A04}"/>
    <cellStyle name="Millares [0] 2 2 6" xfId="7228" xr:uid="{00000000-0005-0000-0000-00003C1C0000}"/>
    <cellStyle name="Millares [0] 2 2 6 2" xfId="11068" xr:uid="{450AB8B2-5A95-4A1E-9824-F1F2A87698DD}"/>
    <cellStyle name="Millares [0] 2 2 7" xfId="7937" xr:uid="{64D4D5C3-10B9-47DA-AE8D-93D9184E4D23}"/>
    <cellStyle name="Millares [0] 2 3" xfId="6716" xr:uid="{00000000-0005-0000-0000-00003C1A0000}"/>
    <cellStyle name="Millares [0] 2 3 2" xfId="6883" xr:uid="{00000000-0005-0000-0000-0000E31A0000}"/>
    <cellStyle name="Millares [0] 2 3 2 2" xfId="7206" xr:uid="{00000000-0005-0000-0000-0000261C0000}"/>
    <cellStyle name="Millares [0] 2 3 2 2 2" xfId="7847" xr:uid="{00000000-0005-0000-0000-0000A71E0000}"/>
    <cellStyle name="Millares [0] 2 3 2 2 2 2" xfId="11687" xr:uid="{DDB06655-0DA6-4125-A18B-7975CD371F80}"/>
    <cellStyle name="Millares [0] 2 3 2 2 3" xfId="11046" xr:uid="{35014387-761F-46B6-90C0-1C036F380984}"/>
    <cellStyle name="Millares [0] 2 3 2 3" xfId="7524" xr:uid="{00000000-0005-0000-0000-0000641D0000}"/>
    <cellStyle name="Millares [0] 2 3 2 3 2" xfId="11364" xr:uid="{B0A58D0A-0ECA-406C-98B0-8535717C4477}"/>
    <cellStyle name="Millares [0] 2 3 2 4" xfId="10723" xr:uid="{EB0C5D04-E347-464B-B9CA-A782DEE72FD8}"/>
    <cellStyle name="Millares [0] 2 3 3" xfId="7040" xr:uid="{00000000-0005-0000-0000-0000801B0000}"/>
    <cellStyle name="Millares [0] 2 3 3 2" xfId="7681" xr:uid="{00000000-0005-0000-0000-0000011E0000}"/>
    <cellStyle name="Millares [0] 2 3 3 2 2" xfId="11521" xr:uid="{473B2C5D-FC57-4F70-BF44-FC6503B501D6}"/>
    <cellStyle name="Millares [0] 2 3 3 3" xfId="10880" xr:uid="{066EE31B-17F1-4CCD-91D9-E3FCF0457B4F}"/>
    <cellStyle name="Millares [0] 2 3 4" xfId="7358" xr:uid="{00000000-0005-0000-0000-0000BE1C0000}"/>
    <cellStyle name="Millares [0] 2 3 4 2" xfId="11198" xr:uid="{CAB16E93-EB59-4597-8256-254CFA83D659}"/>
    <cellStyle name="Millares [0] 2 3 5" xfId="10557" xr:uid="{B10831B7-3D29-4B01-88E3-F65B79F869F2}"/>
    <cellStyle name="Millares [0] 2 4" xfId="6723" xr:uid="{00000000-0005-0000-0000-0000431A0000}"/>
    <cellStyle name="Millares [0] 2 4 2" xfId="6889" xr:uid="{00000000-0005-0000-0000-0000E91A0000}"/>
    <cellStyle name="Millares [0] 2 4 2 2" xfId="7212" xr:uid="{00000000-0005-0000-0000-00002C1C0000}"/>
    <cellStyle name="Millares [0] 2 4 2 2 2" xfId="7853" xr:uid="{00000000-0005-0000-0000-0000AD1E0000}"/>
    <cellStyle name="Millares [0] 2 4 2 2 2 2" xfId="11693" xr:uid="{C7DEDCED-38A7-439E-B1FA-7109118466B7}"/>
    <cellStyle name="Millares [0] 2 4 2 2 3" xfId="11052" xr:uid="{FFAB7EAB-8107-4D5D-9336-B8CCEEE3F6A6}"/>
    <cellStyle name="Millares [0] 2 4 2 3" xfId="7530" xr:uid="{00000000-0005-0000-0000-00006A1D0000}"/>
    <cellStyle name="Millares [0] 2 4 2 3 2" xfId="11370" xr:uid="{999F2F6F-71BF-49C8-8ADE-2ADC463C46C7}"/>
    <cellStyle name="Millares [0] 2 4 2 4" xfId="10729" xr:uid="{36A1E811-ED52-4639-9100-F19A163AAE53}"/>
    <cellStyle name="Millares [0] 2 4 3" xfId="7046" xr:uid="{00000000-0005-0000-0000-0000861B0000}"/>
    <cellStyle name="Millares [0] 2 4 3 2" xfId="7687" xr:uid="{00000000-0005-0000-0000-0000071E0000}"/>
    <cellStyle name="Millares [0] 2 4 3 2 2" xfId="11527" xr:uid="{8D8F5E17-3E02-4371-8EA1-B7909EABB099}"/>
    <cellStyle name="Millares [0] 2 4 3 3" xfId="10886" xr:uid="{E352AD53-4B79-4FE5-B449-E2AE2F349B1F}"/>
    <cellStyle name="Millares [0] 2 4 4" xfId="7364" xr:uid="{00000000-0005-0000-0000-0000C41C0000}"/>
    <cellStyle name="Millares [0] 2 4 4 2" xfId="11204" xr:uid="{CB1500C6-EF18-4E78-A635-C15345309CDA}"/>
    <cellStyle name="Millares [0] 2 4 5" xfId="10563" xr:uid="{0271F8BF-811C-49CD-B343-D2B1662574AD}"/>
    <cellStyle name="Millares [0] 2 5" xfId="1960" xr:uid="{00000000-0005-0000-0000-0000A8070000}"/>
    <cellStyle name="Millares [0] 2 6" xfId="6732" xr:uid="{00000000-0005-0000-0000-00004C1A0000}"/>
    <cellStyle name="Millares [0] 2 6 2" xfId="7055" xr:uid="{00000000-0005-0000-0000-00008F1B0000}"/>
    <cellStyle name="Millares [0] 2 6 2 2" xfId="7696" xr:uid="{00000000-0005-0000-0000-0000101E0000}"/>
    <cellStyle name="Millares [0] 2 6 2 2 2" xfId="11536" xr:uid="{FA95CCD3-CEDB-4852-A643-CE10077B532B}"/>
    <cellStyle name="Millares [0] 2 6 2 3" xfId="10895" xr:uid="{CC958E9C-991A-4765-AC7E-B1656914B79C}"/>
    <cellStyle name="Millares [0] 2 6 3" xfId="7373" xr:uid="{00000000-0005-0000-0000-0000CD1C0000}"/>
    <cellStyle name="Millares [0] 2 6 3 2" xfId="11213" xr:uid="{9CE3F309-10BF-442D-A5DA-5587796C842D}"/>
    <cellStyle name="Millares [0] 2 6 4" xfId="10572" xr:uid="{08951B5C-9162-4D5A-8FFB-7A1D38BEF1AB}"/>
    <cellStyle name="Millares [0] 2 7" xfId="6896" xr:uid="{00000000-0005-0000-0000-0000F01A0000}"/>
    <cellStyle name="Millares [0] 2 7 2" xfId="7537" xr:uid="{00000000-0005-0000-0000-0000711D0000}"/>
    <cellStyle name="Millares [0] 2 7 2 2" xfId="11377" xr:uid="{302EAD92-3894-4CE9-84F2-219D7B2B6F6D}"/>
    <cellStyle name="Millares [0] 2 7 3" xfId="10736" xr:uid="{8C7945AF-4F18-41DD-9D38-A1E4ADF8B8C4}"/>
    <cellStyle name="Millares [0] 2 8" xfId="6906" xr:uid="{00000000-0005-0000-0000-0000FA1A0000}"/>
    <cellStyle name="Millares [0] 2 8 2" xfId="7547" xr:uid="{00000000-0005-0000-0000-00007B1D0000}"/>
    <cellStyle name="Millares [0] 2 8 2 2" xfId="11387" xr:uid="{21793690-0222-4095-8E91-A831FA856CBF}"/>
    <cellStyle name="Millares [0] 2 8 3" xfId="10746" xr:uid="{6FB4B807-400A-49B9-8093-C45B1A9D47B7}"/>
    <cellStyle name="Millares [0] 2 9" xfId="87" xr:uid="{00000000-0005-0000-0000-000057000000}"/>
    <cellStyle name="Millares [0] 2 9 2" xfId="7935" xr:uid="{C7C23443-DA69-4299-B947-5896CB4EEF8E}"/>
    <cellStyle name="Millares [0] 3" xfId="85" xr:uid="{00000000-0005-0000-0000-000055000000}"/>
    <cellStyle name="Millares [0] 3 2" xfId="6721" xr:uid="{00000000-0005-0000-0000-0000411A0000}"/>
    <cellStyle name="Millares [0] 3 2 2" xfId="6887" xr:uid="{00000000-0005-0000-0000-0000E71A0000}"/>
    <cellStyle name="Millares [0] 3 2 2 2" xfId="7210" xr:uid="{00000000-0005-0000-0000-00002A1C0000}"/>
    <cellStyle name="Millares [0] 3 2 2 2 2" xfId="7851" xr:uid="{00000000-0005-0000-0000-0000AB1E0000}"/>
    <cellStyle name="Millares [0] 3 2 2 2 2 2" xfId="11691" xr:uid="{623D0A55-9ADB-4012-801E-D183D7DF50D2}"/>
    <cellStyle name="Millares [0] 3 2 2 2 3" xfId="11050" xr:uid="{4F29D4E6-D035-445E-9669-9ADEC18C5351}"/>
    <cellStyle name="Millares [0] 3 2 2 3" xfId="7528" xr:uid="{00000000-0005-0000-0000-0000681D0000}"/>
    <cellStyle name="Millares [0] 3 2 2 3 2" xfId="11368" xr:uid="{9D3A43CF-6B93-481A-AE9E-7468201D0710}"/>
    <cellStyle name="Millares [0] 3 2 2 4" xfId="10727" xr:uid="{DFB44824-5179-48F0-90AB-0357AD20BF87}"/>
    <cellStyle name="Millares [0] 3 2 3" xfId="7044" xr:uid="{00000000-0005-0000-0000-0000841B0000}"/>
    <cellStyle name="Millares [0] 3 2 3 2" xfId="7685" xr:uid="{00000000-0005-0000-0000-0000051E0000}"/>
    <cellStyle name="Millares [0] 3 2 3 2 2" xfId="11525" xr:uid="{5727DEEC-3CEC-4F9C-A101-90CD19DB271E}"/>
    <cellStyle name="Millares [0] 3 2 3 3" xfId="10884" xr:uid="{467EF1D3-5D23-41CD-AA91-B60F05CFC4CB}"/>
    <cellStyle name="Millares [0] 3 2 4" xfId="7362" xr:uid="{00000000-0005-0000-0000-0000C21C0000}"/>
    <cellStyle name="Millares [0] 3 2 4 2" xfId="11202" xr:uid="{8391F280-158E-4151-9364-078F3ECFDEE3}"/>
    <cellStyle name="Millares [0] 3 2 5" xfId="10561" xr:uid="{63FD9BDF-9CDD-4CEE-A98B-2CC3B7BF5D8B}"/>
    <cellStyle name="Millares [0] 3 3" xfId="6714" xr:uid="{00000000-0005-0000-0000-00003A1A0000}"/>
    <cellStyle name="Millares [0] 3 3 2" xfId="6881" xr:uid="{00000000-0005-0000-0000-0000E11A0000}"/>
    <cellStyle name="Millares [0] 3 3 2 2" xfId="7204" xr:uid="{00000000-0005-0000-0000-0000241C0000}"/>
    <cellStyle name="Millares [0] 3 3 2 2 2" xfId="7845" xr:uid="{00000000-0005-0000-0000-0000A51E0000}"/>
    <cellStyle name="Millares [0] 3 3 2 2 2 2" xfId="11685" xr:uid="{8086F82D-505A-4164-A241-BFE64E4601EF}"/>
    <cellStyle name="Millares [0] 3 3 2 2 3" xfId="11044" xr:uid="{E3BD1605-4FED-4FE1-BF35-1FF994B5AE57}"/>
    <cellStyle name="Millares [0] 3 3 2 3" xfId="7522" xr:uid="{00000000-0005-0000-0000-0000621D0000}"/>
    <cellStyle name="Millares [0] 3 3 2 3 2" xfId="11362" xr:uid="{180C1C35-7218-4432-8DE2-CDDD7B03C5A1}"/>
    <cellStyle name="Millares [0] 3 3 2 4" xfId="10721" xr:uid="{4119B3FC-98AF-419F-AED2-78A2848DF1BE}"/>
    <cellStyle name="Millares [0] 3 3 3" xfId="7038" xr:uid="{00000000-0005-0000-0000-00007E1B0000}"/>
    <cellStyle name="Millares [0] 3 3 3 2" xfId="7679" xr:uid="{00000000-0005-0000-0000-0000FF1D0000}"/>
    <cellStyle name="Millares [0] 3 3 3 2 2" xfId="11519" xr:uid="{10FDE9EE-F407-4849-A3A6-D5BCA201F52E}"/>
    <cellStyle name="Millares [0] 3 3 3 3" xfId="10878" xr:uid="{2F78AFC5-3274-4A94-AE3F-C8C3A5AD6680}"/>
    <cellStyle name="Millares [0] 3 3 4" xfId="7356" xr:uid="{00000000-0005-0000-0000-0000BC1C0000}"/>
    <cellStyle name="Millares [0] 3 3 4 2" xfId="11196" xr:uid="{7DAA3D91-CB60-4BB2-8E51-B52A374D3BD3}"/>
    <cellStyle name="Millares [0] 3 3 5" xfId="10555" xr:uid="{8EB95237-7FB7-4B79-BA42-60374E739685}"/>
    <cellStyle name="Millares [0] 3 4" xfId="6730" xr:uid="{00000000-0005-0000-0000-00004A1A0000}"/>
    <cellStyle name="Millares [0] 3 4 2" xfId="7053" xr:uid="{00000000-0005-0000-0000-00008D1B0000}"/>
    <cellStyle name="Millares [0] 3 4 2 2" xfId="7694" xr:uid="{00000000-0005-0000-0000-00000E1E0000}"/>
    <cellStyle name="Millares [0] 3 4 2 2 2" xfId="11534" xr:uid="{B23AB4B4-B916-47C9-BB1E-990FF067E3B6}"/>
    <cellStyle name="Millares [0] 3 4 2 3" xfId="10893" xr:uid="{0C70EB39-3FD4-42FB-BC58-0FA7320DE5C5}"/>
    <cellStyle name="Millares [0] 3 4 3" xfId="7371" xr:uid="{00000000-0005-0000-0000-0000CB1C0000}"/>
    <cellStyle name="Millares [0] 3 4 3 2" xfId="11211" xr:uid="{90C8B1BA-C235-453C-9151-210B1E3123DE}"/>
    <cellStyle name="Millares [0] 3 4 4" xfId="10570" xr:uid="{EC415B55-C432-42A0-A5D8-8A74FAB78465}"/>
    <cellStyle name="Millares [0] 3 5" xfId="6904" xr:uid="{00000000-0005-0000-0000-0000F81A0000}"/>
    <cellStyle name="Millares [0] 3 5 2" xfId="7545" xr:uid="{00000000-0005-0000-0000-0000791D0000}"/>
    <cellStyle name="Millares [0] 3 5 2 2" xfId="11385" xr:uid="{4B64C0B5-B9DD-47E1-B511-9258ABB55783}"/>
    <cellStyle name="Millares [0] 3 5 3" xfId="10744" xr:uid="{6518CA15-43E9-431F-B41D-7D156E91CB12}"/>
    <cellStyle name="Millares [0] 3 6" xfId="7224" xr:uid="{00000000-0005-0000-0000-0000381C0000}"/>
    <cellStyle name="Millares [0] 3 6 2" xfId="11064" xr:uid="{1FC9072D-DDD3-4FE1-970B-0D4CB55C9DF5}"/>
    <cellStyle name="Millares [0] 3 7" xfId="7933" xr:uid="{4DA0F21D-F58D-4C5D-B369-E09F760DB15F}"/>
    <cellStyle name="Millares [0] 4" xfId="89" xr:uid="{00000000-0005-0000-0000-000059000000}"/>
    <cellStyle name="Millares [0] 4 2" xfId="6725" xr:uid="{00000000-0005-0000-0000-0000451A0000}"/>
    <cellStyle name="Millares [0] 4 2 2" xfId="6891" xr:uid="{00000000-0005-0000-0000-0000EB1A0000}"/>
    <cellStyle name="Millares [0] 4 2 2 2" xfId="7214" xr:uid="{00000000-0005-0000-0000-00002E1C0000}"/>
    <cellStyle name="Millares [0] 4 2 2 2 2" xfId="7855" xr:uid="{00000000-0005-0000-0000-0000AF1E0000}"/>
    <cellStyle name="Millares [0] 4 2 2 2 2 2" xfId="11695" xr:uid="{6BA917B2-6B5C-4F40-9880-AF5493DF2915}"/>
    <cellStyle name="Millares [0] 4 2 2 2 3" xfId="11054" xr:uid="{90074B7D-B74A-4B38-9D72-696145D72C66}"/>
    <cellStyle name="Millares [0] 4 2 2 3" xfId="7532" xr:uid="{00000000-0005-0000-0000-00006C1D0000}"/>
    <cellStyle name="Millares [0] 4 2 2 3 2" xfId="11372" xr:uid="{E94FDB8F-47EE-49E3-8060-E674064E639D}"/>
    <cellStyle name="Millares [0] 4 2 2 4" xfId="10731" xr:uid="{7B724BB1-7D75-45A3-8E4A-41786F56A6F4}"/>
    <cellStyle name="Millares [0] 4 2 3" xfId="7048" xr:uid="{00000000-0005-0000-0000-0000881B0000}"/>
    <cellStyle name="Millares [0] 4 2 3 2" xfId="7689" xr:uid="{00000000-0005-0000-0000-0000091E0000}"/>
    <cellStyle name="Millares [0] 4 2 3 2 2" xfId="11529" xr:uid="{D9DB87D5-0A15-42E6-B03A-0D5B672BC1F7}"/>
    <cellStyle name="Millares [0] 4 2 3 3" xfId="10888" xr:uid="{DA0B9FC5-58BB-47DE-99FF-9A7DE02AA806}"/>
    <cellStyle name="Millares [0] 4 2 4" xfId="7366" xr:uid="{00000000-0005-0000-0000-0000C61C0000}"/>
    <cellStyle name="Millares [0] 4 2 4 2" xfId="11206" xr:uid="{4D4A2497-36A7-40D2-A6F4-7ACAE9B5A2F2}"/>
    <cellStyle name="Millares [0] 4 2 5" xfId="10565" xr:uid="{73C9C633-F5A0-4048-BB75-FCAC66A82C3B}"/>
    <cellStyle name="Millares [0] 4 3" xfId="6733" xr:uid="{00000000-0005-0000-0000-00004D1A0000}"/>
    <cellStyle name="Millares [0] 4 3 2" xfId="7056" xr:uid="{00000000-0005-0000-0000-0000901B0000}"/>
    <cellStyle name="Millares [0] 4 3 2 2" xfId="7697" xr:uid="{00000000-0005-0000-0000-0000111E0000}"/>
    <cellStyle name="Millares [0] 4 3 2 2 2" xfId="11537" xr:uid="{8D80F785-3894-41F9-8CCB-1749BBB5BEA8}"/>
    <cellStyle name="Millares [0] 4 3 2 3" xfId="10896" xr:uid="{C400F0F4-ABF6-4D15-9412-BB584D9AB33D}"/>
    <cellStyle name="Millares [0] 4 3 3" xfId="7374" xr:uid="{00000000-0005-0000-0000-0000CE1C0000}"/>
    <cellStyle name="Millares [0] 4 3 3 2" xfId="11214" xr:uid="{76847631-7B58-47B7-B821-8809E4EE0649}"/>
    <cellStyle name="Millares [0] 4 3 4" xfId="10573" xr:uid="{C26744A7-84D3-4E99-BB69-620104F12817}"/>
    <cellStyle name="Millares [0] 4 4" xfId="6907" xr:uid="{00000000-0005-0000-0000-0000FB1A0000}"/>
    <cellStyle name="Millares [0] 4 4 2" xfId="7548" xr:uid="{00000000-0005-0000-0000-00007C1D0000}"/>
    <cellStyle name="Millares [0] 4 4 2 2" xfId="11388" xr:uid="{87323537-E9FA-4BB5-BC56-401335661D8B}"/>
    <cellStyle name="Millares [0] 4 4 3" xfId="10747" xr:uid="{A57ABE55-2668-4E8D-9F25-3669269F9282}"/>
    <cellStyle name="Millares [0] 4 5" xfId="7227" xr:uid="{00000000-0005-0000-0000-00003B1C0000}"/>
    <cellStyle name="Millares [0] 4 5 2" xfId="11067" xr:uid="{52184AEB-01AA-4667-BFF8-427CC22732A8}"/>
    <cellStyle name="Millares [0] 4 6" xfId="7936" xr:uid="{F3BF6EDC-C6D3-492E-8597-253ACBC196AC}"/>
    <cellStyle name="Millares [0] 5" xfId="6705" xr:uid="{00000000-0005-0000-0000-0000311A0000}"/>
    <cellStyle name="Millares [0] 5 2" xfId="6874" xr:uid="{00000000-0005-0000-0000-0000DA1A0000}"/>
    <cellStyle name="Millares [0] 5 2 2" xfId="7197" xr:uid="{00000000-0005-0000-0000-00001D1C0000}"/>
    <cellStyle name="Millares [0] 5 2 2 2" xfId="7838" xr:uid="{00000000-0005-0000-0000-00009E1E0000}"/>
    <cellStyle name="Millares [0] 5 2 2 2 2" xfId="11678" xr:uid="{F12939C2-1272-4DCE-B8B1-85600DD437E8}"/>
    <cellStyle name="Millares [0] 5 2 2 3" xfId="11037" xr:uid="{B4489854-DD6E-4E9F-8244-9653A6111698}"/>
    <cellStyle name="Millares [0] 5 2 3" xfId="7515" xr:uid="{00000000-0005-0000-0000-00005B1D0000}"/>
    <cellStyle name="Millares [0] 5 2 3 2" xfId="11355" xr:uid="{974E4CB5-A146-4BEF-BE1E-4FF22453D7E0}"/>
    <cellStyle name="Millares [0] 5 2 4" xfId="10714" xr:uid="{5F33E2DF-04D7-48C6-B891-F87ED78368E9}"/>
    <cellStyle name="Millares [0] 5 3" xfId="7031" xr:uid="{00000000-0005-0000-0000-0000771B0000}"/>
    <cellStyle name="Millares [0] 5 3 2" xfId="7672" xr:uid="{00000000-0005-0000-0000-0000F81D0000}"/>
    <cellStyle name="Millares [0] 5 3 2 2" xfId="11512" xr:uid="{A0FA175C-D63E-490D-9F29-9AFD5E713639}"/>
    <cellStyle name="Millares [0] 5 3 3" xfId="10871" xr:uid="{12ED3BE5-5322-4365-8D36-7A604D7DC0B2}"/>
    <cellStyle name="Millares [0] 5 4" xfId="7349" xr:uid="{00000000-0005-0000-0000-0000B51C0000}"/>
    <cellStyle name="Millares [0] 5 4 2" xfId="11189" xr:uid="{75BED19F-B5FA-4530-8507-4CF16F7C5822}"/>
    <cellStyle name="Millares [0] 5 5" xfId="10548" xr:uid="{7B02E2C0-B27A-4C68-90AB-F69BA8F7EEC3}"/>
    <cellStyle name="Millares [0] 6" xfId="6897" xr:uid="{00000000-0005-0000-0000-0000F11A0000}"/>
    <cellStyle name="Millares [0] 6 2" xfId="7538" xr:uid="{00000000-0005-0000-0000-0000721D0000}"/>
    <cellStyle name="Millares [0] 6 2 2" xfId="11378" xr:uid="{C011B9BF-C89E-4D85-A521-BFDA44CB791E}"/>
    <cellStyle name="Millares [0] 6 3" xfId="10737" xr:uid="{990BAE09-0848-44CE-B65C-BBB376601A4B}"/>
    <cellStyle name="Millares [0] 7" xfId="25" xr:uid="{00000000-0005-0000-0000-000019000000}"/>
    <cellStyle name="Millares [0] 7 2" xfId="7884" xr:uid="{863CBCB9-FBEB-4C93-9468-FC3FBB3C28AD}"/>
    <cellStyle name="Millares [1]" xfId="1961" xr:uid="{00000000-0005-0000-0000-0000A9070000}"/>
    <cellStyle name="Millares [1] 2" xfId="1962" xr:uid="{00000000-0005-0000-0000-0000AA070000}"/>
    <cellStyle name="Millares [1] 2 2" xfId="1963" xr:uid="{00000000-0005-0000-0000-0000AB070000}"/>
    <cellStyle name="Millares [1] 2 2 2" xfId="8459" xr:uid="{07A9FA5E-4226-4DF1-B921-4A655F563AE4}"/>
    <cellStyle name="Millares [1] 2 3" xfId="1964" xr:uid="{00000000-0005-0000-0000-0000AC070000}"/>
    <cellStyle name="Millares [1] 2 3 2" xfId="8460" xr:uid="{3C896DBB-91F9-49DB-A0E0-45459A1579E1}"/>
    <cellStyle name="Millares [1] 2 4" xfId="8458" xr:uid="{163041B5-2451-4211-86D2-B96D88C5FE8B}"/>
    <cellStyle name="Millares [1] 3" xfId="1965" xr:uid="{00000000-0005-0000-0000-0000AD070000}"/>
    <cellStyle name="Millares [1] 3 2" xfId="1966" xr:uid="{00000000-0005-0000-0000-0000AE070000}"/>
    <cellStyle name="Millares [1] 3 2 2" xfId="8462" xr:uid="{2B610163-4B7F-47FC-AE55-A2664F498F74}"/>
    <cellStyle name="Millares [1] 3 3" xfId="8461" xr:uid="{E759490C-2D85-46E5-B16A-5B103AAC5801}"/>
    <cellStyle name="Millares [1] 4" xfId="1967" xr:uid="{00000000-0005-0000-0000-0000AF070000}"/>
    <cellStyle name="Millares [1] 4 2" xfId="1968" xr:uid="{00000000-0005-0000-0000-0000B0070000}"/>
    <cellStyle name="Millares [1] 4 2 2" xfId="8464" xr:uid="{A3ECADDB-94E4-4A4F-A233-9B143E3870EC}"/>
    <cellStyle name="Millares [1] 4 3" xfId="8463" xr:uid="{A291C49C-2FF7-455A-AA84-61599CC7CB74}"/>
    <cellStyle name="Millares [1] 5" xfId="1969" xr:uid="{00000000-0005-0000-0000-0000B1070000}"/>
    <cellStyle name="Millares [1] 5 2" xfId="8465" xr:uid="{66E2522F-1834-41E4-996C-D7F0D35260E5}"/>
    <cellStyle name="Millares [1] 6" xfId="1970" xr:uid="{00000000-0005-0000-0000-0000B2070000}"/>
    <cellStyle name="Millares [1] 6 2" xfId="8466" xr:uid="{DD528797-CDC0-43E4-BB83-64A20BD9044A}"/>
    <cellStyle name="Millares [1] 7" xfId="8457" xr:uid="{0A469CDE-CF60-45D4-9FC0-00B4D6E348AD}"/>
    <cellStyle name="Millares [1]_Cuadros Excel  kilometros 2008" xfId="1971" xr:uid="{00000000-0005-0000-0000-0000B3070000}"/>
    <cellStyle name="Millares [2]" xfId="1972" xr:uid="{00000000-0005-0000-0000-0000B4070000}"/>
    <cellStyle name="Millares [2] 2" xfId="1973" xr:uid="{00000000-0005-0000-0000-0000B5070000}"/>
    <cellStyle name="Millares [2] 2 2" xfId="1974" xr:uid="{00000000-0005-0000-0000-0000B6070000}"/>
    <cellStyle name="Millares [2] 2 2 2" xfId="8469" xr:uid="{057306E4-6DBB-440A-8CBD-1B9D14BA879F}"/>
    <cellStyle name="Millares [2] 2 3" xfId="1975" xr:uid="{00000000-0005-0000-0000-0000B7070000}"/>
    <cellStyle name="Millares [2] 2 3 2" xfId="8470" xr:uid="{DEBA4EC9-627C-4F66-B407-66D722F53F19}"/>
    <cellStyle name="Millares [2] 2 4" xfId="8468" xr:uid="{3A7087AF-0866-423B-A36C-1E29D81C3F9A}"/>
    <cellStyle name="Millares [2] 2_Deuda septiembre_marcos" xfId="3432" xr:uid="{00000000-0005-0000-0000-0000680D0000}"/>
    <cellStyle name="Millares [2] 3" xfId="1976" xr:uid="{00000000-0005-0000-0000-0000B8070000}"/>
    <cellStyle name="Millares [2] 3 2" xfId="1977" xr:uid="{00000000-0005-0000-0000-0000B9070000}"/>
    <cellStyle name="Millares [2] 3 2 2" xfId="8472" xr:uid="{A33C63B1-0F39-4D9A-936A-7581773C29E2}"/>
    <cellStyle name="Millares [2] 3 3" xfId="8471" xr:uid="{CD68F8D9-780E-4D76-A490-3CB62C8E0B7F}"/>
    <cellStyle name="Millares [2] 3_Deuda septiembre_marcos" xfId="3433" xr:uid="{00000000-0005-0000-0000-0000690D0000}"/>
    <cellStyle name="Millares [2] 4" xfId="1978" xr:uid="{00000000-0005-0000-0000-0000BA070000}"/>
    <cellStyle name="Millares [2] 4 2" xfId="8473" xr:uid="{20A8DCFC-083E-49DD-893A-9FA4AB56C704}"/>
    <cellStyle name="Millares [2] 5" xfId="1979" xr:uid="{00000000-0005-0000-0000-0000BB070000}"/>
    <cellStyle name="Millares [2] 5 2" xfId="8474" xr:uid="{18CD54E9-BB87-4222-938A-8121E6CC878B}"/>
    <cellStyle name="Millares [2] 6" xfId="1980" xr:uid="{00000000-0005-0000-0000-0000BC070000}"/>
    <cellStyle name="Millares [2] 6 2" xfId="8475" xr:uid="{87188609-5E42-4AA6-8ABA-6AD868E20268}"/>
    <cellStyle name="Millares [2] 7" xfId="8467" xr:uid="{4A5BC075-F501-4F08-8DE2-D3568FA7C5CB}"/>
    <cellStyle name="Millares [2]_Bases_Generales" xfId="1981" xr:uid="{00000000-0005-0000-0000-0000BD070000}"/>
    <cellStyle name="Millares [3]" xfId="1982" xr:uid="{00000000-0005-0000-0000-0000BE070000}"/>
    <cellStyle name="Millares [3] 2" xfId="1983" xr:uid="{00000000-0005-0000-0000-0000BF070000}"/>
    <cellStyle name="Millares [3] 2 2" xfId="1984" xr:uid="{00000000-0005-0000-0000-0000C0070000}"/>
    <cellStyle name="Millares [3] 2 2 2" xfId="8478" xr:uid="{375A349F-B5DB-4B56-8E68-FC0969EC9917}"/>
    <cellStyle name="Millares [3] 2 3" xfId="1985" xr:uid="{00000000-0005-0000-0000-0000C1070000}"/>
    <cellStyle name="Millares [3] 2 3 2" xfId="8479" xr:uid="{91C37039-BE3C-4B04-8F1C-B57E8B2D5295}"/>
    <cellStyle name="Millares [3] 2 4" xfId="8477" xr:uid="{831F3968-B03B-48D7-B42A-0A3B018EE8F3}"/>
    <cellStyle name="Millares [3] 2_Deuda septiembre_marcos" xfId="3434" xr:uid="{00000000-0005-0000-0000-00006A0D0000}"/>
    <cellStyle name="Millares [3] 3" xfId="1986" xr:uid="{00000000-0005-0000-0000-0000C2070000}"/>
    <cellStyle name="Millares [3] 3 2" xfId="1987" xr:uid="{00000000-0005-0000-0000-0000C3070000}"/>
    <cellStyle name="Millares [3] 3 2 2" xfId="8481" xr:uid="{832CE9F0-8101-408E-9ABF-B7BEC3A4BD7E}"/>
    <cellStyle name="Millares [3] 3 3" xfId="8480" xr:uid="{CB588BEA-8F3B-441D-993B-D09AA3A20934}"/>
    <cellStyle name="Millares [3] 3_Deuda septiembre_marcos" xfId="3435" xr:uid="{00000000-0005-0000-0000-00006B0D0000}"/>
    <cellStyle name="Millares [3] 4" xfId="1988" xr:uid="{00000000-0005-0000-0000-0000C4070000}"/>
    <cellStyle name="Millares [3] 4 2" xfId="8482" xr:uid="{98181494-6A3D-4469-A616-E18521233059}"/>
    <cellStyle name="Millares [3] 5" xfId="1989" xr:uid="{00000000-0005-0000-0000-0000C5070000}"/>
    <cellStyle name="Millares [3] 5 2" xfId="8483" xr:uid="{6B3389A6-C324-4DE3-8338-77D7E939B531}"/>
    <cellStyle name="Millares [3] 6" xfId="1990" xr:uid="{00000000-0005-0000-0000-0000C6070000}"/>
    <cellStyle name="Millares [3] 6 2" xfId="8484" xr:uid="{CB33882D-E765-468F-95E6-DD0E3FAC6008}"/>
    <cellStyle name="Millares [3] 7" xfId="8476" xr:uid="{8328249D-184D-45EB-8A90-8FF8BDDE5D63}"/>
    <cellStyle name="Millares [3]_Bases_Generales" xfId="1991" xr:uid="{00000000-0005-0000-0000-0000C7070000}"/>
    <cellStyle name="Millares 10" xfId="26" xr:uid="{00000000-0005-0000-0000-00001A000000}"/>
    <cellStyle name="Millares 10 2" xfId="3742" xr:uid="{00000000-0005-0000-0000-00009E0E0000}"/>
    <cellStyle name="Millares 11" xfId="1992" xr:uid="{00000000-0005-0000-0000-0000C8070000}"/>
    <cellStyle name="Millares 11 2" xfId="3789" xr:uid="{00000000-0005-0000-0000-0000CD0E0000}"/>
    <cellStyle name="Millares 11 2 2" xfId="6783" xr:uid="{00000000-0005-0000-0000-00007F1A0000}"/>
    <cellStyle name="Millares 11 2 2 2" xfId="7106" xr:uid="{00000000-0005-0000-0000-0000C21B0000}"/>
    <cellStyle name="Millares 11 2 2 2 2" xfId="7747" xr:uid="{00000000-0005-0000-0000-0000431E0000}"/>
    <cellStyle name="Millares 11 2 2 2 2 2" xfId="11587" xr:uid="{5721B459-7FF9-459B-81F8-B1ABC19CAF9A}"/>
    <cellStyle name="Millares 11 2 2 2 3" xfId="10946" xr:uid="{E05FBCBC-6512-4C86-8561-0C4A3A0F56E3}"/>
    <cellStyle name="Millares 11 2 2 3" xfId="7424" xr:uid="{00000000-0005-0000-0000-0000001D0000}"/>
    <cellStyle name="Millares 11 2 2 3 2" xfId="11264" xr:uid="{985E5B46-455F-4035-892C-47A38BD6EF1E}"/>
    <cellStyle name="Millares 11 2 2 4" xfId="10623" xr:uid="{6D58A1FA-C088-4C8E-A5A0-DB37A62AEDDF}"/>
    <cellStyle name="Millares 11 2 3" xfId="6942" xr:uid="{00000000-0005-0000-0000-00001E1B0000}"/>
    <cellStyle name="Millares 11 2 3 2" xfId="7583" xr:uid="{00000000-0005-0000-0000-00009F1D0000}"/>
    <cellStyle name="Millares 11 2 3 2 2" xfId="11423" xr:uid="{8CAD1B0E-5F88-4955-AD9E-932EAFEB931A}"/>
    <cellStyle name="Millares 11 2 3 3" xfId="10782" xr:uid="{085E5242-9606-4DBB-B1B3-BBD1A9E5B0F6}"/>
    <cellStyle name="Millares 11 2 4" xfId="7262" xr:uid="{00000000-0005-0000-0000-00005E1C0000}"/>
    <cellStyle name="Millares 11 2 4 2" xfId="11102" xr:uid="{4FC16DED-152F-469B-BB15-3B3F924340B9}"/>
    <cellStyle name="Millares 11 2 5" xfId="8961" xr:uid="{A432DAE9-C15E-4802-8F7A-DC9F0BCD4932}"/>
    <cellStyle name="Millares 11 3" xfId="6742" xr:uid="{00000000-0005-0000-0000-0000561A0000}"/>
    <cellStyle name="Millares 11 3 2" xfId="7065" xr:uid="{00000000-0005-0000-0000-0000991B0000}"/>
    <cellStyle name="Millares 11 3 2 2" xfId="7706" xr:uid="{00000000-0005-0000-0000-00001A1E0000}"/>
    <cellStyle name="Millares 11 3 2 2 2" xfId="11546" xr:uid="{03741830-928F-4F0B-A0AF-7DD9ACFB7AEB}"/>
    <cellStyle name="Millares 11 3 2 3" xfId="10905" xr:uid="{C9110B3D-812A-479D-97FA-37725AF5B827}"/>
    <cellStyle name="Millares 11 3 3" xfId="7383" xr:uid="{00000000-0005-0000-0000-0000D71C0000}"/>
    <cellStyle name="Millares 11 3 3 2" xfId="11223" xr:uid="{1AE40B4C-5826-4D57-AE84-CACC4E626E0B}"/>
    <cellStyle name="Millares 11 3 4" xfId="10582" xr:uid="{9C5920B0-25D6-464A-BB79-A04DD40FF3CF}"/>
    <cellStyle name="Millares 11 4" xfId="6911" xr:uid="{00000000-0005-0000-0000-0000FF1A0000}"/>
    <cellStyle name="Millares 11 4 2" xfId="7552" xr:uid="{00000000-0005-0000-0000-0000801D0000}"/>
    <cellStyle name="Millares 11 4 2 2" xfId="11392" xr:uid="{56B9F1F7-0CC4-4DE4-B828-700AE99ED2A2}"/>
    <cellStyle name="Millares 11 4 3" xfId="10751" xr:uid="{385CCFCA-BB2E-4A93-AF92-26661E9ECEFB}"/>
    <cellStyle name="Millares 11 5" xfId="7231" xr:uid="{00000000-0005-0000-0000-00003F1C0000}"/>
    <cellStyle name="Millares 11 5 2" xfId="11071" xr:uid="{DDECF2DF-DF53-418F-B90C-C3CFE269DBDB}"/>
    <cellStyle name="Millares 11 6" xfId="8485" xr:uid="{6FB63F30-219D-4686-8AA0-29A825C62D42}"/>
    <cellStyle name="Millares 12" xfId="5111" xr:uid="{00000000-0005-0000-0000-0000F7130000}"/>
    <cellStyle name="Millares 12 2" xfId="5112" xr:uid="{00000000-0005-0000-0000-0000F8130000}"/>
    <cellStyle name="Millares 12 2 2" xfId="6816" xr:uid="{00000000-0005-0000-0000-0000A01A0000}"/>
    <cellStyle name="Millares 12 2 2 2" xfId="7139" xr:uid="{00000000-0005-0000-0000-0000E31B0000}"/>
    <cellStyle name="Millares 12 2 2 2 2" xfId="7780" xr:uid="{00000000-0005-0000-0000-0000641E0000}"/>
    <cellStyle name="Millares 12 2 2 2 2 2" xfId="11620" xr:uid="{2BD5393C-A1CA-41E7-9974-B561BE4B0928}"/>
    <cellStyle name="Millares 12 2 2 2 3" xfId="10979" xr:uid="{12EA4095-C38C-483E-89A7-7F31D5A187CD}"/>
    <cellStyle name="Millares 12 2 2 3" xfId="7457" xr:uid="{00000000-0005-0000-0000-0000211D0000}"/>
    <cellStyle name="Millares 12 2 2 3 2" xfId="11297" xr:uid="{302FF362-0957-4821-BF63-884BBDF8AC9B}"/>
    <cellStyle name="Millares 12 2 2 4" xfId="10656" xr:uid="{5310F09D-A354-4416-BF9D-701CF4D316FB}"/>
    <cellStyle name="Millares 12 2 3" xfId="6975" xr:uid="{00000000-0005-0000-0000-00003F1B0000}"/>
    <cellStyle name="Millares 12 2 3 2" xfId="7616" xr:uid="{00000000-0005-0000-0000-0000C01D0000}"/>
    <cellStyle name="Millares 12 2 3 2 2" xfId="11456" xr:uid="{7E008887-E2CC-461F-8BDF-AF10F555974C}"/>
    <cellStyle name="Millares 12 2 3 3" xfId="10815" xr:uid="{E7C7FF45-9572-4E48-9503-FB4DC9A516FE}"/>
    <cellStyle name="Millares 12 2 4" xfId="7293" xr:uid="{00000000-0005-0000-0000-00007D1C0000}"/>
    <cellStyle name="Millares 12 2 4 2" xfId="11133" xr:uid="{2A91EF81-0386-4BDE-87A1-B8B75F6A7DDC}"/>
    <cellStyle name="Millares 12 2 5" xfId="9971" xr:uid="{3DC5B908-B56E-46A4-86E3-EEE41744816F}"/>
    <cellStyle name="Millares 13" xfId="5113" xr:uid="{00000000-0005-0000-0000-0000F9130000}"/>
    <cellStyle name="Millares 13 2" xfId="5114" xr:uid="{00000000-0005-0000-0000-0000FA130000}"/>
    <cellStyle name="Millares 13 2 2" xfId="6818" xr:uid="{00000000-0005-0000-0000-0000A21A0000}"/>
    <cellStyle name="Millares 13 2 2 2" xfId="7141" xr:uid="{00000000-0005-0000-0000-0000E51B0000}"/>
    <cellStyle name="Millares 13 2 2 2 2" xfId="7782" xr:uid="{00000000-0005-0000-0000-0000661E0000}"/>
    <cellStyle name="Millares 13 2 2 2 2 2" xfId="11622" xr:uid="{2B373194-FAE7-4A3A-9164-114D0BD88699}"/>
    <cellStyle name="Millares 13 2 2 2 3" xfId="10981" xr:uid="{64072230-D683-4259-88C1-2F58E342F779}"/>
    <cellStyle name="Millares 13 2 2 3" xfId="7459" xr:uid="{00000000-0005-0000-0000-0000231D0000}"/>
    <cellStyle name="Millares 13 2 2 3 2" xfId="11299" xr:uid="{F9BBD586-D18A-4182-AB2E-3AFDBE701890}"/>
    <cellStyle name="Millares 13 2 2 4" xfId="10658" xr:uid="{71C53977-D1B8-4D70-875B-39524C0520C9}"/>
    <cellStyle name="Millares 13 2 3" xfId="6977" xr:uid="{00000000-0005-0000-0000-0000411B0000}"/>
    <cellStyle name="Millares 13 2 3 2" xfId="7618" xr:uid="{00000000-0005-0000-0000-0000C21D0000}"/>
    <cellStyle name="Millares 13 2 3 2 2" xfId="11458" xr:uid="{7D5EA08A-002D-431C-8A78-60E6C5CCA280}"/>
    <cellStyle name="Millares 13 2 3 3" xfId="10817" xr:uid="{FE7B4B1A-A875-48C4-9C87-05D7E06F43A0}"/>
    <cellStyle name="Millares 13 2 4" xfId="7295" xr:uid="{00000000-0005-0000-0000-00007F1C0000}"/>
    <cellStyle name="Millares 13 2 4 2" xfId="11135" xr:uid="{5C94541D-EF6F-4DED-B95D-48F549D2D9D5}"/>
    <cellStyle name="Millares 13 2 5" xfId="9973" xr:uid="{B153CD8D-21EB-4FAF-8A7D-45392BB7EDFD}"/>
    <cellStyle name="Millares 13 3" xfId="6702" xr:uid="{00000000-0005-0000-0000-00002E1A0000}"/>
    <cellStyle name="Millares 13 3 2" xfId="6870" xr:uid="{00000000-0005-0000-0000-0000D61A0000}"/>
    <cellStyle name="Millares 13 3 2 2" xfId="7193" xr:uid="{00000000-0005-0000-0000-0000191C0000}"/>
    <cellStyle name="Millares 13 3 2 2 2" xfId="7834" xr:uid="{00000000-0005-0000-0000-00009A1E0000}"/>
    <cellStyle name="Millares 13 3 2 2 2 2" xfId="11674" xr:uid="{723236C6-5477-4BF5-8BEF-BCAD7C470B8F}"/>
    <cellStyle name="Millares 13 3 2 2 3" xfId="11033" xr:uid="{ED898E9B-89BB-4535-A33E-32180C9CA216}"/>
    <cellStyle name="Millares 13 3 2 3" xfId="7511" xr:uid="{00000000-0005-0000-0000-0000571D0000}"/>
    <cellStyle name="Millares 13 3 2 3 2" xfId="11351" xr:uid="{4B22E332-7739-45A9-9772-92048D3AB0AD}"/>
    <cellStyle name="Millares 13 3 2 4" xfId="10710" xr:uid="{B161C2D3-C366-475F-8490-1E647F9AF62B}"/>
    <cellStyle name="Millares 13 3 3" xfId="7027" xr:uid="{00000000-0005-0000-0000-0000731B0000}"/>
    <cellStyle name="Millares 13 3 3 2" xfId="7668" xr:uid="{00000000-0005-0000-0000-0000F41D0000}"/>
    <cellStyle name="Millares 13 3 3 2 2" xfId="11508" xr:uid="{6ACC03D2-911B-456C-8CCA-B077D9116BC8}"/>
    <cellStyle name="Millares 13 3 3 3" xfId="10867" xr:uid="{D2F8E2A2-AF74-4CCC-8B5E-5E24ED65B8F5}"/>
    <cellStyle name="Millares 13 3 4" xfId="7345" xr:uid="{00000000-0005-0000-0000-0000B11C0000}"/>
    <cellStyle name="Millares 13 3 4 2" xfId="11185" xr:uid="{E921F949-9E6E-4324-A35D-080C03EF93E8}"/>
    <cellStyle name="Millares 13 3 5" xfId="10544" xr:uid="{7C48703B-588B-4E6B-801F-AF4519229C2A}"/>
    <cellStyle name="Millares 13 4" xfId="6817" xr:uid="{00000000-0005-0000-0000-0000A11A0000}"/>
    <cellStyle name="Millares 13 4 2" xfId="7140" xr:uid="{00000000-0005-0000-0000-0000E41B0000}"/>
    <cellStyle name="Millares 13 4 2 2" xfId="7781" xr:uid="{00000000-0005-0000-0000-0000651E0000}"/>
    <cellStyle name="Millares 13 4 2 2 2" xfId="11621" xr:uid="{01E89615-8BED-48EB-B55E-50CAC84290D9}"/>
    <cellStyle name="Millares 13 4 2 3" xfId="10980" xr:uid="{040DF77C-7B56-45F5-9E0B-A0A733873B51}"/>
    <cellStyle name="Millares 13 4 3" xfId="7458" xr:uid="{00000000-0005-0000-0000-0000221D0000}"/>
    <cellStyle name="Millares 13 4 3 2" xfId="11298" xr:uid="{16E24EB1-B9C7-48CC-9436-9409B368C12D}"/>
    <cellStyle name="Millares 13 4 4" xfId="10657" xr:uid="{7938748B-3407-4483-97EA-343715EE5C3C}"/>
    <cellStyle name="Millares 13 5" xfId="6976" xr:uid="{00000000-0005-0000-0000-0000401B0000}"/>
    <cellStyle name="Millares 13 5 2" xfId="7617" xr:uid="{00000000-0005-0000-0000-0000C11D0000}"/>
    <cellStyle name="Millares 13 5 2 2" xfId="11457" xr:uid="{7F0B72F4-EAEE-45BD-B00A-16D9BE296D77}"/>
    <cellStyle name="Millares 13 5 3" xfId="10816" xr:uid="{5CF3C4FF-D779-495F-AD75-0E6F3FC35BC1}"/>
    <cellStyle name="Millares 13 6" xfId="7294" xr:uid="{00000000-0005-0000-0000-00007E1C0000}"/>
    <cellStyle name="Millares 13 6 2" xfId="11134" xr:uid="{DB7F36DF-4805-43D1-BFBC-881625793EC1}"/>
    <cellStyle name="Millares 13 7" xfId="9972" xr:uid="{F067EBE1-9B1B-46F7-A104-408135E4DC5C}"/>
    <cellStyle name="Millares 14" xfId="5115" xr:uid="{00000000-0005-0000-0000-0000FB130000}"/>
    <cellStyle name="Millares 14 2" xfId="5116" xr:uid="{00000000-0005-0000-0000-0000FC130000}"/>
    <cellStyle name="Millares 14 2 2" xfId="6820" xr:uid="{00000000-0005-0000-0000-0000A41A0000}"/>
    <cellStyle name="Millares 14 2 2 2" xfId="7143" xr:uid="{00000000-0005-0000-0000-0000E71B0000}"/>
    <cellStyle name="Millares 14 2 2 2 2" xfId="7784" xr:uid="{00000000-0005-0000-0000-0000681E0000}"/>
    <cellStyle name="Millares 14 2 2 2 2 2" xfId="11624" xr:uid="{20747782-1EFE-46C1-8056-F07869864209}"/>
    <cellStyle name="Millares 14 2 2 2 3" xfId="10983" xr:uid="{3C72B47C-5ED9-4964-9A36-F9F077094A06}"/>
    <cellStyle name="Millares 14 2 2 3" xfId="7461" xr:uid="{00000000-0005-0000-0000-0000251D0000}"/>
    <cellStyle name="Millares 14 2 2 3 2" xfId="11301" xr:uid="{5F44E40D-181B-49D7-861A-A4D8432B829C}"/>
    <cellStyle name="Millares 14 2 2 4" xfId="10660" xr:uid="{B25ED170-57A6-4CA7-99C3-08F34504DC64}"/>
    <cellStyle name="Millares 14 2 3" xfId="6979" xr:uid="{00000000-0005-0000-0000-0000431B0000}"/>
    <cellStyle name="Millares 14 2 3 2" xfId="7620" xr:uid="{00000000-0005-0000-0000-0000C41D0000}"/>
    <cellStyle name="Millares 14 2 3 2 2" xfId="11460" xr:uid="{B3A477AA-6D98-4839-ADC8-523EBB7020B8}"/>
    <cellStyle name="Millares 14 2 3 3" xfId="10819" xr:uid="{B297AC75-017E-4B75-8C59-5E27190ACEA9}"/>
    <cellStyle name="Millares 14 2 4" xfId="7297" xr:uid="{00000000-0005-0000-0000-0000811C0000}"/>
    <cellStyle name="Millares 14 2 4 2" xfId="11137" xr:uid="{BC63F936-FDE1-4BA0-970B-B72EDD7A734A}"/>
    <cellStyle name="Millares 14 2 5" xfId="9975" xr:uid="{41D7FEE1-E788-4676-A4FC-452358D2CB64}"/>
    <cellStyle name="Millares 14 3" xfId="6819" xr:uid="{00000000-0005-0000-0000-0000A31A0000}"/>
    <cellStyle name="Millares 14 3 2" xfId="7142" xr:uid="{00000000-0005-0000-0000-0000E61B0000}"/>
    <cellStyle name="Millares 14 3 2 2" xfId="7783" xr:uid="{00000000-0005-0000-0000-0000671E0000}"/>
    <cellStyle name="Millares 14 3 2 2 2" xfId="11623" xr:uid="{A0E77A4E-F378-4A36-A83B-5EF89A0A344C}"/>
    <cellStyle name="Millares 14 3 2 3" xfId="10982" xr:uid="{761786B1-FDE3-4ECE-BDD1-7FE50436EEA6}"/>
    <cellStyle name="Millares 14 3 3" xfId="7460" xr:uid="{00000000-0005-0000-0000-0000241D0000}"/>
    <cellStyle name="Millares 14 3 3 2" xfId="11300" xr:uid="{DAC86249-3841-4DDC-87B7-92E849A09983}"/>
    <cellStyle name="Millares 14 3 4" xfId="10659" xr:uid="{82B05872-DC18-445E-92CF-BC96CD1F2D9E}"/>
    <cellStyle name="Millares 14 4" xfId="6978" xr:uid="{00000000-0005-0000-0000-0000421B0000}"/>
    <cellStyle name="Millares 14 4 2" xfId="7619" xr:uid="{00000000-0005-0000-0000-0000C31D0000}"/>
    <cellStyle name="Millares 14 4 2 2" xfId="11459" xr:uid="{CB5AB026-CE91-464C-BF00-EADAB281B59E}"/>
    <cellStyle name="Millares 14 4 3" xfId="10818" xr:uid="{B6782FFA-9524-4820-B87F-B380E65691A8}"/>
    <cellStyle name="Millares 14 5" xfId="7296" xr:uid="{00000000-0005-0000-0000-0000801C0000}"/>
    <cellStyle name="Millares 14 5 2" xfId="11136" xr:uid="{7FC4CFC8-CB62-4FA9-B294-1A83A985D558}"/>
    <cellStyle name="Millares 14 6" xfId="9974" xr:uid="{6FF33B2B-7603-461E-AE97-D8EFA3F213C4}"/>
    <cellStyle name="Millares 15" xfId="5117" xr:uid="{00000000-0005-0000-0000-0000FD130000}"/>
    <cellStyle name="Millares 15 2" xfId="5118" xr:uid="{00000000-0005-0000-0000-0000FE130000}"/>
    <cellStyle name="Millares 15 2 2" xfId="6822" xr:uid="{00000000-0005-0000-0000-0000A61A0000}"/>
    <cellStyle name="Millares 15 2 2 2" xfId="7145" xr:uid="{00000000-0005-0000-0000-0000E91B0000}"/>
    <cellStyle name="Millares 15 2 2 2 2" xfId="7786" xr:uid="{00000000-0005-0000-0000-00006A1E0000}"/>
    <cellStyle name="Millares 15 2 2 2 2 2" xfId="11626" xr:uid="{D213CE6B-540E-4A1C-94B0-E135F4BB54B0}"/>
    <cellStyle name="Millares 15 2 2 2 3" xfId="10985" xr:uid="{7D698E5E-CADC-46AE-BB8D-6AADAFFE9793}"/>
    <cellStyle name="Millares 15 2 2 3" xfId="7463" xr:uid="{00000000-0005-0000-0000-0000271D0000}"/>
    <cellStyle name="Millares 15 2 2 3 2" xfId="11303" xr:uid="{1E451515-0FA6-4BF1-AF4B-3D0C0E6034EB}"/>
    <cellStyle name="Millares 15 2 2 4" xfId="10662" xr:uid="{D1CAD0AB-69A0-44B2-BD1A-A97B793FC5D5}"/>
    <cellStyle name="Millares 15 2 3" xfId="6981" xr:uid="{00000000-0005-0000-0000-0000451B0000}"/>
    <cellStyle name="Millares 15 2 3 2" xfId="7622" xr:uid="{00000000-0005-0000-0000-0000C61D0000}"/>
    <cellStyle name="Millares 15 2 3 2 2" xfId="11462" xr:uid="{8E6CC2D7-F7C6-4B3F-A34E-1262FD7C0F8D}"/>
    <cellStyle name="Millares 15 2 3 3" xfId="10821" xr:uid="{5C9532E8-65BA-40EF-A4E0-5023B3CA0443}"/>
    <cellStyle name="Millares 15 2 4" xfId="7299" xr:uid="{00000000-0005-0000-0000-0000831C0000}"/>
    <cellStyle name="Millares 15 2 4 2" xfId="11139" xr:uid="{6936CDBF-41BE-4C23-91BB-F522C0A87F6E}"/>
    <cellStyle name="Millares 15 2 5" xfId="9977" xr:uid="{D06309A9-528C-43D9-A94F-0D5242DBB3E3}"/>
    <cellStyle name="Millares 15 3" xfId="6821" xr:uid="{00000000-0005-0000-0000-0000A51A0000}"/>
    <cellStyle name="Millares 15 3 2" xfId="7144" xr:uid="{00000000-0005-0000-0000-0000E81B0000}"/>
    <cellStyle name="Millares 15 3 2 2" xfId="7785" xr:uid="{00000000-0005-0000-0000-0000691E0000}"/>
    <cellStyle name="Millares 15 3 2 2 2" xfId="11625" xr:uid="{053116FF-6952-4C95-968A-43F865F3C796}"/>
    <cellStyle name="Millares 15 3 2 3" xfId="10984" xr:uid="{835E12CF-4F43-4FEE-BA5B-9B9B2506F727}"/>
    <cellStyle name="Millares 15 3 3" xfId="7462" xr:uid="{00000000-0005-0000-0000-0000261D0000}"/>
    <cellStyle name="Millares 15 3 3 2" xfId="11302" xr:uid="{0D60D62C-B8A7-4104-A679-4B673067B681}"/>
    <cellStyle name="Millares 15 3 4" xfId="10661" xr:uid="{0475BBA7-F5F7-4714-A302-41063F477486}"/>
    <cellStyle name="Millares 15 4" xfId="6980" xr:uid="{00000000-0005-0000-0000-0000441B0000}"/>
    <cellStyle name="Millares 15 4 2" xfId="7621" xr:uid="{00000000-0005-0000-0000-0000C51D0000}"/>
    <cellStyle name="Millares 15 4 2 2" xfId="11461" xr:uid="{0750E892-6AC4-491B-9B5D-071924EE3F71}"/>
    <cellStyle name="Millares 15 4 3" xfId="10820" xr:uid="{3A04104D-E2EA-4568-A14E-606CDA7ABF26}"/>
    <cellStyle name="Millares 15 5" xfId="7298" xr:uid="{00000000-0005-0000-0000-0000821C0000}"/>
    <cellStyle name="Millares 15 5 2" xfId="11138" xr:uid="{A4B1AF17-9DD9-4718-AFEB-B54FE2E019AF}"/>
    <cellStyle name="Millares 15 6" xfId="9976" xr:uid="{F5E3B707-DF8D-4339-BBDC-05FDA4A78EAB}"/>
    <cellStyle name="Millares 16" xfId="5119" xr:uid="{00000000-0005-0000-0000-0000FF130000}"/>
    <cellStyle name="Millares 16 2" xfId="5120" xr:uid="{00000000-0005-0000-0000-000000140000}"/>
    <cellStyle name="Millares 16 2 2" xfId="6824" xr:uid="{00000000-0005-0000-0000-0000A81A0000}"/>
    <cellStyle name="Millares 16 2 2 2" xfId="7147" xr:uid="{00000000-0005-0000-0000-0000EB1B0000}"/>
    <cellStyle name="Millares 16 2 2 2 2" xfId="7788" xr:uid="{00000000-0005-0000-0000-00006C1E0000}"/>
    <cellStyle name="Millares 16 2 2 2 2 2" xfId="11628" xr:uid="{6E7AA9B8-A689-4A2E-978D-B5CAB9FB58CD}"/>
    <cellStyle name="Millares 16 2 2 2 3" xfId="10987" xr:uid="{01DCA9C6-458E-46EE-B91F-5D25E1E2DF1F}"/>
    <cellStyle name="Millares 16 2 2 3" xfId="7465" xr:uid="{00000000-0005-0000-0000-0000291D0000}"/>
    <cellStyle name="Millares 16 2 2 3 2" xfId="11305" xr:uid="{4239425B-7832-4C5C-BDC6-9FE34CBBD415}"/>
    <cellStyle name="Millares 16 2 2 4" xfId="10664" xr:uid="{9339A658-3EE9-4F52-810F-7ED870A78556}"/>
    <cellStyle name="Millares 16 2 3" xfId="6983" xr:uid="{00000000-0005-0000-0000-0000471B0000}"/>
    <cellStyle name="Millares 16 2 3 2" xfId="7624" xr:uid="{00000000-0005-0000-0000-0000C81D0000}"/>
    <cellStyle name="Millares 16 2 3 2 2" xfId="11464" xr:uid="{5AE4EE5D-F1B7-473A-AD7D-139B52298FBD}"/>
    <cellStyle name="Millares 16 2 3 3" xfId="10823" xr:uid="{BBDB7210-07F6-455C-91FF-9A174E29E694}"/>
    <cellStyle name="Millares 16 2 4" xfId="7301" xr:uid="{00000000-0005-0000-0000-0000851C0000}"/>
    <cellStyle name="Millares 16 2 4 2" xfId="11141" xr:uid="{B97C10BF-36BE-4473-A69D-2F1BC74B3551}"/>
    <cellStyle name="Millares 16 2 5" xfId="9979" xr:uid="{459DE59C-4B0D-44D3-BDEE-203BC39C3477}"/>
    <cellStyle name="Millares 16 3" xfId="6823" xr:uid="{00000000-0005-0000-0000-0000A71A0000}"/>
    <cellStyle name="Millares 16 3 2" xfId="7146" xr:uid="{00000000-0005-0000-0000-0000EA1B0000}"/>
    <cellStyle name="Millares 16 3 2 2" xfId="7787" xr:uid="{00000000-0005-0000-0000-00006B1E0000}"/>
    <cellStyle name="Millares 16 3 2 2 2" xfId="11627" xr:uid="{98DFC92B-709D-4591-944C-D66CAD685E8B}"/>
    <cellStyle name="Millares 16 3 2 3" xfId="10986" xr:uid="{D5E60344-AA30-49B0-A9F5-0B58B0326696}"/>
    <cellStyle name="Millares 16 3 3" xfId="7464" xr:uid="{00000000-0005-0000-0000-0000281D0000}"/>
    <cellStyle name="Millares 16 3 3 2" xfId="11304" xr:uid="{E3393C26-C05D-4959-BDE0-205BBD3B367E}"/>
    <cellStyle name="Millares 16 3 4" xfId="10663" xr:uid="{10819C2F-E9EE-4D2B-B75E-8EAA32D3801E}"/>
    <cellStyle name="Millares 16 4" xfId="6982" xr:uid="{00000000-0005-0000-0000-0000461B0000}"/>
    <cellStyle name="Millares 16 4 2" xfId="7623" xr:uid="{00000000-0005-0000-0000-0000C71D0000}"/>
    <cellStyle name="Millares 16 4 2 2" xfId="11463" xr:uid="{32E32099-6DC5-4ADA-9CBD-1D6D4A76D560}"/>
    <cellStyle name="Millares 16 4 3" xfId="10822" xr:uid="{A3772AA2-8897-4650-8026-A72090C50CA3}"/>
    <cellStyle name="Millares 16 5" xfId="7300" xr:uid="{00000000-0005-0000-0000-0000841C0000}"/>
    <cellStyle name="Millares 16 5 2" xfId="11140" xr:uid="{F0D6497E-5269-438F-8150-2649D113CCB0}"/>
    <cellStyle name="Millares 16 6" xfId="9978" xr:uid="{1A9B9213-4365-46D4-867A-2FFA8A898590}"/>
    <cellStyle name="Millares 17" xfId="5121" xr:uid="{00000000-0005-0000-0000-000001140000}"/>
    <cellStyle name="Millares 17 2" xfId="5122" xr:uid="{00000000-0005-0000-0000-000002140000}"/>
    <cellStyle name="Millares 17 2 2" xfId="6826" xr:uid="{00000000-0005-0000-0000-0000AA1A0000}"/>
    <cellStyle name="Millares 17 2 2 2" xfId="7149" xr:uid="{00000000-0005-0000-0000-0000ED1B0000}"/>
    <cellStyle name="Millares 17 2 2 2 2" xfId="7790" xr:uid="{00000000-0005-0000-0000-00006E1E0000}"/>
    <cellStyle name="Millares 17 2 2 2 2 2" xfId="11630" xr:uid="{DA04DF9B-3B03-481D-80DC-27CACEFCAC06}"/>
    <cellStyle name="Millares 17 2 2 2 3" xfId="10989" xr:uid="{16804A51-57E7-4E72-8E72-B0795143E8AF}"/>
    <cellStyle name="Millares 17 2 2 3" xfId="7467" xr:uid="{00000000-0005-0000-0000-00002B1D0000}"/>
    <cellStyle name="Millares 17 2 2 3 2" xfId="11307" xr:uid="{AD76DAF8-E69D-4B87-A776-3C9ABCEF0B57}"/>
    <cellStyle name="Millares 17 2 2 4" xfId="10666" xr:uid="{9EFDE008-841F-42D2-B6F5-9C99CD23C9C2}"/>
    <cellStyle name="Millares 17 2 3" xfId="6985" xr:uid="{00000000-0005-0000-0000-0000491B0000}"/>
    <cellStyle name="Millares 17 2 3 2" xfId="7626" xr:uid="{00000000-0005-0000-0000-0000CA1D0000}"/>
    <cellStyle name="Millares 17 2 3 2 2" xfId="11466" xr:uid="{218F099F-9B9C-4882-8034-FE5951AB278D}"/>
    <cellStyle name="Millares 17 2 3 3" xfId="10825" xr:uid="{E89D8873-D1B6-4E3D-A203-2DC7FFB9F172}"/>
    <cellStyle name="Millares 17 2 4" xfId="7303" xr:uid="{00000000-0005-0000-0000-0000871C0000}"/>
    <cellStyle name="Millares 17 2 4 2" xfId="11143" xr:uid="{72674696-B755-428E-A60B-6C888D9D55D8}"/>
    <cellStyle name="Millares 17 2 5" xfId="9981" xr:uid="{FA1E704E-4A7D-4E9B-9A1E-D4D4A587C030}"/>
    <cellStyle name="Millares 17 3" xfId="6825" xr:uid="{00000000-0005-0000-0000-0000A91A0000}"/>
    <cellStyle name="Millares 17 3 2" xfId="7148" xr:uid="{00000000-0005-0000-0000-0000EC1B0000}"/>
    <cellStyle name="Millares 17 3 2 2" xfId="7789" xr:uid="{00000000-0005-0000-0000-00006D1E0000}"/>
    <cellStyle name="Millares 17 3 2 2 2" xfId="11629" xr:uid="{BA5410C3-DA8F-4CA6-9F81-DD50EE0F65CA}"/>
    <cellStyle name="Millares 17 3 2 3" xfId="10988" xr:uid="{CDD2229D-34D0-4EB7-8AFB-9413BF749723}"/>
    <cellStyle name="Millares 17 3 3" xfId="7466" xr:uid="{00000000-0005-0000-0000-00002A1D0000}"/>
    <cellStyle name="Millares 17 3 3 2" xfId="11306" xr:uid="{3FFB9BE3-144B-4DCC-BF77-C95B1E0E2ED7}"/>
    <cellStyle name="Millares 17 3 4" xfId="10665" xr:uid="{A96B16ED-A65E-4B40-AF41-9E60C530B8B8}"/>
    <cellStyle name="Millares 17 4" xfId="6984" xr:uid="{00000000-0005-0000-0000-0000481B0000}"/>
    <cellStyle name="Millares 17 4 2" xfId="7625" xr:uid="{00000000-0005-0000-0000-0000C91D0000}"/>
    <cellStyle name="Millares 17 4 2 2" xfId="11465" xr:uid="{32A443B4-4D0D-482B-93F0-A255ED8F8E75}"/>
    <cellStyle name="Millares 17 4 3" xfId="10824" xr:uid="{162F4839-DA16-4818-83BA-62990243333E}"/>
    <cellStyle name="Millares 17 5" xfId="7302" xr:uid="{00000000-0005-0000-0000-0000861C0000}"/>
    <cellStyle name="Millares 17 5 2" xfId="11142" xr:uid="{D3EF82A6-1096-4AAD-B249-B2456FD434B1}"/>
    <cellStyle name="Millares 17 6" xfId="9980" xr:uid="{C759499C-EF27-425C-A7DF-817AC88141B2}"/>
    <cellStyle name="Millares 18" xfId="5123" xr:uid="{00000000-0005-0000-0000-000003140000}"/>
    <cellStyle name="Millares 18 2" xfId="5124" xr:uid="{00000000-0005-0000-0000-000004140000}"/>
    <cellStyle name="Millares 18 2 2" xfId="6828" xr:uid="{00000000-0005-0000-0000-0000AC1A0000}"/>
    <cellStyle name="Millares 18 2 2 2" xfId="7151" xr:uid="{00000000-0005-0000-0000-0000EF1B0000}"/>
    <cellStyle name="Millares 18 2 2 2 2" xfId="7792" xr:uid="{00000000-0005-0000-0000-0000701E0000}"/>
    <cellStyle name="Millares 18 2 2 2 2 2" xfId="11632" xr:uid="{7D7BCE8C-DD65-43FC-9412-43A1171849AE}"/>
    <cellStyle name="Millares 18 2 2 2 3" xfId="10991" xr:uid="{E9797607-21CE-44D0-B0C4-9633CC63C16C}"/>
    <cellStyle name="Millares 18 2 2 3" xfId="7469" xr:uid="{00000000-0005-0000-0000-00002D1D0000}"/>
    <cellStyle name="Millares 18 2 2 3 2" xfId="11309" xr:uid="{951C93BA-5E54-4EE3-834A-D4D8AE9869B1}"/>
    <cellStyle name="Millares 18 2 2 4" xfId="10668" xr:uid="{81E1704E-9C19-419D-ADD2-9C523414A4F3}"/>
    <cellStyle name="Millares 18 2 3" xfId="6987" xr:uid="{00000000-0005-0000-0000-00004B1B0000}"/>
    <cellStyle name="Millares 18 2 3 2" xfId="7628" xr:uid="{00000000-0005-0000-0000-0000CC1D0000}"/>
    <cellStyle name="Millares 18 2 3 2 2" xfId="11468" xr:uid="{A3735F41-57A7-4D8C-B14E-71F47EBFA52E}"/>
    <cellStyle name="Millares 18 2 3 3" xfId="10827" xr:uid="{45F21D40-7EBC-45CB-9DC2-D867B65C7B97}"/>
    <cellStyle name="Millares 18 2 4" xfId="7305" xr:uid="{00000000-0005-0000-0000-0000891C0000}"/>
    <cellStyle name="Millares 18 2 4 2" xfId="11145" xr:uid="{154C62AB-0523-4AFA-9579-1D06EA8EFA68}"/>
    <cellStyle name="Millares 18 2 5" xfId="9983" xr:uid="{331FFAD0-381F-46FA-9DB7-CA07833150A5}"/>
    <cellStyle name="Millares 18 3" xfId="6827" xr:uid="{00000000-0005-0000-0000-0000AB1A0000}"/>
    <cellStyle name="Millares 18 3 2" xfId="7150" xr:uid="{00000000-0005-0000-0000-0000EE1B0000}"/>
    <cellStyle name="Millares 18 3 2 2" xfId="7791" xr:uid="{00000000-0005-0000-0000-00006F1E0000}"/>
    <cellStyle name="Millares 18 3 2 2 2" xfId="11631" xr:uid="{FC56D6EF-B299-4FB3-8729-44D824DCEB3D}"/>
    <cellStyle name="Millares 18 3 2 3" xfId="10990" xr:uid="{16029A25-6C66-44E0-B61F-C82085EE0337}"/>
    <cellStyle name="Millares 18 3 3" xfId="7468" xr:uid="{00000000-0005-0000-0000-00002C1D0000}"/>
    <cellStyle name="Millares 18 3 3 2" xfId="11308" xr:uid="{F477F609-E15D-4851-8E84-4C6C8FE546C3}"/>
    <cellStyle name="Millares 18 3 4" xfId="10667" xr:uid="{D354F623-18C8-4EAF-B5F0-BF5C6EB6DDF1}"/>
    <cellStyle name="Millares 18 4" xfId="6986" xr:uid="{00000000-0005-0000-0000-00004A1B0000}"/>
    <cellStyle name="Millares 18 4 2" xfId="7627" xr:uid="{00000000-0005-0000-0000-0000CB1D0000}"/>
    <cellStyle name="Millares 18 4 2 2" xfId="11467" xr:uid="{3F54F318-5490-4CB3-90C3-67FE658DA7D7}"/>
    <cellStyle name="Millares 18 4 3" xfId="10826" xr:uid="{79283B16-0717-4ABF-B730-9A0512EE368B}"/>
    <cellStyle name="Millares 18 5" xfId="7304" xr:uid="{00000000-0005-0000-0000-0000881C0000}"/>
    <cellStyle name="Millares 18 5 2" xfId="11144" xr:uid="{92243F6D-9ED4-43BB-8D14-4807D8C3D064}"/>
    <cellStyle name="Millares 18 6" xfId="9982" xr:uid="{41E1E873-D1DE-4DC6-A41C-88ACEBB00341}"/>
    <cellStyle name="Millares 19" xfId="5125" xr:uid="{00000000-0005-0000-0000-000005140000}"/>
    <cellStyle name="Millares 19 2" xfId="5126" xr:uid="{00000000-0005-0000-0000-000006140000}"/>
    <cellStyle name="Millares 19 2 2" xfId="6830" xr:uid="{00000000-0005-0000-0000-0000AE1A0000}"/>
    <cellStyle name="Millares 19 2 2 2" xfId="7153" xr:uid="{00000000-0005-0000-0000-0000F11B0000}"/>
    <cellStyle name="Millares 19 2 2 2 2" xfId="7794" xr:uid="{00000000-0005-0000-0000-0000721E0000}"/>
    <cellStyle name="Millares 19 2 2 2 2 2" xfId="11634" xr:uid="{3DF5A109-8883-40DE-81E4-2DBCAA95700F}"/>
    <cellStyle name="Millares 19 2 2 2 3" xfId="10993" xr:uid="{B8238349-948D-4A75-B0EB-8D14680FEB6E}"/>
    <cellStyle name="Millares 19 2 2 3" xfId="7471" xr:uid="{00000000-0005-0000-0000-00002F1D0000}"/>
    <cellStyle name="Millares 19 2 2 3 2" xfId="11311" xr:uid="{E9838C79-8F6D-4A84-8F39-BCDF28622C24}"/>
    <cellStyle name="Millares 19 2 2 4" xfId="10670" xr:uid="{B86F5C93-F7B2-4CFD-99E0-773B5C6C1B8E}"/>
    <cellStyle name="Millares 19 2 3" xfId="6989" xr:uid="{00000000-0005-0000-0000-00004D1B0000}"/>
    <cellStyle name="Millares 19 2 3 2" xfId="7630" xr:uid="{00000000-0005-0000-0000-0000CE1D0000}"/>
    <cellStyle name="Millares 19 2 3 2 2" xfId="11470" xr:uid="{A2A5B342-F6D3-48D7-840E-27F3FA2F2AEB}"/>
    <cellStyle name="Millares 19 2 3 3" xfId="10829" xr:uid="{22B046D3-6D67-446A-AB03-EC126A6988AD}"/>
    <cellStyle name="Millares 19 2 4" xfId="7307" xr:uid="{00000000-0005-0000-0000-00008B1C0000}"/>
    <cellStyle name="Millares 19 2 4 2" xfId="11147" xr:uid="{B59E2280-A234-43CE-9A98-8F171673272C}"/>
    <cellStyle name="Millares 19 2 5" xfId="9985" xr:uid="{6395A56B-0817-476F-832B-F0893EBA8C3E}"/>
    <cellStyle name="Millares 19 3" xfId="6829" xr:uid="{00000000-0005-0000-0000-0000AD1A0000}"/>
    <cellStyle name="Millares 19 3 2" xfId="7152" xr:uid="{00000000-0005-0000-0000-0000F01B0000}"/>
    <cellStyle name="Millares 19 3 2 2" xfId="7793" xr:uid="{00000000-0005-0000-0000-0000711E0000}"/>
    <cellStyle name="Millares 19 3 2 2 2" xfId="11633" xr:uid="{87C6A8F5-F888-4A26-A332-DD18E71EB9AB}"/>
    <cellStyle name="Millares 19 3 2 3" xfId="10992" xr:uid="{0AB55150-75AD-4393-ADF8-02E5CB42DC9C}"/>
    <cellStyle name="Millares 19 3 3" xfId="7470" xr:uid="{00000000-0005-0000-0000-00002E1D0000}"/>
    <cellStyle name="Millares 19 3 3 2" xfId="11310" xr:uid="{DFC1B4F0-264E-4FA7-9423-19CF8A7095EF}"/>
    <cellStyle name="Millares 19 3 4" xfId="10669" xr:uid="{C196BA86-244A-43E5-B4E2-EBB75009EB26}"/>
    <cellStyle name="Millares 19 4" xfId="6988" xr:uid="{00000000-0005-0000-0000-00004C1B0000}"/>
    <cellStyle name="Millares 19 4 2" xfId="7629" xr:uid="{00000000-0005-0000-0000-0000CD1D0000}"/>
    <cellStyle name="Millares 19 4 2 2" xfId="11469" xr:uid="{40D12457-1288-4FDB-8780-EBE58DDC1320}"/>
    <cellStyle name="Millares 19 4 3" xfId="10828" xr:uid="{D60500BE-C45D-4407-8598-6089774533C0}"/>
    <cellStyle name="Millares 19 5" xfId="7306" xr:uid="{00000000-0005-0000-0000-00008A1C0000}"/>
    <cellStyle name="Millares 19 5 2" xfId="11146" xr:uid="{25436519-0D85-42D4-8D36-78404DB80BEB}"/>
    <cellStyle name="Millares 19 6" xfId="9984" xr:uid="{94ED83E5-C703-4CF5-A726-C981DDF20191}"/>
    <cellStyle name="Millares 2" xfId="6" xr:uid="{00000000-0005-0000-0000-000006000000}"/>
    <cellStyle name="Millares 2 10" xfId="5127" xr:uid="{00000000-0005-0000-0000-000007140000}"/>
    <cellStyle name="Millares 2 11" xfId="6706" xr:uid="{00000000-0005-0000-0000-0000321A0000}"/>
    <cellStyle name="Millares 2 11 2" xfId="6875" xr:uid="{00000000-0005-0000-0000-0000DB1A0000}"/>
    <cellStyle name="Millares 2 11 2 2" xfId="7198" xr:uid="{00000000-0005-0000-0000-00001E1C0000}"/>
    <cellStyle name="Millares 2 11 2 2 2" xfId="7839" xr:uid="{00000000-0005-0000-0000-00009F1E0000}"/>
    <cellStyle name="Millares 2 11 2 2 2 2" xfId="11679" xr:uid="{940C47C9-2169-4EC0-8ECE-25047F09A8BA}"/>
    <cellStyle name="Millares 2 11 2 2 3" xfId="11038" xr:uid="{26409697-2D1E-49F1-A9F8-CDBDF6F74314}"/>
    <cellStyle name="Millares 2 11 2 3" xfId="7516" xr:uid="{00000000-0005-0000-0000-00005C1D0000}"/>
    <cellStyle name="Millares 2 11 2 3 2" xfId="11356" xr:uid="{0DE061A2-DECC-445F-A8C8-53A71B47D1E3}"/>
    <cellStyle name="Millares 2 11 2 4" xfId="10715" xr:uid="{CE153D29-2D6F-45F1-8698-BD3F09429842}"/>
    <cellStyle name="Millares 2 11 3" xfId="7032" xr:uid="{00000000-0005-0000-0000-0000781B0000}"/>
    <cellStyle name="Millares 2 11 3 2" xfId="7673" xr:uid="{00000000-0005-0000-0000-0000F91D0000}"/>
    <cellStyle name="Millares 2 11 3 2 2" xfId="11513" xr:uid="{916B83E8-B010-4997-A5B7-B542A77619B6}"/>
    <cellStyle name="Millares 2 11 3 3" xfId="10872" xr:uid="{B37A6DF1-26A8-4215-89DB-B3089D9969E8}"/>
    <cellStyle name="Millares 2 11 4" xfId="7350" xr:uid="{00000000-0005-0000-0000-0000B61C0000}"/>
    <cellStyle name="Millares 2 11 4 2" xfId="11190" xr:uid="{FFFA515E-440D-4D6B-9529-78E299DFB31B}"/>
    <cellStyle name="Millares 2 11 5" xfId="10549" xr:uid="{9A853A7B-AAA9-4688-8D24-93D215C588C4}"/>
    <cellStyle name="Millares 2 12" xfId="6722" xr:uid="{00000000-0005-0000-0000-0000421A0000}"/>
    <cellStyle name="Millares 2 12 2" xfId="6888" xr:uid="{00000000-0005-0000-0000-0000E81A0000}"/>
    <cellStyle name="Millares 2 12 2 2" xfId="7211" xr:uid="{00000000-0005-0000-0000-00002B1C0000}"/>
    <cellStyle name="Millares 2 12 2 2 2" xfId="7852" xr:uid="{00000000-0005-0000-0000-0000AC1E0000}"/>
    <cellStyle name="Millares 2 12 2 2 2 2" xfId="11692" xr:uid="{0A839A55-8C95-4233-9B79-5578DA69CC1E}"/>
    <cellStyle name="Millares 2 12 2 2 3" xfId="11051" xr:uid="{AB83A412-8A6A-4B19-AEF1-69BEAE587A72}"/>
    <cellStyle name="Millares 2 12 2 3" xfId="7529" xr:uid="{00000000-0005-0000-0000-0000691D0000}"/>
    <cellStyle name="Millares 2 12 2 3 2" xfId="11369" xr:uid="{4A9C68B2-1AF2-41F8-ACB6-229C6AD74284}"/>
    <cellStyle name="Millares 2 12 2 4" xfId="10728" xr:uid="{C80D02DC-E391-4220-8BB2-D0F042C8DA20}"/>
    <cellStyle name="Millares 2 12 3" xfId="7045" xr:uid="{00000000-0005-0000-0000-0000851B0000}"/>
    <cellStyle name="Millares 2 12 3 2" xfId="7686" xr:uid="{00000000-0005-0000-0000-0000061E0000}"/>
    <cellStyle name="Millares 2 12 3 2 2" xfId="11526" xr:uid="{548298F4-60D6-45A4-9161-B3B639192A9F}"/>
    <cellStyle name="Millares 2 12 3 3" xfId="10885" xr:uid="{8EFDE807-6FF0-430E-8224-B90055C21980}"/>
    <cellStyle name="Millares 2 12 4" xfId="7363" xr:uid="{00000000-0005-0000-0000-0000C31C0000}"/>
    <cellStyle name="Millares 2 12 4 2" xfId="11203" xr:uid="{2863A4D3-CDB8-49F4-905A-0C581A9C7EE2}"/>
    <cellStyle name="Millares 2 12 5" xfId="10562" xr:uid="{AF8A58B4-131B-4506-A079-F3B9584C6A43}"/>
    <cellStyle name="Millares 2 13" xfId="1993" xr:uid="{00000000-0005-0000-0000-0000C9070000}"/>
    <cellStyle name="Millares 2 14" xfId="6731" xr:uid="{00000000-0005-0000-0000-00004B1A0000}"/>
    <cellStyle name="Millares 2 14 2" xfId="7054" xr:uid="{00000000-0005-0000-0000-00008E1B0000}"/>
    <cellStyle name="Millares 2 14 2 2" xfId="7695" xr:uid="{00000000-0005-0000-0000-00000F1E0000}"/>
    <cellStyle name="Millares 2 14 2 2 2" xfId="11535" xr:uid="{BC1D1C73-AD6E-400F-B556-3938BB096A24}"/>
    <cellStyle name="Millares 2 14 2 3" xfId="10894" xr:uid="{4AB9B578-6238-453A-A66C-1C2BABEF9464}"/>
    <cellStyle name="Millares 2 14 3" xfId="7372" xr:uid="{00000000-0005-0000-0000-0000CC1C0000}"/>
    <cellStyle name="Millares 2 14 3 2" xfId="11212" xr:uid="{925CED40-5D14-43E4-BE02-4DD6F866B8D6}"/>
    <cellStyle name="Millares 2 14 4" xfId="10571" xr:uid="{A2B12C6E-6761-46C0-B2AD-D33CA514D7D3}"/>
    <cellStyle name="Millares 2 15" xfId="6905" xr:uid="{00000000-0005-0000-0000-0000F91A0000}"/>
    <cellStyle name="Millares 2 15 2" xfId="7546" xr:uid="{00000000-0005-0000-0000-00007A1D0000}"/>
    <cellStyle name="Millares 2 15 2 2" xfId="11386" xr:uid="{71FEBCBC-EDAE-41C5-8D45-904131DBC08A}"/>
    <cellStyle name="Millares 2 15 3" xfId="10745" xr:uid="{F1316CBF-260F-446A-B650-8C8626E6F649}"/>
    <cellStyle name="Millares 2 16" xfId="86" xr:uid="{00000000-0005-0000-0000-000056000000}"/>
    <cellStyle name="Millares 2 16 2" xfId="7934" xr:uid="{98AADABD-A465-4FC1-8D16-8CD31F3FAFFC}"/>
    <cellStyle name="Millares 2 17" xfId="7225" xr:uid="{00000000-0005-0000-0000-0000391C0000}"/>
    <cellStyle name="Millares 2 17 2" xfId="11065" xr:uid="{E5ED234A-9B49-4D3E-B1C2-994539CC2EA8}"/>
    <cellStyle name="Millares 2 18" xfId="7862" xr:uid="{00000000-0005-0000-0000-0000B61E0000}"/>
    <cellStyle name="Millares 2 19" xfId="7874" xr:uid="{BBA40DAB-1B4C-46BA-A858-61A7F28DCCBE}"/>
    <cellStyle name="Millares 2 2" xfId="1994" xr:uid="{00000000-0005-0000-0000-0000CA070000}"/>
    <cellStyle name="Millares 2 2 2" xfId="1995" xr:uid="{00000000-0005-0000-0000-0000CB070000}"/>
    <cellStyle name="Millares 2 2 2 2" xfId="14" xr:uid="{00000000-0005-0000-0000-00000E000000}"/>
    <cellStyle name="Millares 2 2 2 2 2" xfId="5128" xr:uid="{00000000-0005-0000-0000-000008140000}"/>
    <cellStyle name="Millares 2 2 2 2 3" xfId="7879" xr:uid="{53461E19-5548-483D-A1EB-702602440F73}"/>
    <cellStyle name="Millares 2 2 2 3" xfId="5129" xr:uid="{00000000-0005-0000-0000-000009140000}"/>
    <cellStyle name="Millares 2 2 2 4" xfId="5130" xr:uid="{00000000-0005-0000-0000-00000A140000}"/>
    <cellStyle name="Millares 2 2 2 4 2" xfId="5131" xr:uid="{00000000-0005-0000-0000-00000B140000}"/>
    <cellStyle name="Millares 2 2 2 5" xfId="3790" xr:uid="{00000000-0005-0000-0000-0000CE0E0000}"/>
    <cellStyle name="Millares 2 2 3" xfId="5132" xr:uid="{00000000-0005-0000-0000-00000C140000}"/>
    <cellStyle name="Millares 2 2 4" xfId="5133" xr:uid="{00000000-0005-0000-0000-00000D140000}"/>
    <cellStyle name="Millares 2 2 4 2" xfId="5134" xr:uid="{00000000-0005-0000-0000-00000E140000}"/>
    <cellStyle name="Millares 2 2 4 3" xfId="6831" xr:uid="{00000000-0005-0000-0000-0000AF1A0000}"/>
    <cellStyle name="Millares 2 2 4 3 2" xfId="7154" xr:uid="{00000000-0005-0000-0000-0000F21B0000}"/>
    <cellStyle name="Millares 2 2 4 3 2 2" xfId="7795" xr:uid="{00000000-0005-0000-0000-0000731E0000}"/>
    <cellStyle name="Millares 2 2 4 3 2 2 2" xfId="11635" xr:uid="{BB3B38F0-EF6F-45EB-BA37-D8DC3EAD7CDD}"/>
    <cellStyle name="Millares 2 2 4 3 2 3" xfId="10994" xr:uid="{6A6D995F-FE5A-4F98-A77D-50D04DD24EA2}"/>
    <cellStyle name="Millares 2 2 4 3 3" xfId="7472" xr:uid="{00000000-0005-0000-0000-0000301D0000}"/>
    <cellStyle name="Millares 2 2 4 3 3 2" xfId="11312" xr:uid="{189FC563-32E2-4F80-8339-848C74186011}"/>
    <cellStyle name="Millares 2 2 4 3 4" xfId="10671" xr:uid="{282DCE37-4910-48AC-8871-5624D6DC0078}"/>
    <cellStyle name="Millares 2 2 4 4" xfId="6990" xr:uid="{00000000-0005-0000-0000-00004E1B0000}"/>
    <cellStyle name="Millares 2 2 4 4 2" xfId="7631" xr:uid="{00000000-0005-0000-0000-0000CF1D0000}"/>
    <cellStyle name="Millares 2 2 4 4 2 2" xfId="11471" xr:uid="{3EB106DE-2DA1-48BB-8521-3F755E11BFF2}"/>
    <cellStyle name="Millares 2 2 4 4 3" xfId="10830" xr:uid="{66B02DC4-B98E-4154-8199-C0A7A40EEF2E}"/>
    <cellStyle name="Millares 2 2 4 5" xfId="7308" xr:uid="{00000000-0005-0000-0000-00008C1C0000}"/>
    <cellStyle name="Millares 2 2 4 5 2" xfId="11148" xr:uid="{199E58BA-4E24-4739-8E6B-9E584D52D6AC}"/>
    <cellStyle name="Millares 2 2 4 6" xfId="9986" xr:uid="{B6E7F665-C5B8-45E3-93FD-7F849EEE5503}"/>
    <cellStyle name="Millares 2 2 5" xfId="5135" xr:uid="{00000000-0005-0000-0000-00000F140000}"/>
    <cellStyle name="Millares 2 2_Deuda septiembre_marcos" xfId="1996" xr:uid="{00000000-0005-0000-0000-0000CC070000}"/>
    <cellStyle name="Millares 2 3" xfId="3739" xr:uid="{00000000-0005-0000-0000-00009B0E0000}"/>
    <cellStyle name="Millares 2 3 2" xfId="5136" xr:uid="{00000000-0005-0000-0000-000010140000}"/>
    <cellStyle name="Millares 2 3 2 2" xfId="6832" xr:uid="{00000000-0005-0000-0000-0000B01A0000}"/>
    <cellStyle name="Millares 2 3 2 2 2" xfId="7155" xr:uid="{00000000-0005-0000-0000-0000F31B0000}"/>
    <cellStyle name="Millares 2 3 2 2 2 2" xfId="7796" xr:uid="{00000000-0005-0000-0000-0000741E0000}"/>
    <cellStyle name="Millares 2 3 2 2 2 2 2" xfId="11636" xr:uid="{6FB8996F-2096-4249-83F8-E682FCFF1ED0}"/>
    <cellStyle name="Millares 2 3 2 2 2 3" xfId="10995" xr:uid="{296A0B34-B28C-43E6-9C9B-67487FBC01DE}"/>
    <cellStyle name="Millares 2 3 2 2 3" xfId="7473" xr:uid="{00000000-0005-0000-0000-0000311D0000}"/>
    <cellStyle name="Millares 2 3 2 2 3 2" xfId="11313" xr:uid="{19FB85E5-9B64-4E56-80DA-1ED22503D72F}"/>
    <cellStyle name="Millares 2 3 2 2 4" xfId="10672" xr:uid="{BE585EA1-7740-458D-AB2D-C8405DECB6F7}"/>
    <cellStyle name="Millares 2 3 2 3" xfId="6991" xr:uid="{00000000-0005-0000-0000-00004F1B0000}"/>
    <cellStyle name="Millares 2 3 2 3 2" xfId="7632" xr:uid="{00000000-0005-0000-0000-0000D01D0000}"/>
    <cellStyle name="Millares 2 3 2 3 2 2" xfId="11472" xr:uid="{6A574394-5E7F-4B5E-A989-40510CA5DF30}"/>
    <cellStyle name="Millares 2 3 2 3 3" xfId="10831" xr:uid="{88AE2925-A797-4AB3-9965-1EABCBBCE3CB}"/>
    <cellStyle name="Millares 2 3 2 4" xfId="7309" xr:uid="{00000000-0005-0000-0000-00008D1C0000}"/>
    <cellStyle name="Millares 2 3 2 4 2" xfId="11149" xr:uid="{957627F3-3870-47D9-AC6B-B59C21C88007}"/>
    <cellStyle name="Millares 2 3 2 5" xfId="9987" xr:uid="{13471113-A630-4211-8DF5-596479C36375}"/>
    <cellStyle name="Millares 2 3 3" xfId="3821" xr:uid="{00000000-0005-0000-0000-0000ED0E0000}"/>
    <cellStyle name="Millares 2 3 3 2" xfId="6813" xr:uid="{00000000-0005-0000-0000-00009D1A0000}"/>
    <cellStyle name="Millares 2 3 3 2 2" xfId="7136" xr:uid="{00000000-0005-0000-0000-0000E01B0000}"/>
    <cellStyle name="Millares 2 3 3 2 2 2" xfId="7777" xr:uid="{00000000-0005-0000-0000-0000611E0000}"/>
    <cellStyle name="Millares 2 3 3 2 2 2 2" xfId="11617" xr:uid="{CD8FFCA6-1444-4F85-B33F-751BEF1E693B}"/>
    <cellStyle name="Millares 2 3 3 2 2 3" xfId="10976" xr:uid="{1DD4A4E3-4453-444D-8598-275944EB67A6}"/>
    <cellStyle name="Millares 2 3 3 2 3" xfId="7454" xr:uid="{00000000-0005-0000-0000-00001E1D0000}"/>
    <cellStyle name="Millares 2 3 3 2 3 2" xfId="11294" xr:uid="{075CFA3D-C0C4-492D-8E33-BAED59D12B30}"/>
    <cellStyle name="Millares 2 3 3 2 4" xfId="10653" xr:uid="{6341ECCF-9A27-4CD9-84FB-30C7FECD7951}"/>
    <cellStyle name="Millares 2 3 3 3" xfId="6972" xr:uid="{00000000-0005-0000-0000-00003C1B0000}"/>
    <cellStyle name="Millares 2 3 3 3 2" xfId="7613" xr:uid="{00000000-0005-0000-0000-0000BD1D0000}"/>
    <cellStyle name="Millares 2 3 3 3 2 2" xfId="11453" xr:uid="{F39CDD01-A581-4C19-AEC0-1FD2CCB9D2F2}"/>
    <cellStyle name="Millares 2 3 3 3 3" xfId="10812" xr:uid="{02353C7A-6CCF-4BDB-AB11-989C5894514C}"/>
    <cellStyle name="Millares 2 3 3 4" xfId="7292" xr:uid="{00000000-0005-0000-0000-00007C1C0000}"/>
    <cellStyle name="Millares 2 3 3 4 2" xfId="11132" xr:uid="{9D4D0CFB-4098-4618-BC74-04A2A0DD998B}"/>
    <cellStyle name="Millares 2 3 3 5" xfId="8991" xr:uid="{3505CD29-0057-4C92-84DD-152AFA7B3AB1}"/>
    <cellStyle name="Millares 2 3 4" xfId="6782" xr:uid="{00000000-0005-0000-0000-00007E1A0000}"/>
    <cellStyle name="Millares 2 3 4 2" xfId="7105" xr:uid="{00000000-0005-0000-0000-0000C11B0000}"/>
    <cellStyle name="Millares 2 3 4 2 2" xfId="7746" xr:uid="{00000000-0005-0000-0000-0000421E0000}"/>
    <cellStyle name="Millares 2 3 4 2 2 2" xfId="11586" xr:uid="{D663D3C6-232B-429E-95EE-EC268B8E5D11}"/>
    <cellStyle name="Millares 2 3 4 2 3" xfId="10945" xr:uid="{AE411BF5-9F94-4887-BB3A-205D83EF2EE5}"/>
    <cellStyle name="Millares 2 3 4 3" xfId="7423" xr:uid="{00000000-0005-0000-0000-0000FF1C0000}"/>
    <cellStyle name="Millares 2 3 4 3 2" xfId="11263" xr:uid="{D0C3E4E4-5BC6-4D1D-9021-4B3661551A28}"/>
    <cellStyle name="Millares 2 3 4 4" xfId="10622" xr:uid="{19F3EB7B-7D59-489E-B436-B8AFAF5799BF}"/>
    <cellStyle name="Millares 2 3 5" xfId="6941" xr:uid="{00000000-0005-0000-0000-00001D1B0000}"/>
    <cellStyle name="Millares 2 3 5 2" xfId="7582" xr:uid="{00000000-0005-0000-0000-00009E1D0000}"/>
    <cellStyle name="Millares 2 3 5 2 2" xfId="11422" xr:uid="{B27B98DE-0610-4EC5-8FC3-E1D12C556BAC}"/>
    <cellStyle name="Millares 2 3 5 3" xfId="10781" xr:uid="{D970E015-22E0-4FCF-B86D-2AB87A36BF72}"/>
    <cellStyle name="Millares 2 3 6" xfId="7261" xr:uid="{00000000-0005-0000-0000-00005D1C0000}"/>
    <cellStyle name="Millares 2 3 6 2" xfId="11101" xr:uid="{5B844947-046E-4071-8536-58B55B5AF55D}"/>
    <cellStyle name="Millares 2 3 7" xfId="8960" xr:uid="{A00603B4-BFF3-4885-BACF-42F5AD74E4AA}"/>
    <cellStyle name="Millares 2 4" xfId="5137" xr:uid="{00000000-0005-0000-0000-000011140000}"/>
    <cellStyle name="Millares 2 4 2" xfId="5138" xr:uid="{00000000-0005-0000-0000-000012140000}"/>
    <cellStyle name="Millares 2 4 2 2" xfId="6833" xr:uid="{00000000-0005-0000-0000-0000B11A0000}"/>
    <cellStyle name="Millares 2 4 2 2 2" xfId="7156" xr:uid="{00000000-0005-0000-0000-0000F41B0000}"/>
    <cellStyle name="Millares 2 4 2 2 2 2" xfId="7797" xr:uid="{00000000-0005-0000-0000-0000751E0000}"/>
    <cellStyle name="Millares 2 4 2 2 2 2 2" xfId="11637" xr:uid="{849C6774-ACE7-4548-B821-24B45BDFBF53}"/>
    <cellStyle name="Millares 2 4 2 2 2 3" xfId="10996" xr:uid="{620F7B09-C155-4553-A4D1-FB8D89D6652C}"/>
    <cellStyle name="Millares 2 4 2 2 3" xfId="7474" xr:uid="{00000000-0005-0000-0000-0000321D0000}"/>
    <cellStyle name="Millares 2 4 2 2 3 2" xfId="11314" xr:uid="{75478E16-1756-4888-82BF-D8B3D509F086}"/>
    <cellStyle name="Millares 2 4 2 2 4" xfId="10673" xr:uid="{FD172B84-DCC7-4FB1-9300-3A8258304C30}"/>
    <cellStyle name="Millares 2 4 2 3" xfId="6992" xr:uid="{00000000-0005-0000-0000-0000501B0000}"/>
    <cellStyle name="Millares 2 4 2 3 2" xfId="7633" xr:uid="{00000000-0005-0000-0000-0000D11D0000}"/>
    <cellStyle name="Millares 2 4 2 3 2 2" xfId="11473" xr:uid="{D55377C0-E65D-4025-BA94-A5CB32CA52F1}"/>
    <cellStyle name="Millares 2 4 2 3 3" xfId="10832" xr:uid="{347E6336-23AD-4588-B892-D3B17C9FC8DD}"/>
    <cellStyle name="Millares 2 4 2 4" xfId="7310" xr:uid="{00000000-0005-0000-0000-00008E1C0000}"/>
    <cellStyle name="Millares 2 4 2 4 2" xfId="11150" xr:uid="{647CDD36-7669-469F-8AC0-B07F5A50DF81}"/>
    <cellStyle name="Millares 2 4 2 5" xfId="9988" xr:uid="{790C6FC1-F187-45D0-822E-616BD9B53728}"/>
    <cellStyle name="Millares 2 5" xfId="5139" xr:uid="{00000000-0005-0000-0000-000013140000}"/>
    <cellStyle name="Millares 2 6" xfId="5140" xr:uid="{00000000-0005-0000-0000-000014140000}"/>
    <cellStyle name="Millares 2 7" xfId="6715" xr:uid="{00000000-0005-0000-0000-00003B1A0000}"/>
    <cellStyle name="Millares 2 7 2" xfId="6882" xr:uid="{00000000-0005-0000-0000-0000E21A0000}"/>
    <cellStyle name="Millares 2 7 2 2" xfId="7205" xr:uid="{00000000-0005-0000-0000-0000251C0000}"/>
    <cellStyle name="Millares 2 7 2 2 2" xfId="7846" xr:uid="{00000000-0005-0000-0000-0000A61E0000}"/>
    <cellStyle name="Millares 2 7 2 2 2 2" xfId="11686" xr:uid="{90268141-DE8F-4106-8756-8C3E505E29EE}"/>
    <cellStyle name="Millares 2 7 2 2 3" xfId="11045" xr:uid="{6EA8A063-71DF-4D45-9DB9-4B21C0130DC2}"/>
    <cellStyle name="Millares 2 7 2 3" xfId="7523" xr:uid="{00000000-0005-0000-0000-0000631D0000}"/>
    <cellStyle name="Millares 2 7 2 3 2" xfId="11363" xr:uid="{04734BD1-676B-492B-9ECA-E787F92DDFBE}"/>
    <cellStyle name="Millares 2 7 2 4" xfId="10722" xr:uid="{A71A3DC0-7BA6-4E35-9AF8-DF188A40089A}"/>
    <cellStyle name="Millares 2 7 3" xfId="7039" xr:uid="{00000000-0005-0000-0000-00007F1B0000}"/>
    <cellStyle name="Millares 2 7 3 2" xfId="7680" xr:uid="{00000000-0005-0000-0000-0000001E0000}"/>
    <cellStyle name="Millares 2 7 3 2 2" xfId="11520" xr:uid="{495D0DA2-94DC-4C61-AB3A-19E80E9827B9}"/>
    <cellStyle name="Millares 2 7 3 3" xfId="10879" xr:uid="{E39011A4-2F71-43DC-B8F3-8FE6BB4DA035}"/>
    <cellStyle name="Millares 2 7 4" xfId="7357" xr:uid="{00000000-0005-0000-0000-0000BD1C0000}"/>
    <cellStyle name="Millares 2 7 4 2" xfId="11197" xr:uid="{B20F611D-82DC-4821-9772-3D631B4F4411}"/>
    <cellStyle name="Millares 2 7 5" xfId="10556" xr:uid="{48C9B24C-CD14-49D4-9A05-E5881A46D883}"/>
    <cellStyle name="Millares 2 8" xfId="6719" xr:uid="{00000000-0005-0000-0000-00003F1A0000}"/>
    <cellStyle name="Millares 2 8 2" xfId="6885" xr:uid="{00000000-0005-0000-0000-0000E51A0000}"/>
    <cellStyle name="Millares 2 8 2 2" xfId="7208" xr:uid="{00000000-0005-0000-0000-0000281C0000}"/>
    <cellStyle name="Millares 2 8 2 2 2" xfId="7849" xr:uid="{00000000-0005-0000-0000-0000A91E0000}"/>
    <cellStyle name="Millares 2 8 2 2 2 2" xfId="11689" xr:uid="{2ED6F0EB-6439-4582-9978-7D64292DB0F6}"/>
    <cellStyle name="Millares 2 8 2 2 3" xfId="11048" xr:uid="{BDF851E7-70DF-4B5E-886E-963D72225F68}"/>
    <cellStyle name="Millares 2 8 2 3" xfId="7526" xr:uid="{00000000-0005-0000-0000-0000661D0000}"/>
    <cellStyle name="Millares 2 8 2 3 2" xfId="11366" xr:uid="{F01B38E8-1997-4879-9B73-D964F6DF31FC}"/>
    <cellStyle name="Millares 2 8 2 4" xfId="10725" xr:uid="{AFD9B370-4532-474B-B272-73CDC99D28A7}"/>
    <cellStyle name="Millares 2 8 3" xfId="7042" xr:uid="{00000000-0005-0000-0000-0000821B0000}"/>
    <cellStyle name="Millares 2 8 3 2" xfId="7683" xr:uid="{00000000-0005-0000-0000-0000031E0000}"/>
    <cellStyle name="Millares 2 8 3 2 2" xfId="11523" xr:uid="{7E4EC358-C3CD-462C-8B64-3EE9A7C3390F}"/>
    <cellStyle name="Millares 2 8 3 3" xfId="10882" xr:uid="{BB035A32-CF27-4BFC-B726-4F89FCAA7551}"/>
    <cellStyle name="Millares 2 8 4" xfId="7360" xr:uid="{00000000-0005-0000-0000-0000C01C0000}"/>
    <cellStyle name="Millares 2 8 4 2" xfId="11200" xr:uid="{7E19BCF6-E530-4D2C-948D-0DD07BD77C7F}"/>
    <cellStyle name="Millares 2 8 5" xfId="10559" xr:uid="{C1A5AAED-9DA9-4FB7-8641-0012F2A939B6}"/>
    <cellStyle name="Millares 2 9" xfId="6718" xr:uid="{00000000-0005-0000-0000-00003E1A0000}"/>
    <cellStyle name="Millares 2 9 2" xfId="6884" xr:uid="{00000000-0005-0000-0000-0000E41A0000}"/>
    <cellStyle name="Millares 2 9 2 2" xfId="7207" xr:uid="{00000000-0005-0000-0000-0000271C0000}"/>
    <cellStyle name="Millares 2 9 2 2 2" xfId="7848" xr:uid="{00000000-0005-0000-0000-0000A81E0000}"/>
    <cellStyle name="Millares 2 9 2 2 2 2" xfId="11688" xr:uid="{053E9AA5-A87D-413C-9DED-85A31DBE5AFD}"/>
    <cellStyle name="Millares 2 9 2 2 3" xfId="11047" xr:uid="{164C0D88-1890-4333-84C1-97E39932FC51}"/>
    <cellStyle name="Millares 2 9 2 3" xfId="7525" xr:uid="{00000000-0005-0000-0000-0000651D0000}"/>
    <cellStyle name="Millares 2 9 2 3 2" xfId="11365" xr:uid="{4D80C247-DA07-45ED-84B3-7EBBDDE897F8}"/>
    <cellStyle name="Millares 2 9 2 4" xfId="10724" xr:uid="{7939016D-FF2D-4E7E-A225-97A85429E1F7}"/>
    <cellStyle name="Millares 2 9 3" xfId="7041" xr:uid="{00000000-0005-0000-0000-0000811B0000}"/>
    <cellStyle name="Millares 2 9 3 2" xfId="7682" xr:uid="{00000000-0005-0000-0000-0000021E0000}"/>
    <cellStyle name="Millares 2 9 3 2 2" xfId="11522" xr:uid="{FB61179D-825E-44F1-BB05-2620B3ACB3FD}"/>
    <cellStyle name="Millares 2 9 3 3" xfId="10881" xr:uid="{94F3A9B1-63E3-4A71-8A83-6ABC8A493809}"/>
    <cellStyle name="Millares 2 9 4" xfId="7359" xr:uid="{00000000-0005-0000-0000-0000BF1C0000}"/>
    <cellStyle name="Millares 2 9 4 2" xfId="11199" xr:uid="{ADEA073F-2AB6-47F9-93F2-1BA47912D541}"/>
    <cellStyle name="Millares 2 9 5" xfId="10558" xr:uid="{8D4E8670-03D7-4BDA-BFAF-6DA73CCA0AB7}"/>
    <cellStyle name="Millares 2_Deuda septiembre_marcos" xfId="1997" xr:uid="{00000000-0005-0000-0000-0000CD070000}"/>
    <cellStyle name="Millares 20" xfId="5141" xr:uid="{00000000-0005-0000-0000-000015140000}"/>
    <cellStyle name="Millares 20 2" xfId="5142" xr:uid="{00000000-0005-0000-0000-000016140000}"/>
    <cellStyle name="Millares 20 2 2" xfId="6834" xr:uid="{00000000-0005-0000-0000-0000B21A0000}"/>
    <cellStyle name="Millares 20 2 2 2" xfId="7157" xr:uid="{00000000-0005-0000-0000-0000F51B0000}"/>
    <cellStyle name="Millares 20 2 2 2 2" xfId="7798" xr:uid="{00000000-0005-0000-0000-0000761E0000}"/>
    <cellStyle name="Millares 20 2 2 2 2 2" xfId="11638" xr:uid="{D52406CC-5EC1-409C-9C70-A1F4F1A99D00}"/>
    <cellStyle name="Millares 20 2 2 2 3" xfId="10997" xr:uid="{5DE61D9D-9561-4DAF-8B80-FC597ADF2E81}"/>
    <cellStyle name="Millares 20 2 2 3" xfId="7475" xr:uid="{00000000-0005-0000-0000-0000331D0000}"/>
    <cellStyle name="Millares 20 2 2 3 2" xfId="11315" xr:uid="{6EB0C7B4-3995-45E4-B2CE-58B2E99C0EC3}"/>
    <cellStyle name="Millares 20 2 2 4" xfId="10674" xr:uid="{70CF6279-60FB-4F39-97FF-E631F5C5D357}"/>
    <cellStyle name="Millares 20 2 3" xfId="6993" xr:uid="{00000000-0005-0000-0000-0000511B0000}"/>
    <cellStyle name="Millares 20 2 3 2" xfId="7634" xr:uid="{00000000-0005-0000-0000-0000D21D0000}"/>
    <cellStyle name="Millares 20 2 3 2 2" xfId="11474" xr:uid="{6F61558E-BA8E-4530-9417-E70CE207EE5F}"/>
    <cellStyle name="Millares 20 2 3 3" xfId="10833" xr:uid="{E7145D3B-B28E-4840-B113-8A42ACD3591B}"/>
    <cellStyle name="Millares 20 2 4" xfId="7311" xr:uid="{00000000-0005-0000-0000-00008F1C0000}"/>
    <cellStyle name="Millares 20 2 4 2" xfId="11151" xr:uid="{17271204-15FB-4E9B-8726-9A575540BCCE}"/>
    <cellStyle name="Millares 20 2 5" xfId="9989" xr:uid="{E9D66389-4F98-43F1-A0A3-FE87370DA453}"/>
    <cellStyle name="Millares 21" xfId="5143" xr:uid="{00000000-0005-0000-0000-000017140000}"/>
    <cellStyle name="Millares 21 2" xfId="5144" xr:uid="{00000000-0005-0000-0000-000018140000}"/>
    <cellStyle name="Millares 21 2 2" xfId="6835" xr:uid="{00000000-0005-0000-0000-0000B31A0000}"/>
    <cellStyle name="Millares 21 2 2 2" xfId="7158" xr:uid="{00000000-0005-0000-0000-0000F61B0000}"/>
    <cellStyle name="Millares 21 2 2 2 2" xfId="7799" xr:uid="{00000000-0005-0000-0000-0000771E0000}"/>
    <cellStyle name="Millares 21 2 2 2 2 2" xfId="11639" xr:uid="{5A3B342C-3FFA-4FEB-956E-D1835E21C5F0}"/>
    <cellStyle name="Millares 21 2 2 2 3" xfId="10998" xr:uid="{F647BEF0-4A0B-448F-89B5-BABC83B454FF}"/>
    <cellStyle name="Millares 21 2 2 3" xfId="7476" xr:uid="{00000000-0005-0000-0000-0000341D0000}"/>
    <cellStyle name="Millares 21 2 2 3 2" xfId="11316" xr:uid="{C9CEB779-2ADA-453F-82FC-68E015178203}"/>
    <cellStyle name="Millares 21 2 2 4" xfId="10675" xr:uid="{5FD07749-77D8-40B4-9859-B61385AB5AC1}"/>
    <cellStyle name="Millares 21 2 3" xfId="6994" xr:uid="{00000000-0005-0000-0000-0000521B0000}"/>
    <cellStyle name="Millares 21 2 3 2" xfId="7635" xr:uid="{00000000-0005-0000-0000-0000D31D0000}"/>
    <cellStyle name="Millares 21 2 3 2 2" xfId="11475" xr:uid="{228EC879-1E07-45F1-90CE-9CAEFF56A059}"/>
    <cellStyle name="Millares 21 2 3 3" xfId="10834" xr:uid="{24BD51EF-1213-4D0C-BFA6-FBBA71279F86}"/>
    <cellStyle name="Millares 21 2 4" xfId="7312" xr:uid="{00000000-0005-0000-0000-0000901C0000}"/>
    <cellStyle name="Millares 21 2 4 2" xfId="11152" xr:uid="{3CF87A0D-2CBD-4EE8-85E9-831548D80155}"/>
    <cellStyle name="Millares 21 2 5" xfId="9990" xr:uid="{D2BB3036-C2AC-4998-8285-63A3FA16FCBB}"/>
    <cellStyle name="Millares 22" xfId="5145" xr:uid="{00000000-0005-0000-0000-000019140000}"/>
    <cellStyle name="Millares 22 2" xfId="23" xr:uid="{00000000-0005-0000-0000-000017000000}"/>
    <cellStyle name="Millares 22 2 2" xfId="7883" xr:uid="{8D56BD49-D33D-4A4E-A875-4D69CC724CFF}"/>
    <cellStyle name="Millares 22 5" xfId="7871" xr:uid="{6153E443-C3B9-40BF-BEEA-647223200799}"/>
    <cellStyle name="Millares 22 5 2" xfId="11710" xr:uid="{E35B6253-DE10-4209-B566-E912B94FECB7}"/>
    <cellStyle name="Millares 23" xfId="5146" xr:uid="{00000000-0005-0000-0000-00001A140000}"/>
    <cellStyle name="Millares 23 2" xfId="6836" xr:uid="{00000000-0005-0000-0000-0000B41A0000}"/>
    <cellStyle name="Millares 23 2 2" xfId="7159" xr:uid="{00000000-0005-0000-0000-0000F71B0000}"/>
    <cellStyle name="Millares 23 2 2 2" xfId="7800" xr:uid="{00000000-0005-0000-0000-0000781E0000}"/>
    <cellStyle name="Millares 23 2 2 2 2" xfId="11640" xr:uid="{6B40FBAE-EC16-402A-8972-B774A93FD3A0}"/>
    <cellStyle name="Millares 23 2 2 3" xfId="10999" xr:uid="{AD4AD61F-B81F-42DC-B4B7-544AB0D18CA8}"/>
    <cellStyle name="Millares 23 2 3" xfId="7477" xr:uid="{00000000-0005-0000-0000-0000351D0000}"/>
    <cellStyle name="Millares 23 2 3 2" xfId="11317" xr:uid="{DAA0D00C-1A40-4220-8A55-042295703712}"/>
    <cellStyle name="Millares 23 2 4" xfId="10676" xr:uid="{BC026961-8264-4971-84BF-20DFB7732CC0}"/>
    <cellStyle name="Millares 23 3" xfId="6995" xr:uid="{00000000-0005-0000-0000-0000531B0000}"/>
    <cellStyle name="Millares 23 3 2" xfId="7636" xr:uid="{00000000-0005-0000-0000-0000D41D0000}"/>
    <cellStyle name="Millares 23 3 2 2" xfId="11476" xr:uid="{808F8265-2F50-4F0A-9C39-820A4F9CCD31}"/>
    <cellStyle name="Millares 23 3 3" xfId="10835" xr:uid="{C5408E1F-267B-4087-8E03-92756B0CE0D9}"/>
    <cellStyle name="Millares 23 4" xfId="7313" xr:uid="{00000000-0005-0000-0000-0000911C0000}"/>
    <cellStyle name="Millares 23 4 2" xfId="11153" xr:uid="{53A20927-C539-4E48-9271-C289CF00B49E}"/>
    <cellStyle name="Millares 23 5" xfId="9991" xr:uid="{EDFB5720-DF8B-43BF-924F-406895ABA403}"/>
    <cellStyle name="Millares 24" xfId="5147" xr:uid="{00000000-0005-0000-0000-00001B140000}"/>
    <cellStyle name="Millares 24 2" xfId="6837" xr:uid="{00000000-0005-0000-0000-0000B51A0000}"/>
    <cellStyle name="Millares 24 2 2" xfId="7160" xr:uid="{00000000-0005-0000-0000-0000F81B0000}"/>
    <cellStyle name="Millares 24 2 2 2" xfId="7801" xr:uid="{00000000-0005-0000-0000-0000791E0000}"/>
    <cellStyle name="Millares 24 2 2 2 2" xfId="11641" xr:uid="{6537FD46-20A4-40F9-907D-5749671F4E96}"/>
    <cellStyle name="Millares 24 2 2 3" xfId="11000" xr:uid="{7E376C62-DCAF-445C-98DF-B5ECD8037455}"/>
    <cellStyle name="Millares 24 2 3" xfId="7478" xr:uid="{00000000-0005-0000-0000-0000361D0000}"/>
    <cellStyle name="Millares 24 2 3 2" xfId="11318" xr:uid="{EEC4B7CC-D95A-48FF-A776-E7357C059C2F}"/>
    <cellStyle name="Millares 24 2 4" xfId="10677" xr:uid="{F40FD1F8-5BCB-443B-8DA5-66A0271629C9}"/>
    <cellStyle name="Millares 24 3" xfId="6996" xr:uid="{00000000-0005-0000-0000-0000541B0000}"/>
    <cellStyle name="Millares 24 3 2" xfId="7637" xr:uid="{00000000-0005-0000-0000-0000D51D0000}"/>
    <cellStyle name="Millares 24 3 2 2" xfId="11477" xr:uid="{DD602AFF-C5F6-40D0-BCA7-5BB8D9F274D0}"/>
    <cellStyle name="Millares 24 3 3" xfId="10836" xr:uid="{E53805B7-720D-4678-BBAF-B8FA8C5C6F76}"/>
    <cellStyle name="Millares 24 4" xfId="7314" xr:uid="{00000000-0005-0000-0000-0000921C0000}"/>
    <cellStyle name="Millares 24 4 2" xfId="11154" xr:uid="{24C1ECCA-9EC3-4A51-9E1B-A7CB7CB8AA30}"/>
    <cellStyle name="Millares 24 5" xfId="9992" xr:uid="{C5456A6C-FDC4-4AB9-A8C0-52985A8D4E49}"/>
    <cellStyle name="Millares 25" xfId="5148" xr:uid="{00000000-0005-0000-0000-00001C140000}"/>
    <cellStyle name="Millares 25 2" xfId="6838" xr:uid="{00000000-0005-0000-0000-0000B61A0000}"/>
    <cellStyle name="Millares 25 2 2" xfId="7161" xr:uid="{00000000-0005-0000-0000-0000F91B0000}"/>
    <cellStyle name="Millares 25 2 2 2" xfId="7802" xr:uid="{00000000-0005-0000-0000-00007A1E0000}"/>
    <cellStyle name="Millares 25 2 2 2 2" xfId="11642" xr:uid="{4712826D-C9A5-414E-B74E-3F9C54A5903A}"/>
    <cellStyle name="Millares 25 2 2 3" xfId="11001" xr:uid="{03BD9FF5-9D20-406D-8A20-8886472D5889}"/>
    <cellStyle name="Millares 25 2 3" xfId="7479" xr:uid="{00000000-0005-0000-0000-0000371D0000}"/>
    <cellStyle name="Millares 25 2 3 2" xfId="11319" xr:uid="{4B84B348-256D-4CFB-A218-8794247C6F21}"/>
    <cellStyle name="Millares 25 2 4" xfId="10678" xr:uid="{AC14E9D5-C44F-4C0D-9482-E601E7964221}"/>
    <cellStyle name="Millares 25 3" xfId="6997" xr:uid="{00000000-0005-0000-0000-0000551B0000}"/>
    <cellStyle name="Millares 25 3 2" xfId="7638" xr:uid="{00000000-0005-0000-0000-0000D61D0000}"/>
    <cellStyle name="Millares 25 3 2 2" xfId="11478" xr:uid="{0E4BC5AB-3157-4633-9CC6-749AB45463CB}"/>
    <cellStyle name="Millares 25 3 3" xfId="10837" xr:uid="{17F6C31E-E1DA-4D1A-8F91-F91CE26158DA}"/>
    <cellStyle name="Millares 25 4" xfId="7315" xr:uid="{00000000-0005-0000-0000-0000931C0000}"/>
    <cellStyle name="Millares 25 4 2" xfId="11155" xr:uid="{D14AD4C5-6A35-47BC-8232-BEC6A38B43D4}"/>
    <cellStyle name="Millares 25 5" xfId="9993" xr:uid="{8633A665-3775-4068-B731-23B176422133}"/>
    <cellStyle name="Millares 26" xfId="5149" xr:uid="{00000000-0005-0000-0000-00001D140000}"/>
    <cellStyle name="Millares 26 2" xfId="6839" xr:uid="{00000000-0005-0000-0000-0000B71A0000}"/>
    <cellStyle name="Millares 26 2 2" xfId="7162" xr:uid="{00000000-0005-0000-0000-0000FA1B0000}"/>
    <cellStyle name="Millares 26 2 2 2" xfId="7803" xr:uid="{00000000-0005-0000-0000-00007B1E0000}"/>
    <cellStyle name="Millares 26 2 2 2 2" xfId="11643" xr:uid="{E9F0EC86-7CC3-40A5-8D6B-3A68548C3024}"/>
    <cellStyle name="Millares 26 2 2 3" xfId="11002" xr:uid="{DD35D0EF-6A51-4D22-A5E2-D46525BA44F3}"/>
    <cellStyle name="Millares 26 2 3" xfId="7480" xr:uid="{00000000-0005-0000-0000-0000381D0000}"/>
    <cellStyle name="Millares 26 2 3 2" xfId="11320" xr:uid="{3338A249-4904-44E1-A1CF-C421859B8C33}"/>
    <cellStyle name="Millares 26 2 4" xfId="10679" xr:uid="{2C42B4BD-0343-479D-8440-CC8429E81C90}"/>
    <cellStyle name="Millares 26 3" xfId="6998" xr:uid="{00000000-0005-0000-0000-0000561B0000}"/>
    <cellStyle name="Millares 26 3 2" xfId="7639" xr:uid="{00000000-0005-0000-0000-0000D71D0000}"/>
    <cellStyle name="Millares 26 3 2 2" xfId="11479" xr:uid="{336C0EB0-644B-45F4-9DEF-E195AE388435}"/>
    <cellStyle name="Millares 26 3 3" xfId="10838" xr:uid="{1EEABB9D-CDC4-49A0-B75C-9B3B22B8B06E}"/>
    <cellStyle name="Millares 26 4" xfId="7316" xr:uid="{00000000-0005-0000-0000-0000941C0000}"/>
    <cellStyle name="Millares 26 4 2" xfId="11156" xr:uid="{947C4615-1EC4-482A-9796-C70816FB77AE}"/>
    <cellStyle name="Millares 26 5" xfId="9994" xr:uid="{922645AF-752B-4025-B45A-A7A5F5E3A880}"/>
    <cellStyle name="Millares 27" xfId="5150" xr:uid="{00000000-0005-0000-0000-00001E140000}"/>
    <cellStyle name="Millares 27 2" xfId="6840" xr:uid="{00000000-0005-0000-0000-0000B81A0000}"/>
    <cellStyle name="Millares 27 2 2" xfId="7163" xr:uid="{00000000-0005-0000-0000-0000FB1B0000}"/>
    <cellStyle name="Millares 27 2 2 2" xfId="7804" xr:uid="{00000000-0005-0000-0000-00007C1E0000}"/>
    <cellStyle name="Millares 27 2 2 2 2" xfId="11644" xr:uid="{6AB359C3-E266-4C5B-846C-12E8B8FBE41C}"/>
    <cellStyle name="Millares 27 2 2 3" xfId="11003" xr:uid="{0BF0BF65-A480-4D86-BAFC-5EEE32A17632}"/>
    <cellStyle name="Millares 27 2 3" xfId="7481" xr:uid="{00000000-0005-0000-0000-0000391D0000}"/>
    <cellStyle name="Millares 27 2 3 2" xfId="11321" xr:uid="{C5223E88-98AD-45D7-B2BE-8716D49FFA65}"/>
    <cellStyle name="Millares 27 2 4" xfId="10680" xr:uid="{0358224A-8DF3-4455-AEE8-D6A3ABB03343}"/>
    <cellStyle name="Millares 27 3" xfId="6999" xr:uid="{00000000-0005-0000-0000-0000571B0000}"/>
    <cellStyle name="Millares 27 3 2" xfId="7640" xr:uid="{00000000-0005-0000-0000-0000D81D0000}"/>
    <cellStyle name="Millares 27 3 2 2" xfId="11480" xr:uid="{734BED82-67C6-4BB0-BEA2-2D36D79ED47C}"/>
    <cellStyle name="Millares 27 3 3" xfId="10839" xr:uid="{B1ADF348-9BA8-4B86-96B7-06B740A00D71}"/>
    <cellStyle name="Millares 27 4" xfId="7317" xr:uid="{00000000-0005-0000-0000-0000951C0000}"/>
    <cellStyle name="Millares 27 4 2" xfId="11157" xr:uid="{6C25D96E-A25E-4B37-976E-677D9AF06ECE}"/>
    <cellStyle name="Millares 27 5" xfId="9995" xr:uid="{26123DE8-3F92-4D20-B7D1-DEBDCB36B0EC}"/>
    <cellStyle name="Millares 28" xfId="10" xr:uid="{00000000-0005-0000-0000-00000A000000}"/>
    <cellStyle name="Millares 28 2" xfId="6841" xr:uid="{00000000-0005-0000-0000-0000B91A0000}"/>
    <cellStyle name="Millares 28 2 2" xfId="7164" xr:uid="{00000000-0005-0000-0000-0000FC1B0000}"/>
    <cellStyle name="Millares 28 2 2 2" xfId="7805" xr:uid="{00000000-0005-0000-0000-00007D1E0000}"/>
    <cellStyle name="Millares 28 2 2 2 2" xfId="11645" xr:uid="{FF1D316F-972B-46A7-B061-A5BF31DF7840}"/>
    <cellStyle name="Millares 28 2 2 3" xfId="11004" xr:uid="{459DBB06-CFF3-499E-8D21-A626005208D1}"/>
    <cellStyle name="Millares 28 2 3" xfId="7482" xr:uid="{00000000-0005-0000-0000-00003A1D0000}"/>
    <cellStyle name="Millares 28 2 3 2" xfId="11322" xr:uid="{2CB65AA2-7C47-44CA-95BB-5515E47D2C53}"/>
    <cellStyle name="Millares 28 2 4" xfId="10681" xr:uid="{75CF23E1-243B-4F04-9038-3B004C0AA19F}"/>
    <cellStyle name="Millares 28 3" xfId="7000" xr:uid="{00000000-0005-0000-0000-0000581B0000}"/>
    <cellStyle name="Millares 28 3 2" xfId="7641" xr:uid="{00000000-0005-0000-0000-0000D91D0000}"/>
    <cellStyle name="Millares 28 3 2 2" xfId="11481" xr:uid="{E26D7B6F-A83B-497A-8BAC-DAFEA1983240}"/>
    <cellStyle name="Millares 28 3 3" xfId="10840" xr:uid="{A6681C77-E3EC-48B2-9035-72BCFA210FFE}"/>
    <cellStyle name="Millares 28 4" xfId="5151" xr:uid="{00000000-0005-0000-0000-00001F140000}"/>
    <cellStyle name="Millares 28 4 2" xfId="9996" xr:uid="{1171D31C-5986-4C2C-9C03-7E6E350410EF}"/>
    <cellStyle name="Millares 28 5" xfId="7318" xr:uid="{00000000-0005-0000-0000-0000961C0000}"/>
    <cellStyle name="Millares 28 5 2" xfId="11158" xr:uid="{AC20B7A5-37F1-4007-B9A8-35CA805CF67E}"/>
    <cellStyle name="Millares 29" xfId="5152" xr:uid="{00000000-0005-0000-0000-000020140000}"/>
    <cellStyle name="Millares 29 2" xfId="5153" xr:uid="{00000000-0005-0000-0000-000021140000}"/>
    <cellStyle name="Millares 29 2 2" xfId="6843" xr:uid="{00000000-0005-0000-0000-0000BB1A0000}"/>
    <cellStyle name="Millares 29 2 2 2" xfId="7166" xr:uid="{00000000-0005-0000-0000-0000FE1B0000}"/>
    <cellStyle name="Millares 29 2 2 2 2" xfId="7807" xr:uid="{00000000-0005-0000-0000-00007F1E0000}"/>
    <cellStyle name="Millares 29 2 2 2 2 2" xfId="11647" xr:uid="{397A6EDB-1E49-4CB1-A9E0-4F79BA540DF6}"/>
    <cellStyle name="Millares 29 2 2 2 3" xfId="11006" xr:uid="{12E6EEB8-0824-46EE-920B-D92F8AE91A6F}"/>
    <cellStyle name="Millares 29 2 2 3" xfId="7484" xr:uid="{00000000-0005-0000-0000-00003C1D0000}"/>
    <cellStyle name="Millares 29 2 2 3 2" xfId="11324" xr:uid="{8F8A779C-7465-4D9A-B940-F9736B7DE77A}"/>
    <cellStyle name="Millares 29 2 2 4" xfId="10683" xr:uid="{6C7251CD-4358-4D82-85DA-F12EC07EF0C2}"/>
    <cellStyle name="Millares 29 2 3" xfId="7002" xr:uid="{00000000-0005-0000-0000-00005A1B0000}"/>
    <cellStyle name="Millares 29 2 3 2" xfId="7643" xr:uid="{00000000-0005-0000-0000-0000DB1D0000}"/>
    <cellStyle name="Millares 29 2 3 2 2" xfId="11483" xr:uid="{B57F0A29-4CFA-4145-9234-5780C4545F7C}"/>
    <cellStyle name="Millares 29 2 3 3" xfId="10842" xr:uid="{B3D50CB0-1813-40B8-87F8-0B9E969EE6DD}"/>
    <cellStyle name="Millares 29 2 4" xfId="7320" xr:uid="{00000000-0005-0000-0000-0000981C0000}"/>
    <cellStyle name="Millares 29 2 4 2" xfId="11160" xr:uid="{A0B4D9D4-7550-4573-91F9-390255B433E0}"/>
    <cellStyle name="Millares 29 2 5" xfId="9998" xr:uid="{E8437645-29F5-4739-9D3E-5469AAB1019F}"/>
    <cellStyle name="Millares 29 3" xfId="6842" xr:uid="{00000000-0005-0000-0000-0000BA1A0000}"/>
    <cellStyle name="Millares 29 3 2" xfId="7165" xr:uid="{00000000-0005-0000-0000-0000FD1B0000}"/>
    <cellStyle name="Millares 29 3 2 2" xfId="7806" xr:uid="{00000000-0005-0000-0000-00007E1E0000}"/>
    <cellStyle name="Millares 29 3 2 2 2" xfId="11646" xr:uid="{5CED6AC8-6EBE-4C8C-A285-58E772F6BBB7}"/>
    <cellStyle name="Millares 29 3 2 3" xfId="11005" xr:uid="{50E5BEC3-6A80-4F47-A5ED-0F805FEB70FB}"/>
    <cellStyle name="Millares 29 3 3" xfId="7483" xr:uid="{00000000-0005-0000-0000-00003B1D0000}"/>
    <cellStyle name="Millares 29 3 3 2" xfId="11323" xr:uid="{C4D9BE12-8BCB-498D-9E9D-A42B520F9644}"/>
    <cellStyle name="Millares 29 3 4" xfId="10682" xr:uid="{7AC03E78-C84F-40AA-A343-B326053D62F5}"/>
    <cellStyle name="Millares 29 4" xfId="7001" xr:uid="{00000000-0005-0000-0000-0000591B0000}"/>
    <cellStyle name="Millares 29 4 2" xfId="7642" xr:uid="{00000000-0005-0000-0000-0000DA1D0000}"/>
    <cellStyle name="Millares 29 4 2 2" xfId="11482" xr:uid="{76F5E9CA-5E33-4EF7-8396-7E576440B29A}"/>
    <cellStyle name="Millares 29 4 3" xfId="10841" xr:uid="{30792E72-9C67-465C-A5DE-091A24C5BE5C}"/>
    <cellStyle name="Millares 29 5" xfId="7319" xr:uid="{00000000-0005-0000-0000-0000971C0000}"/>
    <cellStyle name="Millares 29 5 2" xfId="11159" xr:uid="{5E6087B8-9668-4C8B-9061-7516AA6B0863}"/>
    <cellStyle name="Millares 29 6" xfId="9997" xr:uid="{55B4BCE2-9AA7-4081-9FF2-20CD3296B4A8}"/>
    <cellStyle name="Millares 3" xfId="20" xr:uid="{00000000-0005-0000-0000-000014000000}"/>
    <cellStyle name="Millares 3 10" xfId="3791" xr:uid="{00000000-0005-0000-0000-0000CF0E0000}"/>
    <cellStyle name="Millares 3 10 2" xfId="6784" xr:uid="{00000000-0005-0000-0000-0000801A0000}"/>
    <cellStyle name="Millares 3 10 2 2" xfId="7107" xr:uid="{00000000-0005-0000-0000-0000C31B0000}"/>
    <cellStyle name="Millares 3 10 2 2 2" xfId="7748" xr:uid="{00000000-0005-0000-0000-0000441E0000}"/>
    <cellStyle name="Millares 3 10 2 2 2 2" xfId="11588" xr:uid="{C532C367-A222-4106-B330-A67431C82100}"/>
    <cellStyle name="Millares 3 10 2 2 3" xfId="10947" xr:uid="{0CEE1373-5CD7-4FFE-B81D-A0ED258C5949}"/>
    <cellStyle name="Millares 3 10 2 3" xfId="7425" xr:uid="{00000000-0005-0000-0000-0000011D0000}"/>
    <cellStyle name="Millares 3 10 2 3 2" xfId="11265" xr:uid="{39E6476B-F17D-4074-AB9F-A5282EA51A29}"/>
    <cellStyle name="Millares 3 10 2 4" xfId="10624" xr:uid="{ECD6928D-8267-4193-9683-39D33FFE314D}"/>
    <cellStyle name="Millares 3 10 3" xfId="6943" xr:uid="{00000000-0005-0000-0000-00001F1B0000}"/>
    <cellStyle name="Millares 3 10 3 2" xfId="7584" xr:uid="{00000000-0005-0000-0000-0000A01D0000}"/>
    <cellStyle name="Millares 3 10 3 2 2" xfId="11424" xr:uid="{197B7BB3-BC27-42DF-80CF-E0C7D36BA7E3}"/>
    <cellStyle name="Millares 3 10 3 3" xfId="10783" xr:uid="{E37B08BE-545D-4BFC-BF50-D6BF4CA547E1}"/>
    <cellStyle name="Millares 3 10 4" xfId="7263" xr:uid="{00000000-0005-0000-0000-00005F1C0000}"/>
    <cellStyle name="Millares 3 10 4 2" xfId="11103" xr:uid="{63820246-F494-4DAD-8CA1-C2FD201D3ABA}"/>
    <cellStyle name="Millares 3 10 5" xfId="8962" xr:uid="{C32B709B-41C0-4244-9869-D2A7B1C739FA}"/>
    <cellStyle name="Millares 3 11" xfId="6743" xr:uid="{00000000-0005-0000-0000-0000571A0000}"/>
    <cellStyle name="Millares 3 11 2" xfId="7066" xr:uid="{00000000-0005-0000-0000-00009A1B0000}"/>
    <cellStyle name="Millares 3 11 2 2" xfId="7707" xr:uid="{00000000-0005-0000-0000-00001B1E0000}"/>
    <cellStyle name="Millares 3 11 2 2 2" xfId="11547" xr:uid="{07DC9A3A-2BED-4693-949A-8227188E83A0}"/>
    <cellStyle name="Millares 3 11 2 3" xfId="10906" xr:uid="{6971A738-2F32-4FD6-9509-86870A89A1A3}"/>
    <cellStyle name="Millares 3 11 3" xfId="7384" xr:uid="{00000000-0005-0000-0000-0000D81C0000}"/>
    <cellStyle name="Millares 3 11 3 2" xfId="11224" xr:uid="{70666547-4C97-4BFD-A894-F103ACAFD62D}"/>
    <cellStyle name="Millares 3 11 4" xfId="10583" xr:uid="{B9DCE738-456E-4CAD-9EAC-34C9A8DF9E32}"/>
    <cellStyle name="Millares 3 12" xfId="6912" xr:uid="{00000000-0005-0000-0000-0000001B0000}"/>
    <cellStyle name="Millares 3 12 2" xfId="7553" xr:uid="{00000000-0005-0000-0000-0000811D0000}"/>
    <cellStyle name="Millares 3 12 2 2" xfId="11393" xr:uid="{8F1CB97A-D204-459F-98E0-D164B3A86A2B}"/>
    <cellStyle name="Millares 3 12 3" xfId="10752" xr:uid="{C66764C1-BF59-457D-97D1-EF2A8B808965}"/>
    <cellStyle name="Millares 3 13" xfId="1998" xr:uid="{00000000-0005-0000-0000-0000CE070000}"/>
    <cellStyle name="Millares 3 13 2" xfId="8486" xr:uid="{BF5BED93-C951-4C9C-9AF7-73F974E38333}"/>
    <cellStyle name="Millares 3 14" xfId="7232" xr:uid="{00000000-0005-0000-0000-0000401C0000}"/>
    <cellStyle name="Millares 3 14 2" xfId="11072" xr:uid="{01E7AD25-A5D9-4291-AFF8-B563E697C35E}"/>
    <cellStyle name="Millares 3 15" xfId="7882" xr:uid="{CDD5A0E6-45A0-46DE-9431-6EDF7FC9499D}"/>
    <cellStyle name="Millares 3 2" xfId="1999" xr:uid="{00000000-0005-0000-0000-0000CF070000}"/>
    <cellStyle name="Millares 3 2 10" xfId="7233" xr:uid="{00000000-0005-0000-0000-0000411C0000}"/>
    <cellStyle name="Millares 3 2 10 2" xfId="11073" xr:uid="{1F006A56-2D37-4DD3-878E-14FBE4637DFB}"/>
    <cellStyle name="Millares 3 2 11" xfId="8487" xr:uid="{C5ABE63B-698B-4E16-ADEE-4756D5DC06D2}"/>
    <cellStyle name="Millares 3 2 2" xfId="5154" xr:uid="{00000000-0005-0000-0000-000022140000}"/>
    <cellStyle name="Millares 3 2 2 2" xfId="6844" xr:uid="{00000000-0005-0000-0000-0000BC1A0000}"/>
    <cellStyle name="Millares 3 2 2 2 2" xfId="7167" xr:uid="{00000000-0005-0000-0000-0000FF1B0000}"/>
    <cellStyle name="Millares 3 2 2 2 2 2" xfId="7808" xr:uid="{00000000-0005-0000-0000-0000801E0000}"/>
    <cellStyle name="Millares 3 2 2 2 2 2 2" xfId="11648" xr:uid="{51656ABE-9FC4-4DD2-91E3-FA3F5B08415D}"/>
    <cellStyle name="Millares 3 2 2 2 2 3" xfId="11007" xr:uid="{FD3B9EE3-ED8C-4882-8850-C6EE44A82A40}"/>
    <cellStyle name="Millares 3 2 2 2 3" xfId="7485" xr:uid="{00000000-0005-0000-0000-00003D1D0000}"/>
    <cellStyle name="Millares 3 2 2 2 3 2" xfId="11325" xr:uid="{7B516FD4-784E-49C3-AE3A-2663252DD598}"/>
    <cellStyle name="Millares 3 2 2 2 4" xfId="10684" xr:uid="{3D799F0B-9B03-4BC1-A794-32DD5F5439C2}"/>
    <cellStyle name="Millares 3 2 2 3" xfId="7003" xr:uid="{00000000-0005-0000-0000-00005B1B0000}"/>
    <cellStyle name="Millares 3 2 2 3 2" xfId="7644" xr:uid="{00000000-0005-0000-0000-0000DC1D0000}"/>
    <cellStyle name="Millares 3 2 2 3 2 2" xfId="11484" xr:uid="{A490E972-03FA-4B96-B7F5-5A339DC71939}"/>
    <cellStyle name="Millares 3 2 2 3 3" xfId="10843" xr:uid="{03821BFF-8E62-49FA-B5B1-B1905EEE20FC}"/>
    <cellStyle name="Millares 3 2 2 4" xfId="7321" xr:uid="{00000000-0005-0000-0000-0000991C0000}"/>
    <cellStyle name="Millares 3 2 2 4 2" xfId="11161" xr:uid="{87C7D26C-05BA-4954-927D-4BD488BEFA00}"/>
    <cellStyle name="Millares 3 2 2 5" xfId="9999" xr:uid="{3E936386-B980-4EBF-83D6-6CABB56586EC}"/>
    <cellStyle name="Millares 3 2 3" xfId="5155" xr:uid="{00000000-0005-0000-0000-000023140000}"/>
    <cellStyle name="Millares 3 2 3 2" xfId="6845" xr:uid="{00000000-0005-0000-0000-0000BD1A0000}"/>
    <cellStyle name="Millares 3 2 3 2 2" xfId="7168" xr:uid="{00000000-0005-0000-0000-0000001C0000}"/>
    <cellStyle name="Millares 3 2 3 2 2 2" xfId="7809" xr:uid="{00000000-0005-0000-0000-0000811E0000}"/>
    <cellStyle name="Millares 3 2 3 2 2 2 2" xfId="11649" xr:uid="{61F3AF00-7F4F-48E1-B954-F1B4C56D63CB}"/>
    <cellStyle name="Millares 3 2 3 2 2 3" xfId="11008" xr:uid="{274E6BA6-3664-4734-A815-AABEE8433FEB}"/>
    <cellStyle name="Millares 3 2 3 2 3" xfId="7486" xr:uid="{00000000-0005-0000-0000-00003E1D0000}"/>
    <cellStyle name="Millares 3 2 3 2 3 2" xfId="11326" xr:uid="{305B0849-6EDA-48B7-A8E0-9EA4D45547A7}"/>
    <cellStyle name="Millares 3 2 3 2 4" xfId="10685" xr:uid="{F8D973AA-7850-450E-8443-23B6EE1CA02E}"/>
    <cellStyle name="Millares 3 2 3 3" xfId="7004" xr:uid="{00000000-0005-0000-0000-00005C1B0000}"/>
    <cellStyle name="Millares 3 2 3 3 2" xfId="7645" xr:uid="{00000000-0005-0000-0000-0000DD1D0000}"/>
    <cellStyle name="Millares 3 2 3 3 2 2" xfId="11485" xr:uid="{82FA1113-6BFD-4BDF-81C5-25356280995B}"/>
    <cellStyle name="Millares 3 2 3 3 3" xfId="10844" xr:uid="{D8689F0D-FB76-4073-BEB1-A20CE6DD2A85}"/>
    <cellStyle name="Millares 3 2 3 4" xfId="7322" xr:uid="{00000000-0005-0000-0000-00009A1C0000}"/>
    <cellStyle name="Millares 3 2 3 4 2" xfId="11162" xr:uid="{B07C6116-4317-41FC-94B7-A6BF85532243}"/>
    <cellStyle name="Millares 3 2 3 5" xfId="10000" xr:uid="{D6331756-B8F3-4F37-96A0-D061A8F31C7C}"/>
    <cellStyle name="Millares 3 2 4" xfId="5156" xr:uid="{00000000-0005-0000-0000-000024140000}"/>
    <cellStyle name="Millares 3 2 5" xfId="5157" xr:uid="{00000000-0005-0000-0000-000025140000}"/>
    <cellStyle name="Millares 3 2 5 2" xfId="6846" xr:uid="{00000000-0005-0000-0000-0000BE1A0000}"/>
    <cellStyle name="Millares 3 2 5 2 2" xfId="7169" xr:uid="{00000000-0005-0000-0000-0000011C0000}"/>
    <cellStyle name="Millares 3 2 5 2 2 2" xfId="7810" xr:uid="{00000000-0005-0000-0000-0000821E0000}"/>
    <cellStyle name="Millares 3 2 5 2 2 2 2" xfId="11650" xr:uid="{1891580F-F13D-48E1-9A7B-DE728E237088}"/>
    <cellStyle name="Millares 3 2 5 2 2 3" xfId="11009" xr:uid="{99AAF10D-301D-450C-BCF3-C1E707860346}"/>
    <cellStyle name="Millares 3 2 5 2 3" xfId="7487" xr:uid="{00000000-0005-0000-0000-00003F1D0000}"/>
    <cellStyle name="Millares 3 2 5 2 3 2" xfId="11327" xr:uid="{F26CD9C8-C022-4DA5-BC83-C199AEB91FE8}"/>
    <cellStyle name="Millares 3 2 5 2 4" xfId="10686" xr:uid="{10C1A970-B1A4-460C-998F-DF8430770C39}"/>
    <cellStyle name="Millares 3 2 5 3" xfId="7005" xr:uid="{00000000-0005-0000-0000-00005D1B0000}"/>
    <cellStyle name="Millares 3 2 5 3 2" xfId="7646" xr:uid="{00000000-0005-0000-0000-0000DE1D0000}"/>
    <cellStyle name="Millares 3 2 5 3 2 2" xfId="11486" xr:uid="{1EF71A9F-7C65-4A7E-A349-05D11E817452}"/>
    <cellStyle name="Millares 3 2 5 3 3" xfId="10845" xr:uid="{060A6DEB-D1D2-4A82-A687-354A707F4F17}"/>
    <cellStyle name="Millares 3 2 5 4" xfId="7323" xr:uid="{00000000-0005-0000-0000-00009B1C0000}"/>
    <cellStyle name="Millares 3 2 5 4 2" xfId="11163" xr:uid="{13675AE0-862A-4DC9-BC1D-833F7A7A9A69}"/>
    <cellStyle name="Millares 3 2 5 5" xfId="10001" xr:uid="{57B7F2ED-8BB4-4C01-AFE9-C6B078EE3494}"/>
    <cellStyle name="Millares 3 2 6" xfId="5158" xr:uid="{00000000-0005-0000-0000-000026140000}"/>
    <cellStyle name="Millares 3 2 6 2" xfId="6847" xr:uid="{00000000-0005-0000-0000-0000BF1A0000}"/>
    <cellStyle name="Millares 3 2 6 2 2" xfId="7170" xr:uid="{00000000-0005-0000-0000-0000021C0000}"/>
    <cellStyle name="Millares 3 2 6 2 2 2" xfId="7811" xr:uid="{00000000-0005-0000-0000-0000831E0000}"/>
    <cellStyle name="Millares 3 2 6 2 2 2 2" xfId="11651" xr:uid="{B078050E-FF9C-4E6E-8847-7C4D7CD4351E}"/>
    <cellStyle name="Millares 3 2 6 2 2 3" xfId="11010" xr:uid="{4ADE1FE4-A904-43F7-B7F7-1E3DCE2E32E3}"/>
    <cellStyle name="Millares 3 2 6 2 3" xfId="7488" xr:uid="{00000000-0005-0000-0000-0000401D0000}"/>
    <cellStyle name="Millares 3 2 6 2 3 2" xfId="11328" xr:uid="{AECDB7C6-2E3E-418F-94CC-989376E9C74C}"/>
    <cellStyle name="Millares 3 2 6 2 4" xfId="10687" xr:uid="{A545096B-8859-4F34-ABA1-EF5C64185802}"/>
    <cellStyle name="Millares 3 2 6 3" xfId="7006" xr:uid="{00000000-0005-0000-0000-00005E1B0000}"/>
    <cellStyle name="Millares 3 2 6 3 2" xfId="7647" xr:uid="{00000000-0005-0000-0000-0000DF1D0000}"/>
    <cellStyle name="Millares 3 2 6 3 2 2" xfId="11487" xr:uid="{B76D10ED-026B-45BC-A804-35AE9B99156C}"/>
    <cellStyle name="Millares 3 2 6 3 3" xfId="10846" xr:uid="{F181787C-4915-4B45-98F3-20D4263E19ED}"/>
    <cellStyle name="Millares 3 2 6 4" xfId="7324" xr:uid="{00000000-0005-0000-0000-00009C1C0000}"/>
    <cellStyle name="Millares 3 2 6 4 2" xfId="11164" xr:uid="{36E575F8-6D3B-47C7-B710-0651A7D4E6F2}"/>
    <cellStyle name="Millares 3 2 6 5" xfId="10002" xr:uid="{7B1D5EDA-0DFE-444C-92D4-517623EB2ADA}"/>
    <cellStyle name="Millares 3 2 7" xfId="3792" xr:uid="{00000000-0005-0000-0000-0000D00E0000}"/>
    <cellStyle name="Millares 3 2 7 2" xfId="6785" xr:uid="{00000000-0005-0000-0000-0000811A0000}"/>
    <cellStyle name="Millares 3 2 7 2 2" xfId="7108" xr:uid="{00000000-0005-0000-0000-0000C41B0000}"/>
    <cellStyle name="Millares 3 2 7 2 2 2" xfId="7749" xr:uid="{00000000-0005-0000-0000-0000451E0000}"/>
    <cellStyle name="Millares 3 2 7 2 2 2 2" xfId="11589" xr:uid="{80A2D855-5163-4D8E-8758-F24A36FBCCB0}"/>
    <cellStyle name="Millares 3 2 7 2 2 3" xfId="10948" xr:uid="{FD1B2CA5-8CE7-4EC1-9C00-BAD6ED39CFC0}"/>
    <cellStyle name="Millares 3 2 7 2 3" xfId="7426" xr:uid="{00000000-0005-0000-0000-0000021D0000}"/>
    <cellStyle name="Millares 3 2 7 2 3 2" xfId="11266" xr:uid="{8EC011E4-C272-4FA0-B8CE-BCA3EC8530EA}"/>
    <cellStyle name="Millares 3 2 7 2 4" xfId="10625" xr:uid="{BAB95D14-59F6-40D6-ACED-CA0C0102F516}"/>
    <cellStyle name="Millares 3 2 7 3" xfId="6944" xr:uid="{00000000-0005-0000-0000-0000201B0000}"/>
    <cellStyle name="Millares 3 2 7 3 2" xfId="7585" xr:uid="{00000000-0005-0000-0000-0000A11D0000}"/>
    <cellStyle name="Millares 3 2 7 3 2 2" xfId="11425" xr:uid="{0C95E50C-1D18-484B-8A39-2265AC1A1EA0}"/>
    <cellStyle name="Millares 3 2 7 3 3" xfId="10784" xr:uid="{C36F965A-700F-4A6E-BEEE-DC06912788B7}"/>
    <cellStyle name="Millares 3 2 7 4" xfId="7264" xr:uid="{00000000-0005-0000-0000-0000601C0000}"/>
    <cellStyle name="Millares 3 2 7 4 2" xfId="11104" xr:uid="{A4308563-FEFF-4078-B7C0-B3A739DF3B76}"/>
    <cellStyle name="Millares 3 2 7 5" xfId="8963" xr:uid="{24C78F0F-8F30-4B16-A0DA-B7CDE1213348}"/>
    <cellStyle name="Millares 3 2 8" xfId="6744" xr:uid="{00000000-0005-0000-0000-0000581A0000}"/>
    <cellStyle name="Millares 3 2 8 2" xfId="7067" xr:uid="{00000000-0005-0000-0000-00009B1B0000}"/>
    <cellStyle name="Millares 3 2 8 2 2" xfId="7708" xr:uid="{00000000-0005-0000-0000-00001C1E0000}"/>
    <cellStyle name="Millares 3 2 8 2 2 2" xfId="11548" xr:uid="{1289B319-7973-46A4-B427-1032927BE216}"/>
    <cellStyle name="Millares 3 2 8 2 3" xfId="10907" xr:uid="{B2BFEFDF-54C9-49E5-98BB-C6CBDC76D907}"/>
    <cellStyle name="Millares 3 2 8 3" xfId="7385" xr:uid="{00000000-0005-0000-0000-0000D91C0000}"/>
    <cellStyle name="Millares 3 2 8 3 2" xfId="11225" xr:uid="{EAF0DB16-82B1-4BB9-8964-CC74F038350D}"/>
    <cellStyle name="Millares 3 2 8 4" xfId="10584" xr:uid="{F4642B2F-8903-4919-B416-12F79E67EB4F}"/>
    <cellStyle name="Millares 3 2 9" xfId="6913" xr:uid="{00000000-0005-0000-0000-0000011B0000}"/>
    <cellStyle name="Millares 3 2 9 2" xfId="7554" xr:uid="{00000000-0005-0000-0000-0000821D0000}"/>
    <cellStyle name="Millares 3 2 9 2 2" xfId="11394" xr:uid="{DF5C3B6F-554C-4296-BE4E-E776798EB200}"/>
    <cellStyle name="Millares 3 2 9 3" xfId="10753" xr:uid="{CF73C41F-54C9-4193-99B2-360EF03B9324}"/>
    <cellStyle name="Millares 3 3" xfId="2000" xr:uid="{00000000-0005-0000-0000-0000D0070000}"/>
    <cellStyle name="Millares 3 3 2" xfId="5159" xr:uid="{00000000-0005-0000-0000-000027140000}"/>
    <cellStyle name="Millares 3 3 2 2" xfId="6848" xr:uid="{00000000-0005-0000-0000-0000C01A0000}"/>
    <cellStyle name="Millares 3 3 2 2 2" xfId="7171" xr:uid="{00000000-0005-0000-0000-0000031C0000}"/>
    <cellStyle name="Millares 3 3 2 2 2 2" xfId="7812" xr:uid="{00000000-0005-0000-0000-0000841E0000}"/>
    <cellStyle name="Millares 3 3 2 2 2 2 2" xfId="11652" xr:uid="{568F843E-0EB9-4749-98A8-C5355EDE8819}"/>
    <cellStyle name="Millares 3 3 2 2 2 3" xfId="11011" xr:uid="{BABC3011-6C31-442D-AF36-E87E650A9922}"/>
    <cellStyle name="Millares 3 3 2 2 3" xfId="7489" xr:uid="{00000000-0005-0000-0000-0000411D0000}"/>
    <cellStyle name="Millares 3 3 2 2 3 2" xfId="11329" xr:uid="{58722AB1-E18F-4CF3-8D09-DC920CFF6CA6}"/>
    <cellStyle name="Millares 3 3 2 2 4" xfId="10688" xr:uid="{F72B5EA6-60F8-465C-BD4C-483266BF50AB}"/>
    <cellStyle name="Millares 3 3 2 3" xfId="7007" xr:uid="{00000000-0005-0000-0000-00005F1B0000}"/>
    <cellStyle name="Millares 3 3 2 3 2" xfId="7648" xr:uid="{00000000-0005-0000-0000-0000E01D0000}"/>
    <cellStyle name="Millares 3 3 2 3 2 2" xfId="11488" xr:uid="{732BF4AD-7E75-412A-824F-8CC4FDEC2D20}"/>
    <cellStyle name="Millares 3 3 2 3 3" xfId="10847" xr:uid="{9EA7629E-F5DD-406B-9B8A-FECBEBADDCF4}"/>
    <cellStyle name="Millares 3 3 2 4" xfId="7325" xr:uid="{00000000-0005-0000-0000-00009D1C0000}"/>
    <cellStyle name="Millares 3 3 2 4 2" xfId="11165" xr:uid="{A42CDA03-5788-49DA-83E4-F0FEA49350A5}"/>
    <cellStyle name="Millares 3 3 2 5" xfId="10003" xr:uid="{02FE1E93-F0FD-4481-9278-97793707425C}"/>
    <cellStyle name="Millares 3 3 3" xfId="5160" xr:uid="{00000000-0005-0000-0000-000028140000}"/>
    <cellStyle name="Millares 3 3 3 2" xfId="6849" xr:uid="{00000000-0005-0000-0000-0000C11A0000}"/>
    <cellStyle name="Millares 3 3 3 2 2" xfId="7172" xr:uid="{00000000-0005-0000-0000-0000041C0000}"/>
    <cellStyle name="Millares 3 3 3 2 2 2" xfId="7813" xr:uid="{00000000-0005-0000-0000-0000851E0000}"/>
    <cellStyle name="Millares 3 3 3 2 2 2 2" xfId="11653" xr:uid="{09A08860-2ACF-465A-9959-7012ABC9BA25}"/>
    <cellStyle name="Millares 3 3 3 2 2 3" xfId="11012" xr:uid="{21440008-CEE5-4A24-BB49-D1A4FB8BBFBD}"/>
    <cellStyle name="Millares 3 3 3 2 3" xfId="7490" xr:uid="{00000000-0005-0000-0000-0000421D0000}"/>
    <cellStyle name="Millares 3 3 3 2 3 2" xfId="11330" xr:uid="{35F54477-F7C8-43B9-9E52-88B6A2BDC409}"/>
    <cellStyle name="Millares 3 3 3 2 4" xfId="10689" xr:uid="{55D029DE-E83B-4759-99A8-A218C7B3B713}"/>
    <cellStyle name="Millares 3 3 3 3" xfId="7008" xr:uid="{00000000-0005-0000-0000-0000601B0000}"/>
    <cellStyle name="Millares 3 3 3 3 2" xfId="7649" xr:uid="{00000000-0005-0000-0000-0000E11D0000}"/>
    <cellStyle name="Millares 3 3 3 3 2 2" xfId="11489" xr:uid="{1CDEB4A6-B553-49B4-B75E-3DE595B17022}"/>
    <cellStyle name="Millares 3 3 3 3 3" xfId="10848" xr:uid="{C5BA4356-D7DE-4117-BC22-BA6A0104E90C}"/>
    <cellStyle name="Millares 3 3 3 4" xfId="7326" xr:uid="{00000000-0005-0000-0000-00009E1C0000}"/>
    <cellStyle name="Millares 3 3 3 4 2" xfId="11166" xr:uid="{4F90746A-162D-48B6-82D5-80F46FFC5C59}"/>
    <cellStyle name="Millares 3 3 3 5" xfId="10004" xr:uid="{4CE8F6C8-A5D4-43E9-8C12-EC35F52B02D8}"/>
    <cellStyle name="Millares 3 3 4" xfId="3793" xr:uid="{00000000-0005-0000-0000-0000D10E0000}"/>
    <cellStyle name="Millares 3 3 4 2" xfId="6786" xr:uid="{00000000-0005-0000-0000-0000821A0000}"/>
    <cellStyle name="Millares 3 3 4 2 2" xfId="7109" xr:uid="{00000000-0005-0000-0000-0000C51B0000}"/>
    <cellStyle name="Millares 3 3 4 2 2 2" xfId="7750" xr:uid="{00000000-0005-0000-0000-0000461E0000}"/>
    <cellStyle name="Millares 3 3 4 2 2 2 2" xfId="11590" xr:uid="{2B5E0E67-0B32-42FD-BC8F-302D4CD5035D}"/>
    <cellStyle name="Millares 3 3 4 2 2 3" xfId="10949" xr:uid="{44064CF5-939C-4E4F-B558-29E38F97CBAF}"/>
    <cellStyle name="Millares 3 3 4 2 3" xfId="7427" xr:uid="{00000000-0005-0000-0000-0000031D0000}"/>
    <cellStyle name="Millares 3 3 4 2 3 2" xfId="11267" xr:uid="{B3485F65-D8BE-428F-8D5A-A97FA3EA0535}"/>
    <cellStyle name="Millares 3 3 4 2 4" xfId="10626" xr:uid="{E30DC3CD-7D48-42BA-8B9C-7A0309433839}"/>
    <cellStyle name="Millares 3 3 4 3" xfId="6945" xr:uid="{00000000-0005-0000-0000-0000211B0000}"/>
    <cellStyle name="Millares 3 3 4 3 2" xfId="7586" xr:uid="{00000000-0005-0000-0000-0000A21D0000}"/>
    <cellStyle name="Millares 3 3 4 3 2 2" xfId="11426" xr:uid="{C27072DB-58C8-4B18-BB31-051D3962ED19}"/>
    <cellStyle name="Millares 3 3 4 3 3" xfId="10785" xr:uid="{F29B87DE-93A8-43F5-A29A-D1261BB98837}"/>
    <cellStyle name="Millares 3 3 4 4" xfId="7265" xr:uid="{00000000-0005-0000-0000-0000611C0000}"/>
    <cellStyle name="Millares 3 3 4 4 2" xfId="11105" xr:uid="{5167BFA7-8D74-413A-837C-B01FD3332EC0}"/>
    <cellStyle name="Millares 3 3 4 5" xfId="8964" xr:uid="{50AB91C4-28B6-4CC8-9F00-EA8BAD199007}"/>
    <cellStyle name="Millares 3 3 5" xfId="6745" xr:uid="{00000000-0005-0000-0000-0000591A0000}"/>
    <cellStyle name="Millares 3 3 5 2" xfId="7068" xr:uid="{00000000-0005-0000-0000-00009C1B0000}"/>
    <cellStyle name="Millares 3 3 5 2 2" xfId="7709" xr:uid="{00000000-0005-0000-0000-00001D1E0000}"/>
    <cellStyle name="Millares 3 3 5 2 2 2" xfId="11549" xr:uid="{A9F11F91-5301-46EC-B890-90FD89194C38}"/>
    <cellStyle name="Millares 3 3 5 2 3" xfId="10908" xr:uid="{A88DC4A2-D977-464F-9CDE-1FFE76D4F534}"/>
    <cellStyle name="Millares 3 3 5 3" xfId="7386" xr:uid="{00000000-0005-0000-0000-0000DA1C0000}"/>
    <cellStyle name="Millares 3 3 5 3 2" xfId="11226" xr:uid="{4343B6CA-3A81-4157-AF90-E98B1FBF96E3}"/>
    <cellStyle name="Millares 3 3 5 4" xfId="10585" xr:uid="{CFC4FDA1-1A59-41EA-8E3F-07B41B6AA4CE}"/>
    <cellStyle name="Millares 3 3 6" xfId="6914" xr:uid="{00000000-0005-0000-0000-0000021B0000}"/>
    <cellStyle name="Millares 3 3 6 2" xfId="7555" xr:uid="{00000000-0005-0000-0000-0000831D0000}"/>
    <cellStyle name="Millares 3 3 6 2 2" xfId="11395" xr:uid="{F561A6A7-1118-45A5-BA04-36676ED31DE8}"/>
    <cellStyle name="Millares 3 3 6 3" xfId="10754" xr:uid="{4D689033-1297-4613-8641-1639A9EB7D6A}"/>
    <cellStyle name="Millares 3 3 7" xfId="7234" xr:uid="{00000000-0005-0000-0000-0000421C0000}"/>
    <cellStyle name="Millares 3 3 7 2" xfId="11074" xr:uid="{D19B677F-D9E6-44C0-890E-00672E6F201F}"/>
    <cellStyle name="Millares 3 3 8" xfId="8488" xr:uid="{67505BAF-7711-401F-A902-B841A672CD1E}"/>
    <cellStyle name="Millares 3 4" xfId="2001" xr:uid="{00000000-0005-0000-0000-0000D1070000}"/>
    <cellStyle name="Millares 3 4 2" xfId="5161" xr:uid="{00000000-0005-0000-0000-000029140000}"/>
    <cellStyle name="Millares 3 4 2 2" xfId="6850" xr:uid="{00000000-0005-0000-0000-0000C21A0000}"/>
    <cellStyle name="Millares 3 4 2 2 2" xfId="7173" xr:uid="{00000000-0005-0000-0000-0000051C0000}"/>
    <cellStyle name="Millares 3 4 2 2 2 2" xfId="7814" xr:uid="{00000000-0005-0000-0000-0000861E0000}"/>
    <cellStyle name="Millares 3 4 2 2 2 2 2" xfId="11654" xr:uid="{0D27C28E-1C4F-4EBC-98AF-D1AF47009AE8}"/>
    <cellStyle name="Millares 3 4 2 2 2 3" xfId="11013" xr:uid="{36060C68-2722-4F17-A3DA-A293AA1477BC}"/>
    <cellStyle name="Millares 3 4 2 2 3" xfId="7491" xr:uid="{00000000-0005-0000-0000-0000431D0000}"/>
    <cellStyle name="Millares 3 4 2 2 3 2" xfId="11331" xr:uid="{4BDB8E2E-9C4B-42E4-9631-48F913BB8D4A}"/>
    <cellStyle name="Millares 3 4 2 2 4" xfId="10690" xr:uid="{F26C9553-410E-447A-BEFE-94B27EC2550C}"/>
    <cellStyle name="Millares 3 4 2 3" xfId="7009" xr:uid="{00000000-0005-0000-0000-0000611B0000}"/>
    <cellStyle name="Millares 3 4 2 3 2" xfId="7650" xr:uid="{00000000-0005-0000-0000-0000E21D0000}"/>
    <cellStyle name="Millares 3 4 2 3 2 2" xfId="11490" xr:uid="{1DA2B528-A111-4772-8B50-6856C537C23A}"/>
    <cellStyle name="Millares 3 4 2 3 3" xfId="10849" xr:uid="{BC09D79E-7FCF-409E-8FA7-E0302514BF73}"/>
    <cellStyle name="Millares 3 4 2 4" xfId="7327" xr:uid="{00000000-0005-0000-0000-00009F1C0000}"/>
    <cellStyle name="Millares 3 4 2 4 2" xfId="11167" xr:uid="{C5ECA175-1552-4D9C-994C-38ED5EBBEC94}"/>
    <cellStyle name="Millares 3 4 2 5" xfId="10005" xr:uid="{82EF8E7B-EB9B-4B20-8A50-E995B06DD75E}"/>
    <cellStyle name="Millares 3 4 3" xfId="5162" xr:uid="{00000000-0005-0000-0000-00002A140000}"/>
    <cellStyle name="Millares 3 4 3 2" xfId="6851" xr:uid="{00000000-0005-0000-0000-0000C31A0000}"/>
    <cellStyle name="Millares 3 4 3 2 2" xfId="7174" xr:uid="{00000000-0005-0000-0000-0000061C0000}"/>
    <cellStyle name="Millares 3 4 3 2 2 2" xfId="7815" xr:uid="{00000000-0005-0000-0000-0000871E0000}"/>
    <cellStyle name="Millares 3 4 3 2 2 2 2" xfId="11655" xr:uid="{E55B242A-D4B1-4009-A183-B64EFBB5EB81}"/>
    <cellStyle name="Millares 3 4 3 2 2 3" xfId="11014" xr:uid="{0BD60BFE-3323-4B1A-8933-5A3F93F58881}"/>
    <cellStyle name="Millares 3 4 3 2 3" xfId="7492" xr:uid="{00000000-0005-0000-0000-0000441D0000}"/>
    <cellStyle name="Millares 3 4 3 2 3 2" xfId="11332" xr:uid="{5E954857-386E-4002-85A5-7BE2C92CF7B5}"/>
    <cellStyle name="Millares 3 4 3 2 4" xfId="10691" xr:uid="{64906C5E-0A12-432E-B9E6-E96F8DAE2E30}"/>
    <cellStyle name="Millares 3 4 3 3" xfId="7010" xr:uid="{00000000-0005-0000-0000-0000621B0000}"/>
    <cellStyle name="Millares 3 4 3 3 2" xfId="7651" xr:uid="{00000000-0005-0000-0000-0000E31D0000}"/>
    <cellStyle name="Millares 3 4 3 3 2 2" xfId="11491" xr:uid="{7BA4BD73-026E-4EF3-BEE5-499AD4947F7E}"/>
    <cellStyle name="Millares 3 4 3 3 3" xfId="10850" xr:uid="{7D0047B3-CB55-46B1-BAC9-2AA88ED48F36}"/>
    <cellStyle name="Millares 3 4 3 4" xfId="7328" xr:uid="{00000000-0005-0000-0000-0000A01C0000}"/>
    <cellStyle name="Millares 3 4 3 4 2" xfId="11168" xr:uid="{D23838EC-5FB9-48D5-9C8C-E9174F88B2C4}"/>
    <cellStyle name="Millares 3 4 3 5" xfId="10006" xr:uid="{D752FA9D-8AC6-43BB-A358-2DDBAFC770F0}"/>
    <cellStyle name="Millares 3 4 4" xfId="3794" xr:uid="{00000000-0005-0000-0000-0000D20E0000}"/>
    <cellStyle name="Millares 3 4 4 2" xfId="6787" xr:uid="{00000000-0005-0000-0000-0000831A0000}"/>
    <cellStyle name="Millares 3 4 4 2 2" xfId="7110" xr:uid="{00000000-0005-0000-0000-0000C61B0000}"/>
    <cellStyle name="Millares 3 4 4 2 2 2" xfId="7751" xr:uid="{00000000-0005-0000-0000-0000471E0000}"/>
    <cellStyle name="Millares 3 4 4 2 2 2 2" xfId="11591" xr:uid="{DE3AB16E-F28D-4C57-8474-9BFF2EE6AA2A}"/>
    <cellStyle name="Millares 3 4 4 2 2 3" xfId="10950" xr:uid="{711449E0-1C58-48B9-9814-7D719B07D7CC}"/>
    <cellStyle name="Millares 3 4 4 2 3" xfId="7428" xr:uid="{00000000-0005-0000-0000-0000041D0000}"/>
    <cellStyle name="Millares 3 4 4 2 3 2" xfId="11268" xr:uid="{E70BB6DC-FEF1-4F21-B32B-9B3ACE9555B8}"/>
    <cellStyle name="Millares 3 4 4 2 4" xfId="10627" xr:uid="{DD775BAB-89D1-489E-9105-9C1EF69F945B}"/>
    <cellStyle name="Millares 3 4 4 3" xfId="6946" xr:uid="{00000000-0005-0000-0000-0000221B0000}"/>
    <cellStyle name="Millares 3 4 4 3 2" xfId="7587" xr:uid="{00000000-0005-0000-0000-0000A31D0000}"/>
    <cellStyle name="Millares 3 4 4 3 2 2" xfId="11427" xr:uid="{6AC6760F-5ED4-4AA4-B6AC-D92E484CEE96}"/>
    <cellStyle name="Millares 3 4 4 3 3" xfId="10786" xr:uid="{A2C55DF3-5B7B-478F-A01B-9350BEDAE90D}"/>
    <cellStyle name="Millares 3 4 4 4" xfId="7266" xr:uid="{00000000-0005-0000-0000-0000621C0000}"/>
    <cellStyle name="Millares 3 4 4 4 2" xfId="11106" xr:uid="{6744C93A-2ABE-415E-8AC4-DF48AB73884F}"/>
    <cellStyle name="Millares 3 4 4 5" xfId="8965" xr:uid="{5D4532AF-1B78-4916-A3D7-2EDB34E1E5DB}"/>
    <cellStyle name="Millares 3 4 5" xfId="6746" xr:uid="{00000000-0005-0000-0000-00005A1A0000}"/>
    <cellStyle name="Millares 3 4 5 2" xfId="7069" xr:uid="{00000000-0005-0000-0000-00009D1B0000}"/>
    <cellStyle name="Millares 3 4 5 2 2" xfId="7710" xr:uid="{00000000-0005-0000-0000-00001E1E0000}"/>
    <cellStyle name="Millares 3 4 5 2 2 2" xfId="11550" xr:uid="{2A1F118C-3BBD-47B2-9D71-1E7DE3CE49D4}"/>
    <cellStyle name="Millares 3 4 5 2 3" xfId="10909" xr:uid="{7C1469F4-D03C-41C6-95A7-E3CB18C883DD}"/>
    <cellStyle name="Millares 3 4 5 3" xfId="7387" xr:uid="{00000000-0005-0000-0000-0000DB1C0000}"/>
    <cellStyle name="Millares 3 4 5 3 2" xfId="11227" xr:uid="{88094D7B-AA71-477E-BD4B-F2F199D763C4}"/>
    <cellStyle name="Millares 3 4 5 4" xfId="10586" xr:uid="{376E09A0-71A5-46C6-97C5-3DF5EDDCAA17}"/>
    <cellStyle name="Millares 3 4 6" xfId="6915" xr:uid="{00000000-0005-0000-0000-0000031B0000}"/>
    <cellStyle name="Millares 3 4 6 2" xfId="7556" xr:uid="{00000000-0005-0000-0000-0000841D0000}"/>
    <cellStyle name="Millares 3 4 6 2 2" xfId="11396" xr:uid="{C65694A7-73BC-41C4-A537-BC7ABFD6080F}"/>
    <cellStyle name="Millares 3 4 6 3" xfId="10755" xr:uid="{D3DE41AF-FDAF-4C01-AA9B-8C9A26444F97}"/>
    <cellStyle name="Millares 3 4 7" xfId="7235" xr:uid="{00000000-0005-0000-0000-0000431C0000}"/>
    <cellStyle name="Millares 3 4 7 2" xfId="11075" xr:uid="{9728D105-197D-478C-9221-7167571D5F0B}"/>
    <cellStyle name="Millares 3 4 8" xfId="8489" xr:uid="{C5A920E7-94BB-49CF-864C-0697C6AA7A5D}"/>
    <cellStyle name="Millares 3 5" xfId="2002" xr:uid="{00000000-0005-0000-0000-0000D2070000}"/>
    <cellStyle name="Millares 3 5 2" xfId="5163" xr:uid="{00000000-0005-0000-0000-00002B140000}"/>
    <cellStyle name="Millares 3 5 2 2" xfId="6852" xr:uid="{00000000-0005-0000-0000-0000C41A0000}"/>
    <cellStyle name="Millares 3 5 2 2 2" xfId="7175" xr:uid="{00000000-0005-0000-0000-0000071C0000}"/>
    <cellStyle name="Millares 3 5 2 2 2 2" xfId="7816" xr:uid="{00000000-0005-0000-0000-0000881E0000}"/>
    <cellStyle name="Millares 3 5 2 2 2 2 2" xfId="11656" xr:uid="{DA51DB00-A45B-4956-89EE-D327E37057E6}"/>
    <cellStyle name="Millares 3 5 2 2 2 3" xfId="11015" xr:uid="{1D511F47-580D-49BF-9EEA-4E9504F9392F}"/>
    <cellStyle name="Millares 3 5 2 2 3" xfId="7493" xr:uid="{00000000-0005-0000-0000-0000451D0000}"/>
    <cellStyle name="Millares 3 5 2 2 3 2" xfId="11333" xr:uid="{D9674539-5558-4A68-BDC9-6A4A95768655}"/>
    <cellStyle name="Millares 3 5 2 2 4" xfId="10692" xr:uid="{44411AAE-B621-44F1-A077-1BE1B371939C}"/>
    <cellStyle name="Millares 3 5 2 3" xfId="7011" xr:uid="{00000000-0005-0000-0000-0000631B0000}"/>
    <cellStyle name="Millares 3 5 2 3 2" xfId="7652" xr:uid="{00000000-0005-0000-0000-0000E41D0000}"/>
    <cellStyle name="Millares 3 5 2 3 2 2" xfId="11492" xr:uid="{7F573918-EA5F-4520-B3DE-3FB2A3EB5837}"/>
    <cellStyle name="Millares 3 5 2 3 3" xfId="10851" xr:uid="{51B95C83-A2ED-4126-A2E0-6592CE0B528F}"/>
    <cellStyle name="Millares 3 5 2 4" xfId="7329" xr:uid="{00000000-0005-0000-0000-0000A11C0000}"/>
    <cellStyle name="Millares 3 5 2 4 2" xfId="11169" xr:uid="{CF7CC382-EE70-4F85-BBBA-1E9C1D6EF446}"/>
    <cellStyle name="Millares 3 5 2 5" xfId="10007" xr:uid="{B452F94F-1AFE-44CB-BBDF-57A342175325}"/>
    <cellStyle name="Millares 3 5 3" xfId="5164" xr:uid="{00000000-0005-0000-0000-00002C140000}"/>
    <cellStyle name="Millares 3 5 3 2" xfId="6853" xr:uid="{00000000-0005-0000-0000-0000C51A0000}"/>
    <cellStyle name="Millares 3 5 3 2 2" xfId="7176" xr:uid="{00000000-0005-0000-0000-0000081C0000}"/>
    <cellStyle name="Millares 3 5 3 2 2 2" xfId="7817" xr:uid="{00000000-0005-0000-0000-0000891E0000}"/>
    <cellStyle name="Millares 3 5 3 2 2 2 2" xfId="11657" xr:uid="{8E01499F-23D7-4EBB-9B4B-8EBF30562D0F}"/>
    <cellStyle name="Millares 3 5 3 2 2 3" xfId="11016" xr:uid="{334BAA2E-AC76-46F4-9F09-40006B7F97B4}"/>
    <cellStyle name="Millares 3 5 3 2 3" xfId="7494" xr:uid="{00000000-0005-0000-0000-0000461D0000}"/>
    <cellStyle name="Millares 3 5 3 2 3 2" xfId="11334" xr:uid="{BC5A0CE6-1C19-4942-B52A-232C9FE8C4B2}"/>
    <cellStyle name="Millares 3 5 3 2 4" xfId="10693" xr:uid="{315A379D-1021-468B-ADC4-097DC28C1E94}"/>
    <cellStyle name="Millares 3 5 3 3" xfId="7012" xr:uid="{00000000-0005-0000-0000-0000641B0000}"/>
    <cellStyle name="Millares 3 5 3 3 2" xfId="7653" xr:uid="{00000000-0005-0000-0000-0000E51D0000}"/>
    <cellStyle name="Millares 3 5 3 3 2 2" xfId="11493" xr:uid="{8160FF55-04BB-440D-8D15-291FD580EBEA}"/>
    <cellStyle name="Millares 3 5 3 3 3" xfId="10852" xr:uid="{32A24E4B-0E79-4EEC-B9AA-28516EEA755E}"/>
    <cellStyle name="Millares 3 5 3 4" xfId="7330" xr:uid="{00000000-0005-0000-0000-0000A21C0000}"/>
    <cellStyle name="Millares 3 5 3 4 2" xfId="11170" xr:uid="{A39239A5-7ADF-4EB1-B339-0F1E71BB834B}"/>
    <cellStyle name="Millares 3 5 3 5" xfId="10008" xr:uid="{24FD807D-1B41-40B9-800D-6A3B34C97C71}"/>
    <cellStyle name="Millares 3 5 4" xfId="3795" xr:uid="{00000000-0005-0000-0000-0000D30E0000}"/>
    <cellStyle name="Millares 3 5 4 2" xfId="6788" xr:uid="{00000000-0005-0000-0000-0000841A0000}"/>
    <cellStyle name="Millares 3 5 4 2 2" xfId="7111" xr:uid="{00000000-0005-0000-0000-0000C71B0000}"/>
    <cellStyle name="Millares 3 5 4 2 2 2" xfId="7752" xr:uid="{00000000-0005-0000-0000-0000481E0000}"/>
    <cellStyle name="Millares 3 5 4 2 2 2 2" xfId="11592" xr:uid="{9714930C-11C0-4D91-A3A5-E1285B313A99}"/>
    <cellStyle name="Millares 3 5 4 2 2 3" xfId="10951" xr:uid="{955622ED-317E-47EC-BD0E-CE314514631E}"/>
    <cellStyle name="Millares 3 5 4 2 3" xfId="7429" xr:uid="{00000000-0005-0000-0000-0000051D0000}"/>
    <cellStyle name="Millares 3 5 4 2 3 2" xfId="11269" xr:uid="{2FE497DF-4DD0-4A44-83FD-FCB023B1CCB7}"/>
    <cellStyle name="Millares 3 5 4 2 4" xfId="10628" xr:uid="{83856385-30C9-4A96-9B3E-629F547F6D09}"/>
    <cellStyle name="Millares 3 5 4 3" xfId="6947" xr:uid="{00000000-0005-0000-0000-0000231B0000}"/>
    <cellStyle name="Millares 3 5 4 3 2" xfId="7588" xr:uid="{00000000-0005-0000-0000-0000A41D0000}"/>
    <cellStyle name="Millares 3 5 4 3 2 2" xfId="11428" xr:uid="{BBF3B99B-500D-4E8F-BB99-6DD85D02DD5F}"/>
    <cellStyle name="Millares 3 5 4 3 3" xfId="10787" xr:uid="{36A0C38B-06D9-4CAE-AC5D-93AC995139E4}"/>
    <cellStyle name="Millares 3 5 4 4" xfId="7267" xr:uid="{00000000-0005-0000-0000-0000631C0000}"/>
    <cellStyle name="Millares 3 5 4 4 2" xfId="11107" xr:uid="{08A2B8CE-0AFC-40E3-AF94-555FB35A431B}"/>
    <cellStyle name="Millares 3 5 4 5" xfId="8966" xr:uid="{0B21EB6E-7D69-4107-AA20-AF57569DC968}"/>
    <cellStyle name="Millares 3 5 5" xfId="6747" xr:uid="{00000000-0005-0000-0000-00005B1A0000}"/>
    <cellStyle name="Millares 3 5 5 2" xfId="7070" xr:uid="{00000000-0005-0000-0000-00009E1B0000}"/>
    <cellStyle name="Millares 3 5 5 2 2" xfId="7711" xr:uid="{00000000-0005-0000-0000-00001F1E0000}"/>
    <cellStyle name="Millares 3 5 5 2 2 2" xfId="11551" xr:uid="{F52A6468-6950-4AEC-A5A1-A797FD8CC4BC}"/>
    <cellStyle name="Millares 3 5 5 2 3" xfId="10910" xr:uid="{C2211A1F-54D9-452B-9EF8-2BD37A107D18}"/>
    <cellStyle name="Millares 3 5 5 3" xfId="7388" xr:uid="{00000000-0005-0000-0000-0000DC1C0000}"/>
    <cellStyle name="Millares 3 5 5 3 2" xfId="11228" xr:uid="{96B3FC14-F638-46D8-B72B-5C2034974EE3}"/>
    <cellStyle name="Millares 3 5 5 4" xfId="10587" xr:uid="{299D2326-31DF-40DF-A6A6-350D9B40E825}"/>
    <cellStyle name="Millares 3 5 6" xfId="6916" xr:uid="{00000000-0005-0000-0000-0000041B0000}"/>
    <cellStyle name="Millares 3 5 6 2" xfId="7557" xr:uid="{00000000-0005-0000-0000-0000851D0000}"/>
    <cellStyle name="Millares 3 5 6 2 2" xfId="11397" xr:uid="{92E93DFA-AAC1-4654-BDC6-15B9DDFB818A}"/>
    <cellStyle name="Millares 3 5 6 3" xfId="10756" xr:uid="{885E9BD8-9309-4890-A6AF-CC68204D8911}"/>
    <cellStyle name="Millares 3 5 7" xfId="7236" xr:uid="{00000000-0005-0000-0000-0000441C0000}"/>
    <cellStyle name="Millares 3 5 7 2" xfId="11076" xr:uid="{28D9D63B-135A-407A-9D01-130F700FF512}"/>
    <cellStyle name="Millares 3 5 8" xfId="8490" xr:uid="{49A27E5F-252F-4E41-98E9-6034991E7815}"/>
    <cellStyle name="Millares 3 6" xfId="2003" xr:uid="{00000000-0005-0000-0000-0000D3070000}"/>
    <cellStyle name="Millares 3 6 2" xfId="5165" xr:uid="{00000000-0005-0000-0000-00002D140000}"/>
    <cellStyle name="Millares 3 6 2 2" xfId="6854" xr:uid="{00000000-0005-0000-0000-0000C61A0000}"/>
    <cellStyle name="Millares 3 6 2 2 2" xfId="7177" xr:uid="{00000000-0005-0000-0000-0000091C0000}"/>
    <cellStyle name="Millares 3 6 2 2 2 2" xfId="7818" xr:uid="{00000000-0005-0000-0000-00008A1E0000}"/>
    <cellStyle name="Millares 3 6 2 2 2 2 2" xfId="11658" xr:uid="{4319E89D-8405-4891-98FB-6496A466CA1F}"/>
    <cellStyle name="Millares 3 6 2 2 2 3" xfId="11017" xr:uid="{AC0311EC-DD9A-4459-B752-226D296A7699}"/>
    <cellStyle name="Millares 3 6 2 2 3" xfId="7495" xr:uid="{00000000-0005-0000-0000-0000471D0000}"/>
    <cellStyle name="Millares 3 6 2 2 3 2" xfId="11335" xr:uid="{7F56439B-6391-4BDC-94DA-3BAB8CB74EF8}"/>
    <cellStyle name="Millares 3 6 2 2 4" xfId="10694" xr:uid="{6BC8C16F-3809-4D33-BBFC-88CD8F4BD851}"/>
    <cellStyle name="Millares 3 6 2 3" xfId="7013" xr:uid="{00000000-0005-0000-0000-0000651B0000}"/>
    <cellStyle name="Millares 3 6 2 3 2" xfId="7654" xr:uid="{00000000-0005-0000-0000-0000E61D0000}"/>
    <cellStyle name="Millares 3 6 2 3 2 2" xfId="11494" xr:uid="{E5E7A663-E4A2-4526-8323-2B7C05039A45}"/>
    <cellStyle name="Millares 3 6 2 3 3" xfId="10853" xr:uid="{09B43293-97CA-4FFD-A3FF-4DB3B812D035}"/>
    <cellStyle name="Millares 3 6 2 4" xfId="7331" xr:uid="{00000000-0005-0000-0000-0000A31C0000}"/>
    <cellStyle name="Millares 3 6 2 4 2" xfId="11171" xr:uid="{9EA7CDC8-9D05-4F65-BCBD-594172408DAE}"/>
    <cellStyle name="Millares 3 6 2 5" xfId="10009" xr:uid="{A4861CBE-C76C-4C0A-A302-C6E15295A643}"/>
    <cellStyle name="Millares 3 6 3" xfId="3796" xr:uid="{00000000-0005-0000-0000-0000D40E0000}"/>
    <cellStyle name="Millares 3 6 3 2" xfId="6789" xr:uid="{00000000-0005-0000-0000-0000851A0000}"/>
    <cellStyle name="Millares 3 6 3 2 2" xfId="7112" xr:uid="{00000000-0005-0000-0000-0000C81B0000}"/>
    <cellStyle name="Millares 3 6 3 2 2 2" xfId="7753" xr:uid="{00000000-0005-0000-0000-0000491E0000}"/>
    <cellStyle name="Millares 3 6 3 2 2 2 2" xfId="11593" xr:uid="{12805792-EE51-4CC8-B1C7-9D4717E6A565}"/>
    <cellStyle name="Millares 3 6 3 2 2 3" xfId="10952" xr:uid="{CDC04521-A918-4DCE-AB71-3EFD05563C90}"/>
    <cellStyle name="Millares 3 6 3 2 3" xfId="7430" xr:uid="{00000000-0005-0000-0000-0000061D0000}"/>
    <cellStyle name="Millares 3 6 3 2 3 2" xfId="11270" xr:uid="{D8EDCA1F-F7C5-49AD-8F43-2FB96F1CEF62}"/>
    <cellStyle name="Millares 3 6 3 2 4" xfId="10629" xr:uid="{1738C612-EFBC-4873-A26C-34AF43EE7E93}"/>
    <cellStyle name="Millares 3 6 3 3" xfId="6948" xr:uid="{00000000-0005-0000-0000-0000241B0000}"/>
    <cellStyle name="Millares 3 6 3 3 2" xfId="7589" xr:uid="{00000000-0005-0000-0000-0000A51D0000}"/>
    <cellStyle name="Millares 3 6 3 3 2 2" xfId="11429" xr:uid="{83EFCD71-3C90-43AD-A3EE-B8241EB77108}"/>
    <cellStyle name="Millares 3 6 3 3 3" xfId="10788" xr:uid="{F67935C9-5D5B-481E-90D7-D7A790830E01}"/>
    <cellStyle name="Millares 3 6 3 4" xfId="7268" xr:uid="{00000000-0005-0000-0000-0000641C0000}"/>
    <cellStyle name="Millares 3 6 3 4 2" xfId="11108" xr:uid="{4A91F1B3-5B41-4AE3-B91B-F9DA00117038}"/>
    <cellStyle name="Millares 3 6 3 5" xfId="8967" xr:uid="{D3DF55AA-37B1-4E0A-9FE4-D6662D449D49}"/>
    <cellStyle name="Millares 3 6 4" xfId="6748" xr:uid="{00000000-0005-0000-0000-00005C1A0000}"/>
    <cellStyle name="Millares 3 6 4 2" xfId="7071" xr:uid="{00000000-0005-0000-0000-00009F1B0000}"/>
    <cellStyle name="Millares 3 6 4 2 2" xfId="7712" xr:uid="{00000000-0005-0000-0000-0000201E0000}"/>
    <cellStyle name="Millares 3 6 4 2 2 2" xfId="11552" xr:uid="{12B0640E-1D66-4E48-9D46-ABEDADA9F25E}"/>
    <cellStyle name="Millares 3 6 4 2 3" xfId="10911" xr:uid="{5A959CC4-FBDB-4015-BB05-2096F1353445}"/>
    <cellStyle name="Millares 3 6 4 3" xfId="7389" xr:uid="{00000000-0005-0000-0000-0000DD1C0000}"/>
    <cellStyle name="Millares 3 6 4 3 2" xfId="11229" xr:uid="{7096D515-391F-4F53-B0C4-2569F70B817C}"/>
    <cellStyle name="Millares 3 6 4 4" xfId="10588" xr:uid="{E6955F5E-3C52-40C8-BD2A-2244CB123841}"/>
    <cellStyle name="Millares 3 6 5" xfId="6917" xr:uid="{00000000-0005-0000-0000-0000051B0000}"/>
    <cellStyle name="Millares 3 6 5 2" xfId="7558" xr:uid="{00000000-0005-0000-0000-0000861D0000}"/>
    <cellStyle name="Millares 3 6 5 2 2" xfId="11398" xr:uid="{7B48067C-94EA-45F1-81A5-DC4F3EC7621B}"/>
    <cellStyle name="Millares 3 6 5 3" xfId="10757" xr:uid="{026C614B-BA69-4001-B0E8-9B7270B21382}"/>
    <cellStyle name="Millares 3 6 6" xfId="7237" xr:uid="{00000000-0005-0000-0000-0000451C0000}"/>
    <cellStyle name="Millares 3 6 6 2" xfId="11077" xr:uid="{B6A8C405-787D-4E7C-B08D-2601AC9336A6}"/>
    <cellStyle name="Millares 3 6 7" xfId="8491" xr:uid="{D0865DA2-4B49-4734-A122-ABFE75347F3E}"/>
    <cellStyle name="Millares 3 7" xfId="2004" xr:uid="{00000000-0005-0000-0000-0000D4070000}"/>
    <cellStyle name="Millares 3 7 2" xfId="3797" xr:uid="{00000000-0005-0000-0000-0000D50E0000}"/>
    <cellStyle name="Millares 3 7 2 2" xfId="6790" xr:uid="{00000000-0005-0000-0000-0000861A0000}"/>
    <cellStyle name="Millares 3 7 2 2 2" xfId="7113" xr:uid="{00000000-0005-0000-0000-0000C91B0000}"/>
    <cellStyle name="Millares 3 7 2 2 2 2" xfId="7754" xr:uid="{00000000-0005-0000-0000-00004A1E0000}"/>
    <cellStyle name="Millares 3 7 2 2 2 2 2" xfId="11594" xr:uid="{FFFB78F2-F52A-468A-BAE5-1818A1FEA33F}"/>
    <cellStyle name="Millares 3 7 2 2 2 3" xfId="10953" xr:uid="{333A11AE-7C82-4045-9DF5-7E299F3275DF}"/>
    <cellStyle name="Millares 3 7 2 2 3" xfId="7431" xr:uid="{00000000-0005-0000-0000-0000071D0000}"/>
    <cellStyle name="Millares 3 7 2 2 3 2" xfId="11271" xr:uid="{42A7FAB8-8DD0-4C92-A986-5092BBED8AB4}"/>
    <cellStyle name="Millares 3 7 2 2 4" xfId="10630" xr:uid="{47D18052-E7C4-441B-983D-46C0D0729486}"/>
    <cellStyle name="Millares 3 7 2 3" xfId="6949" xr:uid="{00000000-0005-0000-0000-0000251B0000}"/>
    <cellStyle name="Millares 3 7 2 3 2" xfId="7590" xr:uid="{00000000-0005-0000-0000-0000A61D0000}"/>
    <cellStyle name="Millares 3 7 2 3 2 2" xfId="11430" xr:uid="{888E19B2-6FB6-442F-9282-65AAA548CA40}"/>
    <cellStyle name="Millares 3 7 2 3 3" xfId="10789" xr:uid="{5EBE7A9D-B0D5-4540-95CE-18FB0EFC257A}"/>
    <cellStyle name="Millares 3 7 2 4" xfId="7269" xr:uid="{00000000-0005-0000-0000-0000651C0000}"/>
    <cellStyle name="Millares 3 7 2 4 2" xfId="11109" xr:uid="{537C7CAC-2185-44C2-AAE4-0E116BA9B5E4}"/>
    <cellStyle name="Millares 3 7 2 5" xfId="8968" xr:uid="{EAB6135C-78DF-49C3-9CF7-76006418DF3F}"/>
    <cellStyle name="Millares 3 7 3" xfId="6749" xr:uid="{00000000-0005-0000-0000-00005D1A0000}"/>
    <cellStyle name="Millares 3 7 3 2" xfId="7072" xr:uid="{00000000-0005-0000-0000-0000A01B0000}"/>
    <cellStyle name="Millares 3 7 3 2 2" xfId="7713" xr:uid="{00000000-0005-0000-0000-0000211E0000}"/>
    <cellStyle name="Millares 3 7 3 2 2 2" xfId="11553" xr:uid="{F631E1E6-70CA-4F6F-955D-80939ACC877B}"/>
    <cellStyle name="Millares 3 7 3 2 3" xfId="10912" xr:uid="{71E2537C-E827-4196-B802-A6566A4E1384}"/>
    <cellStyle name="Millares 3 7 3 3" xfId="7390" xr:uid="{00000000-0005-0000-0000-0000DE1C0000}"/>
    <cellStyle name="Millares 3 7 3 3 2" xfId="11230" xr:uid="{2DD4B956-87EC-488A-85E2-DB1DF6509215}"/>
    <cellStyle name="Millares 3 7 3 4" xfId="10589" xr:uid="{C8275C31-D6C9-42BF-B9FC-6F56248A5A3A}"/>
    <cellStyle name="Millares 3 7 4" xfId="6918" xr:uid="{00000000-0005-0000-0000-0000061B0000}"/>
    <cellStyle name="Millares 3 7 4 2" xfId="7559" xr:uid="{00000000-0005-0000-0000-0000871D0000}"/>
    <cellStyle name="Millares 3 7 4 2 2" xfId="11399" xr:uid="{8B15DF7E-D965-4CC5-A13E-483EC0208653}"/>
    <cellStyle name="Millares 3 7 4 3" xfId="10758" xr:uid="{579EC55A-686E-43F7-9D9F-4E76D26D104B}"/>
    <cellStyle name="Millares 3 7 5" xfId="7238" xr:uid="{00000000-0005-0000-0000-0000461C0000}"/>
    <cellStyle name="Millares 3 7 5 2" xfId="11078" xr:uid="{D2A5F300-4011-41E7-8F19-258C776227A5}"/>
    <cellStyle name="Millares 3 7 6" xfId="8492" xr:uid="{EC331A71-4EC8-4733-A945-97A4C92B415B}"/>
    <cellStyle name="Millares 3 8" xfId="2005" xr:uid="{00000000-0005-0000-0000-0000D5070000}"/>
    <cellStyle name="Millares 3 8 2" xfId="3798" xr:uid="{00000000-0005-0000-0000-0000D60E0000}"/>
    <cellStyle name="Millares 3 8 2 2" xfId="6791" xr:uid="{00000000-0005-0000-0000-0000871A0000}"/>
    <cellStyle name="Millares 3 8 2 2 2" xfId="7114" xr:uid="{00000000-0005-0000-0000-0000CA1B0000}"/>
    <cellStyle name="Millares 3 8 2 2 2 2" xfId="7755" xr:uid="{00000000-0005-0000-0000-00004B1E0000}"/>
    <cellStyle name="Millares 3 8 2 2 2 2 2" xfId="11595" xr:uid="{44FBBAF8-7BDA-48FB-B398-76D8BCFE8142}"/>
    <cellStyle name="Millares 3 8 2 2 2 3" xfId="10954" xr:uid="{B5DBE9E6-04A3-45B4-AA02-1507C2DAB6DF}"/>
    <cellStyle name="Millares 3 8 2 2 3" xfId="7432" xr:uid="{00000000-0005-0000-0000-0000081D0000}"/>
    <cellStyle name="Millares 3 8 2 2 3 2" xfId="11272" xr:uid="{5E59D1BC-ABE7-4BE1-B1B7-0C7988F1DFEB}"/>
    <cellStyle name="Millares 3 8 2 2 4" xfId="10631" xr:uid="{B41A5DD7-B3CA-4DED-BD6C-C0E9D823BE9B}"/>
    <cellStyle name="Millares 3 8 2 3" xfId="6950" xr:uid="{00000000-0005-0000-0000-0000261B0000}"/>
    <cellStyle name="Millares 3 8 2 3 2" xfId="7591" xr:uid="{00000000-0005-0000-0000-0000A71D0000}"/>
    <cellStyle name="Millares 3 8 2 3 2 2" xfId="11431" xr:uid="{97626A52-2965-4F29-BD6A-35F17BFA2569}"/>
    <cellStyle name="Millares 3 8 2 3 3" xfId="10790" xr:uid="{F92D7194-EB56-494B-8DB3-D132897EE13B}"/>
    <cellStyle name="Millares 3 8 2 4" xfId="7270" xr:uid="{00000000-0005-0000-0000-0000661C0000}"/>
    <cellStyle name="Millares 3 8 2 4 2" xfId="11110" xr:uid="{CCC9A14E-07BA-4633-894C-B403F7B0EA99}"/>
    <cellStyle name="Millares 3 8 2 5" xfId="8969" xr:uid="{866A3934-B1AE-4EE5-9C63-06DC27B762F9}"/>
    <cellStyle name="Millares 3 8 3" xfId="6750" xr:uid="{00000000-0005-0000-0000-00005E1A0000}"/>
    <cellStyle name="Millares 3 8 3 2" xfId="7073" xr:uid="{00000000-0005-0000-0000-0000A11B0000}"/>
    <cellStyle name="Millares 3 8 3 2 2" xfId="7714" xr:uid="{00000000-0005-0000-0000-0000221E0000}"/>
    <cellStyle name="Millares 3 8 3 2 2 2" xfId="11554" xr:uid="{DE164003-6BA8-4234-83E6-FF000803929D}"/>
    <cellStyle name="Millares 3 8 3 2 3" xfId="10913" xr:uid="{99518F4D-D41C-40F7-8141-7C4873DEDC37}"/>
    <cellStyle name="Millares 3 8 3 3" xfId="7391" xr:uid="{00000000-0005-0000-0000-0000DF1C0000}"/>
    <cellStyle name="Millares 3 8 3 3 2" xfId="11231" xr:uid="{F7E8AE7D-CDC5-42D2-B66C-6FEF488DDE08}"/>
    <cellStyle name="Millares 3 8 3 4" xfId="10590" xr:uid="{928E358F-51D3-4D5C-A228-754583F6809A}"/>
    <cellStyle name="Millares 3 8 4" xfId="6919" xr:uid="{00000000-0005-0000-0000-0000071B0000}"/>
    <cellStyle name="Millares 3 8 4 2" xfId="7560" xr:uid="{00000000-0005-0000-0000-0000881D0000}"/>
    <cellStyle name="Millares 3 8 4 2 2" xfId="11400" xr:uid="{CC6CA092-462A-4FBD-AEC6-67C5C58B9CCB}"/>
    <cellStyle name="Millares 3 8 4 3" xfId="10759" xr:uid="{283B0F60-D3BD-4E98-9593-5D5CBD821575}"/>
    <cellStyle name="Millares 3 8 5" xfId="7239" xr:uid="{00000000-0005-0000-0000-0000471C0000}"/>
    <cellStyle name="Millares 3 8 5 2" xfId="11079" xr:uid="{E4E9479D-9373-48EE-898D-2739BA47FCFF}"/>
    <cellStyle name="Millares 3 8 6" xfId="8493" xr:uid="{1463C73C-3698-4ED3-97CE-BCB4525C9565}"/>
    <cellStyle name="Millares 3 9" xfId="5166" xr:uid="{00000000-0005-0000-0000-00002E140000}"/>
    <cellStyle name="Millares 3 9 2" xfId="6855" xr:uid="{00000000-0005-0000-0000-0000C71A0000}"/>
    <cellStyle name="Millares 3 9 2 2" xfId="7178" xr:uid="{00000000-0005-0000-0000-00000A1C0000}"/>
    <cellStyle name="Millares 3 9 2 2 2" xfId="7819" xr:uid="{00000000-0005-0000-0000-00008B1E0000}"/>
    <cellStyle name="Millares 3 9 2 2 2 2" xfId="11659" xr:uid="{39CE62C8-4766-4B63-B525-09522C189F47}"/>
    <cellStyle name="Millares 3 9 2 2 3" xfId="11018" xr:uid="{DADBBDB9-1229-4CB9-BA7B-59575B8FB71E}"/>
    <cellStyle name="Millares 3 9 2 3" xfId="7496" xr:uid="{00000000-0005-0000-0000-0000481D0000}"/>
    <cellStyle name="Millares 3 9 2 3 2" xfId="11336" xr:uid="{02AC77ED-088A-4AC1-9477-30562DC27091}"/>
    <cellStyle name="Millares 3 9 2 4" xfId="10695" xr:uid="{E530A0C8-C3D8-4D01-A4DD-88C850876A86}"/>
    <cellStyle name="Millares 3 9 3" xfId="7014" xr:uid="{00000000-0005-0000-0000-0000661B0000}"/>
    <cellStyle name="Millares 3 9 3 2" xfId="7655" xr:uid="{00000000-0005-0000-0000-0000E71D0000}"/>
    <cellStyle name="Millares 3 9 3 2 2" xfId="11495" xr:uid="{25DA382F-E18C-4F14-8096-64124F69C4CB}"/>
    <cellStyle name="Millares 3 9 3 3" xfId="10854" xr:uid="{E18F8F51-5596-4F2B-A0ED-BE766691088A}"/>
    <cellStyle name="Millares 3 9 4" xfId="7332" xr:uid="{00000000-0005-0000-0000-0000A41C0000}"/>
    <cellStyle name="Millares 3 9 4 2" xfId="11172" xr:uid="{B3306AA1-8CD0-4B48-B0A5-6BDCDD1AD703}"/>
    <cellStyle name="Millares 3 9 5" xfId="10010" xr:uid="{B59F9C78-3198-4F29-AAC0-D3E5E0932979}"/>
    <cellStyle name="Millares 3_Deuda septiembre_marcos" xfId="2006" xr:uid="{00000000-0005-0000-0000-0000D6070000}"/>
    <cellStyle name="Millares 30" xfId="5167" xr:uid="{00000000-0005-0000-0000-00002F140000}"/>
    <cellStyle name="Millares 31" xfId="5168" xr:uid="{00000000-0005-0000-0000-000030140000}"/>
    <cellStyle name="Millares 32" xfId="5169" xr:uid="{00000000-0005-0000-0000-000031140000}"/>
    <cellStyle name="Millares 32 2" xfId="6856" xr:uid="{00000000-0005-0000-0000-0000C81A0000}"/>
    <cellStyle name="Millares 32 2 2" xfId="7179" xr:uid="{00000000-0005-0000-0000-00000B1C0000}"/>
    <cellStyle name="Millares 32 2 2 2" xfId="7820" xr:uid="{00000000-0005-0000-0000-00008C1E0000}"/>
    <cellStyle name="Millares 32 2 2 2 2" xfId="11660" xr:uid="{5D4430CF-EAB4-456D-B0AF-8DCE41FCC969}"/>
    <cellStyle name="Millares 32 2 2 3" xfId="11019" xr:uid="{4B77A9DB-73EB-4A59-947F-D00E85BE5C29}"/>
    <cellStyle name="Millares 32 2 3" xfId="7497" xr:uid="{00000000-0005-0000-0000-0000491D0000}"/>
    <cellStyle name="Millares 32 2 3 2" xfId="11337" xr:uid="{77B1F28F-D748-4E70-81FA-EA1C0FEC16E9}"/>
    <cellStyle name="Millares 32 2 4" xfId="10696" xr:uid="{DEA3C881-080B-4B57-A7C9-3D7F9F452A16}"/>
    <cellStyle name="Millares 32 3" xfId="7015" xr:uid="{00000000-0005-0000-0000-0000671B0000}"/>
    <cellStyle name="Millares 32 3 2" xfId="7656" xr:uid="{00000000-0005-0000-0000-0000E81D0000}"/>
    <cellStyle name="Millares 32 3 2 2" xfId="11496" xr:uid="{6781F135-2CAF-4BEB-A9AE-F5E73A243D07}"/>
    <cellStyle name="Millares 32 3 3" xfId="10855" xr:uid="{24B3D941-0E8F-4115-B616-70ECF12D31FA}"/>
    <cellStyle name="Millares 32 4" xfId="7333" xr:uid="{00000000-0005-0000-0000-0000A51C0000}"/>
    <cellStyle name="Millares 32 4 2" xfId="11173" xr:uid="{AAB333CC-ED9C-4B7F-BB69-F7BB84981448}"/>
    <cellStyle name="Millares 32 5" xfId="10011" xr:uid="{6A1D5308-6F44-41A3-A2A0-4571D91D0A38}"/>
    <cellStyle name="Millares 33" xfId="3819" xr:uid="{00000000-0005-0000-0000-0000EB0E0000}"/>
    <cellStyle name="Millares 33 2" xfId="6811" xr:uid="{00000000-0005-0000-0000-00009B1A0000}"/>
    <cellStyle name="Millares 33 2 2" xfId="7134" xr:uid="{00000000-0005-0000-0000-0000DE1B0000}"/>
    <cellStyle name="Millares 33 2 2 2" xfId="7775" xr:uid="{00000000-0005-0000-0000-00005F1E0000}"/>
    <cellStyle name="Millares 33 2 2 2 2" xfId="11615" xr:uid="{A50BC4CC-AA92-4FBB-ACDE-46EB6AA94A68}"/>
    <cellStyle name="Millares 33 2 2 3" xfId="10974" xr:uid="{FF83C00F-16C7-432D-BDC4-E171175C7CC7}"/>
    <cellStyle name="Millares 33 2 3" xfId="7452" xr:uid="{00000000-0005-0000-0000-00001C1D0000}"/>
    <cellStyle name="Millares 33 2 3 2" xfId="11292" xr:uid="{15E233D1-8D21-431C-A724-1536666DDE82}"/>
    <cellStyle name="Millares 33 2 4" xfId="10651" xr:uid="{8FF01BA3-776C-4B06-9586-C8096DF074AA}"/>
    <cellStyle name="Millares 33 3" xfId="6970" xr:uid="{00000000-0005-0000-0000-00003A1B0000}"/>
    <cellStyle name="Millares 33 3 2" xfId="7611" xr:uid="{00000000-0005-0000-0000-0000BB1D0000}"/>
    <cellStyle name="Millares 33 3 2 2" xfId="11451" xr:uid="{803F23FF-F991-4D08-B5C8-35FB924D4DA9}"/>
    <cellStyle name="Millares 33 3 3" xfId="10810" xr:uid="{70720750-0171-4476-BC4D-F82402D7B8CA}"/>
    <cellStyle name="Millares 33 4" xfId="7290" xr:uid="{00000000-0005-0000-0000-00007A1C0000}"/>
    <cellStyle name="Millares 33 4 2" xfId="11130" xr:uid="{D2213267-6CA6-4BF6-890E-78EC7213587E}"/>
    <cellStyle name="Millares 33 5" xfId="8989" xr:uid="{435E36A8-452B-4A65-A3B5-561B6785BDC5}"/>
    <cellStyle name="Millares 34" xfId="7344" xr:uid="{00000000-0005-0000-0000-0000B01C0000}"/>
    <cellStyle name="Millares 34 2" xfId="11184" xr:uid="{D669CF7C-EAF4-45C6-8920-BE4D0FAF368D}"/>
    <cellStyle name="Millares 35" xfId="7343" xr:uid="{00000000-0005-0000-0000-0000AF1C0000}"/>
    <cellStyle name="Millares 35 2" xfId="11183" xr:uid="{5BAFC46D-3DA7-41F1-8657-4F166FF8E256}"/>
    <cellStyle name="Millares 36" xfId="7229" xr:uid="{00000000-0005-0000-0000-00003D1C0000}"/>
    <cellStyle name="Millares 36 2" xfId="11069" xr:uid="{DEFE75FE-7FCB-4B24-98C8-B3630CE09954}"/>
    <cellStyle name="Millares 37" xfId="7860" xr:uid="{00000000-0005-0000-0000-0000B41E0000}"/>
    <cellStyle name="Millares 37 2" xfId="11700" xr:uid="{B1D8304B-7F79-4410-A3E8-B7485D68241F}"/>
    <cellStyle name="Millares 38" xfId="7861" xr:uid="{00000000-0005-0000-0000-0000B51E0000}"/>
    <cellStyle name="Millares 38 2" xfId="11701" xr:uid="{B4AB2EE6-0065-4360-BCEE-E22EBD607561}"/>
    <cellStyle name="Millares 39" xfId="7864" xr:uid="{00000000-0005-0000-0000-0000B81E0000}"/>
    <cellStyle name="Millares 39 2" xfId="11702" xr:uid="{6C497FEF-5F36-4662-93D0-C97442953844}"/>
    <cellStyle name="Millares 4" xfId="2007" xr:uid="{00000000-0005-0000-0000-0000D7070000}"/>
    <cellStyle name="Millares 4 2" xfId="2008" xr:uid="{00000000-0005-0000-0000-0000D8070000}"/>
    <cellStyle name="Millares 4 2 2" xfId="5170" xr:uid="{00000000-0005-0000-0000-000032140000}"/>
    <cellStyle name="Millares 4 3" xfId="2009" xr:uid="{00000000-0005-0000-0000-0000D9070000}"/>
    <cellStyle name="Millares 4 3 2" xfId="5171" xr:uid="{00000000-0005-0000-0000-000033140000}"/>
    <cellStyle name="Millares 4 4" xfId="2010" xr:uid="{00000000-0005-0000-0000-0000DA070000}"/>
    <cellStyle name="Millares 4 4 2" xfId="5172" xr:uid="{00000000-0005-0000-0000-000034140000}"/>
    <cellStyle name="Millares 4 5" xfId="2011" xr:uid="{00000000-0005-0000-0000-0000DB070000}"/>
    <cellStyle name="Millares 4 5 2" xfId="5173" xr:uid="{00000000-0005-0000-0000-000035140000}"/>
    <cellStyle name="Millares 4 6" xfId="2012" xr:uid="{00000000-0005-0000-0000-0000DC070000}"/>
    <cellStyle name="Millares 4 6 2" xfId="5174" xr:uid="{00000000-0005-0000-0000-000036140000}"/>
    <cellStyle name="Millares 4 7" xfId="2013" xr:uid="{00000000-0005-0000-0000-0000DD070000}"/>
    <cellStyle name="Millares 4 8" xfId="2014" xr:uid="{00000000-0005-0000-0000-0000DE070000}"/>
    <cellStyle name="Millares 4_Graficos 2009" xfId="2015" xr:uid="{00000000-0005-0000-0000-0000DF070000}"/>
    <cellStyle name="Millares 40" xfId="7865" xr:uid="{00000000-0005-0000-0000-0000B91E0000}"/>
    <cellStyle name="Millares 40 2" xfId="11703" xr:uid="{561119BB-B874-4741-9D16-74541B9FEAA8}"/>
    <cellStyle name="Millares 41" xfId="7866" xr:uid="{00000000-0005-0000-0000-0000BA1E0000}"/>
    <cellStyle name="Millares 41 2" xfId="11704" xr:uid="{FB16BB49-2F7D-443B-A10C-B9C1A02703C7}"/>
    <cellStyle name="Millares 42" xfId="11708" xr:uid="{8D5B0770-7240-4AA7-A621-6689A7A84835}"/>
    <cellStyle name="Millares 43" xfId="11707" xr:uid="{46A9AB06-5512-423C-AFBF-F076CA7F4C58}"/>
    <cellStyle name="Millares 44" xfId="7881" xr:uid="{6D48D55D-4F3D-4930-924C-65C5FEE90F47}"/>
    <cellStyle name="Millares 45" xfId="10543" xr:uid="{CBAD68EB-34D0-4843-90B7-71558E364F0F}"/>
    <cellStyle name="Millares 46" xfId="11713" xr:uid="{8668F0A6-FC86-4AFD-9327-84F4A5C063C8}"/>
    <cellStyle name="Millares 5" xfId="2016" xr:uid="{00000000-0005-0000-0000-0000E0070000}"/>
    <cellStyle name="Millares 5 10" xfId="6751" xr:uid="{00000000-0005-0000-0000-00005F1A0000}"/>
    <cellStyle name="Millares 5 10 2" xfId="7074" xr:uid="{00000000-0005-0000-0000-0000A21B0000}"/>
    <cellStyle name="Millares 5 10 2 2" xfId="7715" xr:uid="{00000000-0005-0000-0000-0000231E0000}"/>
    <cellStyle name="Millares 5 10 2 2 2" xfId="11555" xr:uid="{A905677B-1EE6-4518-BC46-AA4DE636FBF9}"/>
    <cellStyle name="Millares 5 10 2 3" xfId="10914" xr:uid="{1DE37523-52FB-4609-A795-C11E0290329B}"/>
    <cellStyle name="Millares 5 10 3" xfId="7392" xr:uid="{00000000-0005-0000-0000-0000E01C0000}"/>
    <cellStyle name="Millares 5 10 3 2" xfId="11232" xr:uid="{481EFD30-5B03-44BD-9EF4-0086F00CD6B7}"/>
    <cellStyle name="Millares 5 10 4" xfId="10591" xr:uid="{FBCB58AB-44A5-4DAB-A247-9B363E622B6D}"/>
    <cellStyle name="Millares 5 11" xfId="6920" xr:uid="{00000000-0005-0000-0000-0000081B0000}"/>
    <cellStyle name="Millares 5 11 2" xfId="7561" xr:uid="{00000000-0005-0000-0000-0000891D0000}"/>
    <cellStyle name="Millares 5 11 2 2" xfId="11401" xr:uid="{0CEDC626-43BB-4898-B4A0-6A084FF13EF5}"/>
    <cellStyle name="Millares 5 11 3" xfId="10760" xr:uid="{FA077822-73E2-424F-BBC1-DB53F5A65B29}"/>
    <cellStyle name="Millares 5 12" xfId="7240" xr:uid="{00000000-0005-0000-0000-0000481C0000}"/>
    <cellStyle name="Millares 5 12 2" xfId="11080" xr:uid="{CA14EC19-1EFA-48CE-B0B7-4A27558327AD}"/>
    <cellStyle name="Millares 5 13" xfId="8494" xr:uid="{17D8294A-61F1-4554-B972-4EE94057674A}"/>
    <cellStyle name="Millares 5 2" xfId="2017" xr:uid="{00000000-0005-0000-0000-0000E1070000}"/>
    <cellStyle name="Millares 5 2 2" xfId="5175" xr:uid="{00000000-0005-0000-0000-000037140000}"/>
    <cellStyle name="Millares 5 2 2 2" xfId="6857" xr:uid="{00000000-0005-0000-0000-0000C91A0000}"/>
    <cellStyle name="Millares 5 2 2 2 2" xfId="7180" xr:uid="{00000000-0005-0000-0000-00000C1C0000}"/>
    <cellStyle name="Millares 5 2 2 2 2 2" xfId="7821" xr:uid="{00000000-0005-0000-0000-00008D1E0000}"/>
    <cellStyle name="Millares 5 2 2 2 2 2 2" xfId="11661" xr:uid="{DA8CB74C-2679-46DA-A6A2-7FB61BF0F312}"/>
    <cellStyle name="Millares 5 2 2 2 2 3" xfId="11020" xr:uid="{F8FB7E2C-7F88-443A-98F1-5A4CF74BF306}"/>
    <cellStyle name="Millares 5 2 2 2 3" xfId="7498" xr:uid="{00000000-0005-0000-0000-00004A1D0000}"/>
    <cellStyle name="Millares 5 2 2 2 3 2" xfId="11338" xr:uid="{84208A0C-CD53-4F9B-8BA0-DDF5F074ECD9}"/>
    <cellStyle name="Millares 5 2 2 2 4" xfId="10697" xr:uid="{9CC2C08E-077F-4D1D-BDA5-D5BD1D24A556}"/>
    <cellStyle name="Millares 5 2 2 3" xfId="7016" xr:uid="{00000000-0005-0000-0000-0000681B0000}"/>
    <cellStyle name="Millares 5 2 2 3 2" xfId="7657" xr:uid="{00000000-0005-0000-0000-0000E91D0000}"/>
    <cellStyle name="Millares 5 2 2 3 2 2" xfId="11497" xr:uid="{34424A41-8DFC-44A8-B563-868E14533CD7}"/>
    <cellStyle name="Millares 5 2 2 3 3" xfId="10856" xr:uid="{3CD1178C-2D7E-433E-A1B6-D0E03556F1DC}"/>
    <cellStyle name="Millares 5 2 2 4" xfId="7334" xr:uid="{00000000-0005-0000-0000-0000A61C0000}"/>
    <cellStyle name="Millares 5 2 2 4 2" xfId="11174" xr:uid="{AFE48A11-4387-44BA-B8EE-0EA01610D7FB}"/>
    <cellStyle name="Millares 5 2 2 5" xfId="10012" xr:uid="{1E6E9C5D-9C29-47D2-82D8-1F23549FD985}"/>
    <cellStyle name="Millares 5 2 3" xfId="3800" xr:uid="{00000000-0005-0000-0000-0000D80E0000}"/>
    <cellStyle name="Millares 5 2 3 2" xfId="6793" xr:uid="{00000000-0005-0000-0000-0000891A0000}"/>
    <cellStyle name="Millares 5 2 3 2 2" xfId="7116" xr:uid="{00000000-0005-0000-0000-0000CC1B0000}"/>
    <cellStyle name="Millares 5 2 3 2 2 2" xfId="7757" xr:uid="{00000000-0005-0000-0000-00004D1E0000}"/>
    <cellStyle name="Millares 5 2 3 2 2 2 2" xfId="11597" xr:uid="{1D6667C6-FA46-48F2-9C9A-BDAA64CD09A2}"/>
    <cellStyle name="Millares 5 2 3 2 2 3" xfId="10956" xr:uid="{3E169BC7-254E-4A1C-9BF3-D0519A635537}"/>
    <cellStyle name="Millares 5 2 3 2 3" xfId="7434" xr:uid="{00000000-0005-0000-0000-00000A1D0000}"/>
    <cellStyle name="Millares 5 2 3 2 3 2" xfId="11274" xr:uid="{03184DD4-D248-48D5-802C-9875F24E86B2}"/>
    <cellStyle name="Millares 5 2 3 2 4" xfId="10633" xr:uid="{DC0F1843-18E1-4D5A-A99A-5946ACF790D2}"/>
    <cellStyle name="Millares 5 2 3 3" xfId="6952" xr:uid="{00000000-0005-0000-0000-0000281B0000}"/>
    <cellStyle name="Millares 5 2 3 3 2" xfId="7593" xr:uid="{00000000-0005-0000-0000-0000A91D0000}"/>
    <cellStyle name="Millares 5 2 3 3 2 2" xfId="11433" xr:uid="{FA24AC47-09BE-48EB-8A70-D55380C7C478}"/>
    <cellStyle name="Millares 5 2 3 3 3" xfId="10792" xr:uid="{BAB365B5-CCAE-4E13-B55A-6E33CF019FE8}"/>
    <cellStyle name="Millares 5 2 3 4" xfId="7272" xr:uid="{00000000-0005-0000-0000-0000681C0000}"/>
    <cellStyle name="Millares 5 2 3 4 2" xfId="11112" xr:uid="{55B432E5-2CF4-41C2-A1FB-77D56A8AD518}"/>
    <cellStyle name="Millares 5 2 3 5" xfId="8971" xr:uid="{EFEC647A-9EA9-48BF-9F75-66291DF4D455}"/>
    <cellStyle name="Millares 5 2 4" xfId="6752" xr:uid="{00000000-0005-0000-0000-0000601A0000}"/>
    <cellStyle name="Millares 5 2 4 2" xfId="7075" xr:uid="{00000000-0005-0000-0000-0000A31B0000}"/>
    <cellStyle name="Millares 5 2 4 2 2" xfId="7716" xr:uid="{00000000-0005-0000-0000-0000241E0000}"/>
    <cellStyle name="Millares 5 2 4 2 2 2" xfId="11556" xr:uid="{E88D0A51-8286-4E98-832C-BF85CF0633A6}"/>
    <cellStyle name="Millares 5 2 4 2 3" xfId="10915" xr:uid="{15F150E8-DBAC-40A8-976C-FE4447D4CFF3}"/>
    <cellStyle name="Millares 5 2 4 3" xfId="7393" xr:uid="{00000000-0005-0000-0000-0000E11C0000}"/>
    <cellStyle name="Millares 5 2 4 3 2" xfId="11233" xr:uid="{D4A03942-C45A-4F9A-9D9D-98E5AA734087}"/>
    <cellStyle name="Millares 5 2 4 4" xfId="10592" xr:uid="{B5BDFCE1-A5A1-485E-8676-E402155C5F3C}"/>
    <cellStyle name="Millares 5 2 5" xfId="6921" xr:uid="{00000000-0005-0000-0000-0000091B0000}"/>
    <cellStyle name="Millares 5 2 5 2" xfId="7562" xr:uid="{00000000-0005-0000-0000-00008A1D0000}"/>
    <cellStyle name="Millares 5 2 5 2 2" xfId="11402" xr:uid="{08DFC5AB-D0BC-4D08-914C-7CFB1A863782}"/>
    <cellStyle name="Millares 5 2 5 3" xfId="10761" xr:uid="{EEDF78B9-2922-4048-9EF6-4002037B9245}"/>
    <cellStyle name="Millares 5 2 6" xfId="7241" xr:uid="{00000000-0005-0000-0000-0000491C0000}"/>
    <cellStyle name="Millares 5 2 6 2" xfId="11081" xr:uid="{D340A37E-3E5B-4E67-935B-F36A6C305337}"/>
    <cellStyle name="Millares 5 2 7" xfId="8495" xr:uid="{1B4029F8-440D-4567-97A6-F5C7AC28BE24}"/>
    <cellStyle name="Millares 5 3" xfId="2018" xr:uid="{00000000-0005-0000-0000-0000E2070000}"/>
    <cellStyle name="Millares 5 3 2" xfId="5176" xr:uid="{00000000-0005-0000-0000-000038140000}"/>
    <cellStyle name="Millares 5 3 2 2" xfId="6858" xr:uid="{00000000-0005-0000-0000-0000CA1A0000}"/>
    <cellStyle name="Millares 5 3 2 2 2" xfId="7181" xr:uid="{00000000-0005-0000-0000-00000D1C0000}"/>
    <cellStyle name="Millares 5 3 2 2 2 2" xfId="7822" xr:uid="{00000000-0005-0000-0000-00008E1E0000}"/>
    <cellStyle name="Millares 5 3 2 2 2 2 2" xfId="11662" xr:uid="{C4CBC8B5-94FD-415C-8317-DAEA2109DA6F}"/>
    <cellStyle name="Millares 5 3 2 2 2 3" xfId="11021" xr:uid="{32AF76D4-AB1F-4C75-B154-B8B37F0CBB48}"/>
    <cellStyle name="Millares 5 3 2 2 3" xfId="7499" xr:uid="{00000000-0005-0000-0000-00004B1D0000}"/>
    <cellStyle name="Millares 5 3 2 2 3 2" xfId="11339" xr:uid="{BFE60AE4-D0F6-4380-B979-621E7B341AC1}"/>
    <cellStyle name="Millares 5 3 2 2 4" xfId="10698" xr:uid="{04507840-099E-496B-99DA-10F145EC5EF2}"/>
    <cellStyle name="Millares 5 3 2 3" xfId="7017" xr:uid="{00000000-0005-0000-0000-0000691B0000}"/>
    <cellStyle name="Millares 5 3 2 3 2" xfId="7658" xr:uid="{00000000-0005-0000-0000-0000EA1D0000}"/>
    <cellStyle name="Millares 5 3 2 3 2 2" xfId="11498" xr:uid="{94ECBE49-5BED-4B24-8CF5-AE27FB9D286D}"/>
    <cellStyle name="Millares 5 3 2 3 3" xfId="10857" xr:uid="{E87AF9B2-049F-4254-9572-BE911EB5D4FB}"/>
    <cellStyle name="Millares 5 3 2 4" xfId="7335" xr:uid="{00000000-0005-0000-0000-0000A71C0000}"/>
    <cellStyle name="Millares 5 3 2 4 2" xfId="11175" xr:uid="{C8DD7839-1F3E-4DBF-95FF-F34E1FF28365}"/>
    <cellStyle name="Millares 5 3 2 5" xfId="10013" xr:uid="{B762E074-75D5-4F9D-847E-36D50585E6D7}"/>
    <cellStyle name="Millares 5 3 3" xfId="3801" xr:uid="{00000000-0005-0000-0000-0000D90E0000}"/>
    <cellStyle name="Millares 5 3 3 2" xfId="6794" xr:uid="{00000000-0005-0000-0000-00008A1A0000}"/>
    <cellStyle name="Millares 5 3 3 2 2" xfId="7117" xr:uid="{00000000-0005-0000-0000-0000CD1B0000}"/>
    <cellStyle name="Millares 5 3 3 2 2 2" xfId="7758" xr:uid="{00000000-0005-0000-0000-00004E1E0000}"/>
    <cellStyle name="Millares 5 3 3 2 2 2 2" xfId="11598" xr:uid="{E7FD47F0-6FAC-47CE-AE7E-5B16DCB3A022}"/>
    <cellStyle name="Millares 5 3 3 2 2 3" xfId="10957" xr:uid="{726E1A8B-DE00-4BB7-9597-D6BBCB91EDDE}"/>
    <cellStyle name="Millares 5 3 3 2 3" xfId="7435" xr:uid="{00000000-0005-0000-0000-00000B1D0000}"/>
    <cellStyle name="Millares 5 3 3 2 3 2" xfId="11275" xr:uid="{CCE506F9-06CE-46D3-A348-9A017E3A5539}"/>
    <cellStyle name="Millares 5 3 3 2 4" xfId="10634" xr:uid="{18C4F4DA-3B2B-4C19-B63E-2F4132BD2049}"/>
    <cellStyle name="Millares 5 3 3 3" xfId="6953" xr:uid="{00000000-0005-0000-0000-0000291B0000}"/>
    <cellStyle name="Millares 5 3 3 3 2" xfId="7594" xr:uid="{00000000-0005-0000-0000-0000AA1D0000}"/>
    <cellStyle name="Millares 5 3 3 3 2 2" xfId="11434" xr:uid="{62A72772-8D60-42F9-8462-E3424532AFA0}"/>
    <cellStyle name="Millares 5 3 3 3 3" xfId="10793" xr:uid="{0484C5F1-052E-4373-8962-CAAB9D54DEE4}"/>
    <cellStyle name="Millares 5 3 3 4" xfId="7273" xr:uid="{00000000-0005-0000-0000-0000691C0000}"/>
    <cellStyle name="Millares 5 3 3 4 2" xfId="11113" xr:uid="{0F389B12-669C-418C-931B-E609984C94D2}"/>
    <cellStyle name="Millares 5 3 3 5" xfId="8972" xr:uid="{D5B633AC-F5E4-4769-8DE9-1F6C757A108B}"/>
    <cellStyle name="Millares 5 3 4" xfId="6753" xr:uid="{00000000-0005-0000-0000-0000611A0000}"/>
    <cellStyle name="Millares 5 3 4 2" xfId="7076" xr:uid="{00000000-0005-0000-0000-0000A41B0000}"/>
    <cellStyle name="Millares 5 3 4 2 2" xfId="7717" xr:uid="{00000000-0005-0000-0000-0000251E0000}"/>
    <cellStyle name="Millares 5 3 4 2 2 2" xfId="11557" xr:uid="{ED8A82CC-BCD6-40EF-9B72-D00B8F18069C}"/>
    <cellStyle name="Millares 5 3 4 2 3" xfId="10916" xr:uid="{AFE54560-E579-40B7-BB03-2FE3C28724E9}"/>
    <cellStyle name="Millares 5 3 4 3" xfId="7394" xr:uid="{00000000-0005-0000-0000-0000E21C0000}"/>
    <cellStyle name="Millares 5 3 4 3 2" xfId="11234" xr:uid="{CADE8ACC-DD79-48A1-B049-EF22BEEF2BB1}"/>
    <cellStyle name="Millares 5 3 4 4" xfId="10593" xr:uid="{7E3DD32E-D3AD-44D7-8806-76418400B439}"/>
    <cellStyle name="Millares 5 3 5" xfId="6922" xr:uid="{00000000-0005-0000-0000-00000A1B0000}"/>
    <cellStyle name="Millares 5 3 5 2" xfId="7563" xr:uid="{00000000-0005-0000-0000-00008B1D0000}"/>
    <cellStyle name="Millares 5 3 5 2 2" xfId="11403" xr:uid="{D3D1F738-38D5-4773-BA19-AC4A84789BA5}"/>
    <cellStyle name="Millares 5 3 5 3" xfId="10762" xr:uid="{F4C4B9B1-29D5-4829-88F1-F7E9B2342FD8}"/>
    <cellStyle name="Millares 5 3 6" xfId="7242" xr:uid="{00000000-0005-0000-0000-00004A1C0000}"/>
    <cellStyle name="Millares 5 3 6 2" xfId="11082" xr:uid="{767E9B9F-B641-4755-8350-E97E47EEA396}"/>
    <cellStyle name="Millares 5 3 7" xfId="8496" xr:uid="{239F442A-534C-4500-A0BD-50AFE92EF141}"/>
    <cellStyle name="Millares 5 4" xfId="2019" xr:uid="{00000000-0005-0000-0000-0000E3070000}"/>
    <cellStyle name="Millares 5 4 2" xfId="5177" xr:uid="{00000000-0005-0000-0000-000039140000}"/>
    <cellStyle name="Millares 5 4 2 2" xfId="6859" xr:uid="{00000000-0005-0000-0000-0000CB1A0000}"/>
    <cellStyle name="Millares 5 4 2 2 2" xfId="7182" xr:uid="{00000000-0005-0000-0000-00000E1C0000}"/>
    <cellStyle name="Millares 5 4 2 2 2 2" xfId="7823" xr:uid="{00000000-0005-0000-0000-00008F1E0000}"/>
    <cellStyle name="Millares 5 4 2 2 2 2 2" xfId="11663" xr:uid="{549C24A1-8F7D-4DFC-A395-795EACB5488D}"/>
    <cellStyle name="Millares 5 4 2 2 2 3" xfId="11022" xr:uid="{77636316-0C69-4698-941A-8F090237E853}"/>
    <cellStyle name="Millares 5 4 2 2 3" xfId="7500" xr:uid="{00000000-0005-0000-0000-00004C1D0000}"/>
    <cellStyle name="Millares 5 4 2 2 3 2" xfId="11340" xr:uid="{B624D85B-50F6-4CAC-9DB3-FE5DFB163673}"/>
    <cellStyle name="Millares 5 4 2 2 4" xfId="10699" xr:uid="{04A8748D-189A-4BF6-9C4F-8C835A44323C}"/>
    <cellStyle name="Millares 5 4 2 3" xfId="7018" xr:uid="{00000000-0005-0000-0000-00006A1B0000}"/>
    <cellStyle name="Millares 5 4 2 3 2" xfId="7659" xr:uid="{00000000-0005-0000-0000-0000EB1D0000}"/>
    <cellStyle name="Millares 5 4 2 3 2 2" xfId="11499" xr:uid="{FB070F49-1A50-4842-8573-C16F386630E8}"/>
    <cellStyle name="Millares 5 4 2 3 3" xfId="10858" xr:uid="{C85ED9D5-760A-4CB4-B274-C705F48835B4}"/>
    <cellStyle name="Millares 5 4 2 4" xfId="7336" xr:uid="{00000000-0005-0000-0000-0000A81C0000}"/>
    <cellStyle name="Millares 5 4 2 4 2" xfId="11176" xr:uid="{9CA281C1-E583-4506-A14F-68B1BEC8E677}"/>
    <cellStyle name="Millares 5 4 2 5" xfId="10014" xr:uid="{E48CB271-E881-4C42-8F31-04BA5C63CDEE}"/>
    <cellStyle name="Millares 5 4 3" xfId="3802" xr:uid="{00000000-0005-0000-0000-0000DA0E0000}"/>
    <cellStyle name="Millares 5 4 3 2" xfId="6795" xr:uid="{00000000-0005-0000-0000-00008B1A0000}"/>
    <cellStyle name="Millares 5 4 3 2 2" xfId="7118" xr:uid="{00000000-0005-0000-0000-0000CE1B0000}"/>
    <cellStyle name="Millares 5 4 3 2 2 2" xfId="7759" xr:uid="{00000000-0005-0000-0000-00004F1E0000}"/>
    <cellStyle name="Millares 5 4 3 2 2 2 2" xfId="11599" xr:uid="{5F9D4E8A-973F-49C4-BC6B-55EE6839F259}"/>
    <cellStyle name="Millares 5 4 3 2 2 3" xfId="10958" xr:uid="{BB6EAE20-B4FC-449D-904C-DE96F712B6A5}"/>
    <cellStyle name="Millares 5 4 3 2 3" xfId="7436" xr:uid="{00000000-0005-0000-0000-00000C1D0000}"/>
    <cellStyle name="Millares 5 4 3 2 3 2" xfId="11276" xr:uid="{EB4115A0-28D0-4FA0-8509-BDB58BD9ED84}"/>
    <cellStyle name="Millares 5 4 3 2 4" xfId="10635" xr:uid="{21958A22-3157-481D-9734-C0627BB54332}"/>
    <cellStyle name="Millares 5 4 3 3" xfId="6954" xr:uid="{00000000-0005-0000-0000-00002A1B0000}"/>
    <cellStyle name="Millares 5 4 3 3 2" xfId="7595" xr:uid="{00000000-0005-0000-0000-0000AB1D0000}"/>
    <cellStyle name="Millares 5 4 3 3 2 2" xfId="11435" xr:uid="{6363C649-DB0D-4D39-A260-2175300863D3}"/>
    <cellStyle name="Millares 5 4 3 3 3" xfId="10794" xr:uid="{E207EBAA-F05D-4487-B17F-9FF2EA0677D5}"/>
    <cellStyle name="Millares 5 4 3 4" xfId="7274" xr:uid="{00000000-0005-0000-0000-00006A1C0000}"/>
    <cellStyle name="Millares 5 4 3 4 2" xfId="11114" xr:uid="{50620202-B4BD-4D0D-92B5-8FF1351CB063}"/>
    <cellStyle name="Millares 5 4 3 5" xfId="8973" xr:uid="{66D62B1A-C502-44C9-B4D0-598324F2675F}"/>
    <cellStyle name="Millares 5 4 4" xfId="6754" xr:uid="{00000000-0005-0000-0000-0000621A0000}"/>
    <cellStyle name="Millares 5 4 4 2" xfId="7077" xr:uid="{00000000-0005-0000-0000-0000A51B0000}"/>
    <cellStyle name="Millares 5 4 4 2 2" xfId="7718" xr:uid="{00000000-0005-0000-0000-0000261E0000}"/>
    <cellStyle name="Millares 5 4 4 2 2 2" xfId="11558" xr:uid="{EF415F34-2F5B-4138-B63E-E551E9CBEEB7}"/>
    <cellStyle name="Millares 5 4 4 2 3" xfId="10917" xr:uid="{91DDB4D0-4A5C-409C-8047-7D47BD30D15B}"/>
    <cellStyle name="Millares 5 4 4 3" xfId="7395" xr:uid="{00000000-0005-0000-0000-0000E31C0000}"/>
    <cellStyle name="Millares 5 4 4 3 2" xfId="11235" xr:uid="{DE5A472D-01AB-4138-B165-DFB42BE1DC76}"/>
    <cellStyle name="Millares 5 4 4 4" xfId="10594" xr:uid="{117DA8EC-23CC-4F6A-BE2F-CF846F2F64F2}"/>
    <cellStyle name="Millares 5 4 5" xfId="6923" xr:uid="{00000000-0005-0000-0000-00000B1B0000}"/>
    <cellStyle name="Millares 5 4 5 2" xfId="7564" xr:uid="{00000000-0005-0000-0000-00008C1D0000}"/>
    <cellStyle name="Millares 5 4 5 2 2" xfId="11404" xr:uid="{02EEDE0A-0742-49AB-8EAE-9FBB5E1E0F7E}"/>
    <cellStyle name="Millares 5 4 5 3" xfId="10763" xr:uid="{B0BB1AC6-32A7-4E12-8DED-9F3863015429}"/>
    <cellStyle name="Millares 5 4 6" xfId="7243" xr:uid="{00000000-0005-0000-0000-00004B1C0000}"/>
    <cellStyle name="Millares 5 4 6 2" xfId="11083" xr:uid="{498AADDC-F7B4-4348-9341-D270E5FBB096}"/>
    <cellStyle name="Millares 5 4 7" xfId="8497" xr:uid="{14561B60-50BB-4B62-94C1-74FD16BD582B}"/>
    <cellStyle name="Millares 5 5" xfId="2020" xr:uid="{00000000-0005-0000-0000-0000E4070000}"/>
    <cellStyle name="Millares 5 5 2" xfId="5178" xr:uid="{00000000-0005-0000-0000-00003A140000}"/>
    <cellStyle name="Millares 5 5 2 2" xfId="6860" xr:uid="{00000000-0005-0000-0000-0000CC1A0000}"/>
    <cellStyle name="Millares 5 5 2 2 2" xfId="7183" xr:uid="{00000000-0005-0000-0000-00000F1C0000}"/>
    <cellStyle name="Millares 5 5 2 2 2 2" xfId="7824" xr:uid="{00000000-0005-0000-0000-0000901E0000}"/>
    <cellStyle name="Millares 5 5 2 2 2 2 2" xfId="11664" xr:uid="{0E0B6273-0C30-43BA-A663-EE039FB7616B}"/>
    <cellStyle name="Millares 5 5 2 2 2 3" xfId="11023" xr:uid="{D29257A3-6817-4362-ACF8-7E8226B434E1}"/>
    <cellStyle name="Millares 5 5 2 2 3" xfId="7501" xr:uid="{00000000-0005-0000-0000-00004D1D0000}"/>
    <cellStyle name="Millares 5 5 2 2 3 2" xfId="11341" xr:uid="{1E5D89EE-4571-4DAA-AB9C-453FF37DF1B6}"/>
    <cellStyle name="Millares 5 5 2 2 4" xfId="10700" xr:uid="{60E5CCFA-259B-4914-9349-960349E87DBC}"/>
    <cellStyle name="Millares 5 5 2 3" xfId="7019" xr:uid="{00000000-0005-0000-0000-00006B1B0000}"/>
    <cellStyle name="Millares 5 5 2 3 2" xfId="7660" xr:uid="{00000000-0005-0000-0000-0000EC1D0000}"/>
    <cellStyle name="Millares 5 5 2 3 2 2" xfId="11500" xr:uid="{A4050864-BC30-415F-9BE5-201E2514B901}"/>
    <cellStyle name="Millares 5 5 2 3 3" xfId="10859" xr:uid="{B38D55D3-D367-4B63-93FC-6F2300A2B0E5}"/>
    <cellStyle name="Millares 5 5 2 4" xfId="7337" xr:uid="{00000000-0005-0000-0000-0000A91C0000}"/>
    <cellStyle name="Millares 5 5 2 4 2" xfId="11177" xr:uid="{91A44D7D-CA47-455E-8E22-4BC6FA3C83CB}"/>
    <cellStyle name="Millares 5 5 2 5" xfId="10015" xr:uid="{0B2A9EC1-DCBA-46D8-AA37-0AFBFAC5F1B2}"/>
    <cellStyle name="Millares 5 5 3" xfId="3803" xr:uid="{00000000-0005-0000-0000-0000DB0E0000}"/>
    <cellStyle name="Millares 5 5 3 2" xfId="6796" xr:uid="{00000000-0005-0000-0000-00008C1A0000}"/>
    <cellStyle name="Millares 5 5 3 2 2" xfId="7119" xr:uid="{00000000-0005-0000-0000-0000CF1B0000}"/>
    <cellStyle name="Millares 5 5 3 2 2 2" xfId="7760" xr:uid="{00000000-0005-0000-0000-0000501E0000}"/>
    <cellStyle name="Millares 5 5 3 2 2 2 2" xfId="11600" xr:uid="{A267D0C5-897F-4224-B47B-34C97823223A}"/>
    <cellStyle name="Millares 5 5 3 2 2 3" xfId="10959" xr:uid="{5EDD8166-0B30-49E1-A555-BB20548167E0}"/>
    <cellStyle name="Millares 5 5 3 2 3" xfId="7437" xr:uid="{00000000-0005-0000-0000-00000D1D0000}"/>
    <cellStyle name="Millares 5 5 3 2 3 2" xfId="11277" xr:uid="{780F5722-C6C7-43D6-8524-5C25D4DA275D}"/>
    <cellStyle name="Millares 5 5 3 2 4" xfId="10636" xr:uid="{C4AC9D47-87A2-4C32-80E4-E9850401F836}"/>
    <cellStyle name="Millares 5 5 3 3" xfId="6955" xr:uid="{00000000-0005-0000-0000-00002B1B0000}"/>
    <cellStyle name="Millares 5 5 3 3 2" xfId="7596" xr:uid="{00000000-0005-0000-0000-0000AC1D0000}"/>
    <cellStyle name="Millares 5 5 3 3 2 2" xfId="11436" xr:uid="{A889C223-8E34-4167-8A7A-B1CD58A1E754}"/>
    <cellStyle name="Millares 5 5 3 3 3" xfId="10795" xr:uid="{5020DF82-BABB-4812-93B1-7B8C72DDF684}"/>
    <cellStyle name="Millares 5 5 3 4" xfId="7275" xr:uid="{00000000-0005-0000-0000-00006B1C0000}"/>
    <cellStyle name="Millares 5 5 3 4 2" xfId="11115" xr:uid="{DFD8C80A-74AF-40CB-83A6-C567CACE4C81}"/>
    <cellStyle name="Millares 5 5 3 5" xfId="8974" xr:uid="{C1184C6F-37C9-416C-BE90-A7A91EACF9F3}"/>
    <cellStyle name="Millares 5 5 4" xfId="6755" xr:uid="{00000000-0005-0000-0000-0000631A0000}"/>
    <cellStyle name="Millares 5 5 4 2" xfId="7078" xr:uid="{00000000-0005-0000-0000-0000A61B0000}"/>
    <cellStyle name="Millares 5 5 4 2 2" xfId="7719" xr:uid="{00000000-0005-0000-0000-0000271E0000}"/>
    <cellStyle name="Millares 5 5 4 2 2 2" xfId="11559" xr:uid="{F5B2C880-42B6-4C14-B0F7-6423C937BF4A}"/>
    <cellStyle name="Millares 5 5 4 2 3" xfId="10918" xr:uid="{70E1EF6C-387D-4017-B19D-59C5DF876578}"/>
    <cellStyle name="Millares 5 5 4 3" xfId="7396" xr:uid="{00000000-0005-0000-0000-0000E41C0000}"/>
    <cellStyle name="Millares 5 5 4 3 2" xfId="11236" xr:uid="{BA87727F-39F6-4937-8F0D-419292EA8FA7}"/>
    <cellStyle name="Millares 5 5 4 4" xfId="10595" xr:uid="{81422A7C-C8AE-464B-AC6B-A6EF09D85A38}"/>
    <cellStyle name="Millares 5 5 5" xfId="6924" xr:uid="{00000000-0005-0000-0000-00000C1B0000}"/>
    <cellStyle name="Millares 5 5 5 2" xfId="7565" xr:uid="{00000000-0005-0000-0000-00008D1D0000}"/>
    <cellStyle name="Millares 5 5 5 2 2" xfId="11405" xr:uid="{C831E8CD-89F2-4C37-9AC1-35C6DE31ED7D}"/>
    <cellStyle name="Millares 5 5 5 3" xfId="10764" xr:uid="{BC16E69F-EFE3-47EE-B1CC-D33D7E4F700B}"/>
    <cellStyle name="Millares 5 5 6" xfId="7244" xr:uid="{00000000-0005-0000-0000-00004C1C0000}"/>
    <cellStyle name="Millares 5 5 6 2" xfId="11084" xr:uid="{87717EC7-CF70-423E-BF3A-C4EA0A461972}"/>
    <cellStyle name="Millares 5 5 7" xfId="8498" xr:uid="{0C5BA9A9-4B9C-40C2-A442-7421265C89ED}"/>
    <cellStyle name="Millares 5 6" xfId="2021" xr:uid="{00000000-0005-0000-0000-0000E5070000}"/>
    <cellStyle name="Millares 5 6 2" xfId="5179" xr:uid="{00000000-0005-0000-0000-00003B140000}"/>
    <cellStyle name="Millares 5 6 2 2" xfId="6861" xr:uid="{00000000-0005-0000-0000-0000CD1A0000}"/>
    <cellStyle name="Millares 5 6 2 2 2" xfId="7184" xr:uid="{00000000-0005-0000-0000-0000101C0000}"/>
    <cellStyle name="Millares 5 6 2 2 2 2" xfId="7825" xr:uid="{00000000-0005-0000-0000-0000911E0000}"/>
    <cellStyle name="Millares 5 6 2 2 2 2 2" xfId="11665" xr:uid="{0CE1EC8B-6F50-46D0-B743-021EAFF0052B}"/>
    <cellStyle name="Millares 5 6 2 2 2 3" xfId="11024" xr:uid="{39F3F12B-ED05-4CE9-802D-9AD547D7180F}"/>
    <cellStyle name="Millares 5 6 2 2 3" xfId="7502" xr:uid="{00000000-0005-0000-0000-00004E1D0000}"/>
    <cellStyle name="Millares 5 6 2 2 3 2" xfId="11342" xr:uid="{A423EC89-812E-40F9-A505-398355E1922B}"/>
    <cellStyle name="Millares 5 6 2 2 4" xfId="10701" xr:uid="{E26FB273-8652-49BB-89FF-631B8F59AFE6}"/>
    <cellStyle name="Millares 5 6 2 3" xfId="7020" xr:uid="{00000000-0005-0000-0000-00006C1B0000}"/>
    <cellStyle name="Millares 5 6 2 3 2" xfId="7661" xr:uid="{00000000-0005-0000-0000-0000ED1D0000}"/>
    <cellStyle name="Millares 5 6 2 3 2 2" xfId="11501" xr:uid="{92E36B8D-DED9-44CF-9682-6682ED6759AD}"/>
    <cellStyle name="Millares 5 6 2 3 3" xfId="10860" xr:uid="{467DD158-7A1A-421D-8577-88FC402ED747}"/>
    <cellStyle name="Millares 5 6 2 4" xfId="7338" xr:uid="{00000000-0005-0000-0000-0000AA1C0000}"/>
    <cellStyle name="Millares 5 6 2 4 2" xfId="11178" xr:uid="{C54F7340-4A9C-458C-9D2E-468033E43D5A}"/>
    <cellStyle name="Millares 5 6 2 5" xfId="10016" xr:uid="{5316F220-F19C-4F1C-AFF0-705B01C1D7CB}"/>
    <cellStyle name="Millares 5 6 3" xfId="3804" xr:uid="{00000000-0005-0000-0000-0000DC0E0000}"/>
    <cellStyle name="Millares 5 6 3 2" xfId="6797" xr:uid="{00000000-0005-0000-0000-00008D1A0000}"/>
    <cellStyle name="Millares 5 6 3 2 2" xfId="7120" xr:uid="{00000000-0005-0000-0000-0000D01B0000}"/>
    <cellStyle name="Millares 5 6 3 2 2 2" xfId="7761" xr:uid="{00000000-0005-0000-0000-0000511E0000}"/>
    <cellStyle name="Millares 5 6 3 2 2 2 2" xfId="11601" xr:uid="{D6D22602-9C01-404C-B583-FB47374D73E4}"/>
    <cellStyle name="Millares 5 6 3 2 2 3" xfId="10960" xr:uid="{4757A73A-AA90-41C1-824C-B15B1FE90C08}"/>
    <cellStyle name="Millares 5 6 3 2 3" xfId="7438" xr:uid="{00000000-0005-0000-0000-00000E1D0000}"/>
    <cellStyle name="Millares 5 6 3 2 3 2" xfId="11278" xr:uid="{B1ECCAC9-F1BB-46F6-96BA-009C0EDFAD67}"/>
    <cellStyle name="Millares 5 6 3 2 4" xfId="10637" xr:uid="{A935377F-8514-44F9-9795-11F5B1A07CB1}"/>
    <cellStyle name="Millares 5 6 3 3" xfId="6956" xr:uid="{00000000-0005-0000-0000-00002C1B0000}"/>
    <cellStyle name="Millares 5 6 3 3 2" xfId="7597" xr:uid="{00000000-0005-0000-0000-0000AD1D0000}"/>
    <cellStyle name="Millares 5 6 3 3 2 2" xfId="11437" xr:uid="{B3578722-6980-4067-8B72-1D1D9196BF14}"/>
    <cellStyle name="Millares 5 6 3 3 3" xfId="10796" xr:uid="{C75AD238-020A-462D-B2B5-362206002D0C}"/>
    <cellStyle name="Millares 5 6 3 4" xfId="7276" xr:uid="{00000000-0005-0000-0000-00006C1C0000}"/>
    <cellStyle name="Millares 5 6 3 4 2" xfId="11116" xr:uid="{474ADAF4-173A-4AF9-AF6B-652D30D6A741}"/>
    <cellStyle name="Millares 5 6 3 5" xfId="8975" xr:uid="{1636D0D8-9303-4EF4-96C9-E13BAFBB4611}"/>
    <cellStyle name="Millares 5 6 4" xfId="6756" xr:uid="{00000000-0005-0000-0000-0000641A0000}"/>
    <cellStyle name="Millares 5 6 4 2" xfId="7079" xr:uid="{00000000-0005-0000-0000-0000A71B0000}"/>
    <cellStyle name="Millares 5 6 4 2 2" xfId="7720" xr:uid="{00000000-0005-0000-0000-0000281E0000}"/>
    <cellStyle name="Millares 5 6 4 2 2 2" xfId="11560" xr:uid="{900ED27A-4C9B-412A-AC19-588CE7940FBB}"/>
    <cellStyle name="Millares 5 6 4 2 3" xfId="10919" xr:uid="{F6D292B0-4A35-4B1E-AD84-E9BE35C1E4A5}"/>
    <cellStyle name="Millares 5 6 4 3" xfId="7397" xr:uid="{00000000-0005-0000-0000-0000E51C0000}"/>
    <cellStyle name="Millares 5 6 4 3 2" xfId="11237" xr:uid="{96571C1A-9C2F-41AB-8775-EFE404F2CF64}"/>
    <cellStyle name="Millares 5 6 4 4" xfId="10596" xr:uid="{42D1D8B3-D5E9-4AF9-8271-BFA32EA82F9B}"/>
    <cellStyle name="Millares 5 6 5" xfId="6925" xr:uid="{00000000-0005-0000-0000-00000D1B0000}"/>
    <cellStyle name="Millares 5 6 5 2" xfId="7566" xr:uid="{00000000-0005-0000-0000-00008E1D0000}"/>
    <cellStyle name="Millares 5 6 5 2 2" xfId="11406" xr:uid="{2CDD47C8-A305-4EDE-901D-1019952A8B3F}"/>
    <cellStyle name="Millares 5 6 5 3" xfId="10765" xr:uid="{B0A10BA9-D417-4810-8F08-3395AE090DD9}"/>
    <cellStyle name="Millares 5 6 6" xfId="7245" xr:uid="{00000000-0005-0000-0000-00004D1C0000}"/>
    <cellStyle name="Millares 5 6 6 2" xfId="11085" xr:uid="{9B222382-7497-40E0-9890-A8F06955857D}"/>
    <cellStyle name="Millares 5 6 7" xfId="8499" xr:uid="{A653EEF5-2D22-49A1-B3EC-BF3DEC16EFB4}"/>
    <cellStyle name="Millares 5 7" xfId="2022" xr:uid="{00000000-0005-0000-0000-0000E6070000}"/>
    <cellStyle name="Millares 5 7 2" xfId="3805" xr:uid="{00000000-0005-0000-0000-0000DD0E0000}"/>
    <cellStyle name="Millares 5 7 2 2" xfId="6798" xr:uid="{00000000-0005-0000-0000-00008E1A0000}"/>
    <cellStyle name="Millares 5 7 2 2 2" xfId="7121" xr:uid="{00000000-0005-0000-0000-0000D11B0000}"/>
    <cellStyle name="Millares 5 7 2 2 2 2" xfId="7762" xr:uid="{00000000-0005-0000-0000-0000521E0000}"/>
    <cellStyle name="Millares 5 7 2 2 2 2 2" xfId="11602" xr:uid="{28A4127D-F8AB-40AE-9C8F-63507171F228}"/>
    <cellStyle name="Millares 5 7 2 2 2 3" xfId="10961" xr:uid="{875AD855-C5F4-47A1-ABAA-CAAE5129BAE2}"/>
    <cellStyle name="Millares 5 7 2 2 3" xfId="7439" xr:uid="{00000000-0005-0000-0000-00000F1D0000}"/>
    <cellStyle name="Millares 5 7 2 2 3 2" xfId="11279" xr:uid="{043D90C9-435C-4EE5-A944-9A9817D31077}"/>
    <cellStyle name="Millares 5 7 2 2 4" xfId="10638" xr:uid="{6F344785-C654-4DB3-802D-17D8B9DB4E9D}"/>
    <cellStyle name="Millares 5 7 2 3" xfId="6957" xr:uid="{00000000-0005-0000-0000-00002D1B0000}"/>
    <cellStyle name="Millares 5 7 2 3 2" xfId="7598" xr:uid="{00000000-0005-0000-0000-0000AE1D0000}"/>
    <cellStyle name="Millares 5 7 2 3 2 2" xfId="11438" xr:uid="{62015A06-A9D5-456F-AE8F-781A88CD3736}"/>
    <cellStyle name="Millares 5 7 2 3 3" xfId="10797" xr:uid="{6362ACFC-3D2D-4940-828E-0170759E6D9C}"/>
    <cellStyle name="Millares 5 7 2 4" xfId="7277" xr:uid="{00000000-0005-0000-0000-00006D1C0000}"/>
    <cellStyle name="Millares 5 7 2 4 2" xfId="11117" xr:uid="{ED5AEF2C-83EB-47DF-AD7D-A8DF9C67A90F}"/>
    <cellStyle name="Millares 5 7 2 5" xfId="8976" xr:uid="{696F337B-A804-45CA-866D-319C004BD7E9}"/>
    <cellStyle name="Millares 5 7 3" xfId="6757" xr:uid="{00000000-0005-0000-0000-0000651A0000}"/>
    <cellStyle name="Millares 5 7 3 2" xfId="7080" xr:uid="{00000000-0005-0000-0000-0000A81B0000}"/>
    <cellStyle name="Millares 5 7 3 2 2" xfId="7721" xr:uid="{00000000-0005-0000-0000-0000291E0000}"/>
    <cellStyle name="Millares 5 7 3 2 2 2" xfId="11561" xr:uid="{36EFD58F-A709-4F99-8982-437FF0E01635}"/>
    <cellStyle name="Millares 5 7 3 2 3" xfId="10920" xr:uid="{25190F06-9551-47B7-B7DC-54AF98A70A8C}"/>
    <cellStyle name="Millares 5 7 3 3" xfId="7398" xr:uid="{00000000-0005-0000-0000-0000E61C0000}"/>
    <cellStyle name="Millares 5 7 3 3 2" xfId="11238" xr:uid="{F59511B3-853F-4788-AF91-FAE4403FCEB5}"/>
    <cellStyle name="Millares 5 7 3 4" xfId="10597" xr:uid="{2956FC13-85EE-4EB8-A47F-67520FA30991}"/>
    <cellStyle name="Millares 5 7 4" xfId="6926" xr:uid="{00000000-0005-0000-0000-00000E1B0000}"/>
    <cellStyle name="Millares 5 7 4 2" xfId="7567" xr:uid="{00000000-0005-0000-0000-00008F1D0000}"/>
    <cellStyle name="Millares 5 7 4 2 2" xfId="11407" xr:uid="{5D55CD02-A0D0-48E6-A9C2-A43A413B9372}"/>
    <cellStyle name="Millares 5 7 4 3" xfId="10766" xr:uid="{4F9BBB91-48AE-49BC-B501-96E0221ABB9A}"/>
    <cellStyle name="Millares 5 7 5" xfId="7246" xr:uid="{00000000-0005-0000-0000-00004E1C0000}"/>
    <cellStyle name="Millares 5 7 5 2" xfId="11086" xr:uid="{E5823E7F-2CAE-4E26-8E14-D511A6A18147}"/>
    <cellStyle name="Millares 5 7 6" xfId="8500" xr:uid="{CE120A44-0CAB-4615-BA9B-D88564BAAFC5}"/>
    <cellStyle name="Millares 5 8" xfId="2023" xr:uid="{00000000-0005-0000-0000-0000E7070000}"/>
    <cellStyle name="Millares 5 8 2" xfId="3806" xr:uid="{00000000-0005-0000-0000-0000DE0E0000}"/>
    <cellStyle name="Millares 5 8 2 2" xfId="6799" xr:uid="{00000000-0005-0000-0000-00008F1A0000}"/>
    <cellStyle name="Millares 5 8 2 2 2" xfId="7122" xr:uid="{00000000-0005-0000-0000-0000D21B0000}"/>
    <cellStyle name="Millares 5 8 2 2 2 2" xfId="7763" xr:uid="{00000000-0005-0000-0000-0000531E0000}"/>
    <cellStyle name="Millares 5 8 2 2 2 2 2" xfId="11603" xr:uid="{2B4DD96E-BAC3-4A9B-AE3B-F7B343039AE9}"/>
    <cellStyle name="Millares 5 8 2 2 2 3" xfId="10962" xr:uid="{AB18B241-D440-4EA9-B473-42ACF14A3D42}"/>
    <cellStyle name="Millares 5 8 2 2 3" xfId="7440" xr:uid="{00000000-0005-0000-0000-0000101D0000}"/>
    <cellStyle name="Millares 5 8 2 2 3 2" xfId="11280" xr:uid="{06850961-64DF-4D13-A790-E95CAD3737A3}"/>
    <cellStyle name="Millares 5 8 2 2 4" xfId="10639" xr:uid="{6C4DABC2-6F5F-4FDB-A83E-BCE0519DAEFD}"/>
    <cellStyle name="Millares 5 8 2 3" xfId="6958" xr:uid="{00000000-0005-0000-0000-00002E1B0000}"/>
    <cellStyle name="Millares 5 8 2 3 2" xfId="7599" xr:uid="{00000000-0005-0000-0000-0000AF1D0000}"/>
    <cellStyle name="Millares 5 8 2 3 2 2" xfId="11439" xr:uid="{174574CB-1488-4A26-A3D1-BE729FD260D7}"/>
    <cellStyle name="Millares 5 8 2 3 3" xfId="10798" xr:uid="{FB130AA2-6E42-4633-9F03-3ACDB92103F8}"/>
    <cellStyle name="Millares 5 8 2 4" xfId="7278" xr:uid="{00000000-0005-0000-0000-00006E1C0000}"/>
    <cellStyle name="Millares 5 8 2 4 2" xfId="11118" xr:uid="{B32C07EB-B7FD-4F69-8442-9EBFE857CAF2}"/>
    <cellStyle name="Millares 5 8 2 5" xfId="8977" xr:uid="{AD2A627C-D26E-4135-8F1C-38EDEF843ACA}"/>
    <cellStyle name="Millares 5 8 3" xfId="6758" xr:uid="{00000000-0005-0000-0000-0000661A0000}"/>
    <cellStyle name="Millares 5 8 3 2" xfId="7081" xr:uid="{00000000-0005-0000-0000-0000A91B0000}"/>
    <cellStyle name="Millares 5 8 3 2 2" xfId="7722" xr:uid="{00000000-0005-0000-0000-00002A1E0000}"/>
    <cellStyle name="Millares 5 8 3 2 2 2" xfId="11562" xr:uid="{528DFEDB-556A-42CE-9593-69B1C1A0BB95}"/>
    <cellStyle name="Millares 5 8 3 2 3" xfId="10921" xr:uid="{5BE39882-6853-413B-AA53-03F391D3E7D2}"/>
    <cellStyle name="Millares 5 8 3 3" xfId="7399" xr:uid="{00000000-0005-0000-0000-0000E71C0000}"/>
    <cellStyle name="Millares 5 8 3 3 2" xfId="11239" xr:uid="{6ED1B379-4A99-4ECE-A342-E4E4F4F83AD2}"/>
    <cellStyle name="Millares 5 8 3 4" xfId="10598" xr:uid="{D7F6559A-AD21-4035-9702-0EC5481B1B32}"/>
    <cellStyle name="Millares 5 8 4" xfId="6927" xr:uid="{00000000-0005-0000-0000-00000F1B0000}"/>
    <cellStyle name="Millares 5 8 4 2" xfId="7568" xr:uid="{00000000-0005-0000-0000-0000901D0000}"/>
    <cellStyle name="Millares 5 8 4 2 2" xfId="11408" xr:uid="{8340537B-DE45-4A8C-A169-22B415D53F19}"/>
    <cellStyle name="Millares 5 8 4 3" xfId="10767" xr:uid="{17903FDE-AD3D-4170-AD16-72308D5788F2}"/>
    <cellStyle name="Millares 5 8 5" xfId="7247" xr:uid="{00000000-0005-0000-0000-00004F1C0000}"/>
    <cellStyle name="Millares 5 8 5 2" xfId="11087" xr:uid="{81C71DDE-7034-44E6-A8E6-99C9D090C9A7}"/>
    <cellStyle name="Millares 5 8 6" xfId="8501" xr:uid="{B8082FBA-E4C8-492C-87A7-384C71B2BAF5}"/>
    <cellStyle name="Millares 5 9" xfId="3799" xr:uid="{00000000-0005-0000-0000-0000D70E0000}"/>
    <cellStyle name="Millares 5 9 2" xfId="6792" xr:uid="{00000000-0005-0000-0000-0000881A0000}"/>
    <cellStyle name="Millares 5 9 2 2" xfId="7115" xr:uid="{00000000-0005-0000-0000-0000CB1B0000}"/>
    <cellStyle name="Millares 5 9 2 2 2" xfId="7756" xr:uid="{00000000-0005-0000-0000-00004C1E0000}"/>
    <cellStyle name="Millares 5 9 2 2 2 2" xfId="11596" xr:uid="{7A3E0839-0130-4DA1-B1F2-AABE496EBA18}"/>
    <cellStyle name="Millares 5 9 2 2 3" xfId="10955" xr:uid="{44712F2D-27D9-4920-889B-01E323881A4B}"/>
    <cellStyle name="Millares 5 9 2 3" xfId="7433" xr:uid="{00000000-0005-0000-0000-0000091D0000}"/>
    <cellStyle name="Millares 5 9 2 3 2" xfId="11273" xr:uid="{C2E29668-E304-4036-A3F4-6326363FF3F2}"/>
    <cellStyle name="Millares 5 9 2 4" xfId="10632" xr:uid="{0509B74A-29EC-4474-9DB0-FEC83685555F}"/>
    <cellStyle name="Millares 5 9 3" xfId="6951" xr:uid="{00000000-0005-0000-0000-0000271B0000}"/>
    <cellStyle name="Millares 5 9 3 2" xfId="7592" xr:uid="{00000000-0005-0000-0000-0000A81D0000}"/>
    <cellStyle name="Millares 5 9 3 2 2" xfId="11432" xr:uid="{AA9874D9-8B62-4DF4-A72C-55CC5E316C34}"/>
    <cellStyle name="Millares 5 9 3 3" xfId="10791" xr:uid="{E0B6BE5B-2065-4505-A256-3318454656D5}"/>
    <cellStyle name="Millares 5 9 4" xfId="7271" xr:uid="{00000000-0005-0000-0000-0000671C0000}"/>
    <cellStyle name="Millares 5 9 4 2" xfId="11111" xr:uid="{8A18D273-9B53-4934-A415-8BFA75EC6364}"/>
    <cellStyle name="Millares 5 9 5" xfId="8970" xr:uid="{10C2BED6-78D9-4ACA-8E67-A0F9492327AD}"/>
    <cellStyle name="Millares 5_Deuda septiembre_marcos" xfId="2024" xr:uid="{00000000-0005-0000-0000-0000E8070000}"/>
    <cellStyle name="Millares 6" xfId="2025" xr:uid="{00000000-0005-0000-0000-0000E9070000}"/>
    <cellStyle name="Millares 6 2" xfId="2026" xr:uid="{00000000-0005-0000-0000-0000EA070000}"/>
    <cellStyle name="Millares 6 2 2" xfId="5180" xr:uid="{00000000-0005-0000-0000-00003C140000}"/>
    <cellStyle name="Millares 6 3" xfId="2027" xr:uid="{00000000-0005-0000-0000-0000EB070000}"/>
    <cellStyle name="Millares 6 3 2" xfId="5181" xr:uid="{00000000-0005-0000-0000-00003D140000}"/>
    <cellStyle name="Millares 6 4" xfId="2028" xr:uid="{00000000-0005-0000-0000-0000EC070000}"/>
    <cellStyle name="Millares 6 4 2" xfId="5182" xr:uid="{00000000-0005-0000-0000-00003E140000}"/>
    <cellStyle name="Millares 6 5" xfId="2029" xr:uid="{00000000-0005-0000-0000-0000ED070000}"/>
    <cellStyle name="Millares 6 5 2" xfId="5183" xr:uid="{00000000-0005-0000-0000-00003F140000}"/>
    <cellStyle name="Millares 6 6" xfId="2030" xr:uid="{00000000-0005-0000-0000-0000EE070000}"/>
    <cellStyle name="Millares 6 6 2" xfId="5184" xr:uid="{00000000-0005-0000-0000-000040140000}"/>
    <cellStyle name="Millares 6 7" xfId="2031" xr:uid="{00000000-0005-0000-0000-0000EF070000}"/>
    <cellStyle name="Millares 6 8" xfId="2032" xr:uid="{00000000-0005-0000-0000-0000F0070000}"/>
    <cellStyle name="Millares 6 9" xfId="2033" xr:uid="{00000000-0005-0000-0000-0000F1070000}"/>
    <cellStyle name="Millares 6 9 2" xfId="3807" xr:uid="{00000000-0005-0000-0000-0000DF0E0000}"/>
    <cellStyle name="Millares 6 9 2 2" xfId="6800" xr:uid="{00000000-0005-0000-0000-0000901A0000}"/>
    <cellStyle name="Millares 6 9 2 2 2" xfId="7123" xr:uid="{00000000-0005-0000-0000-0000D31B0000}"/>
    <cellStyle name="Millares 6 9 2 2 2 2" xfId="7764" xr:uid="{00000000-0005-0000-0000-0000541E0000}"/>
    <cellStyle name="Millares 6 9 2 2 2 2 2" xfId="11604" xr:uid="{5F300147-5323-476F-B35F-54B3066510C4}"/>
    <cellStyle name="Millares 6 9 2 2 2 3" xfId="10963" xr:uid="{F9595BE5-FD80-4690-A06F-0DA3C8CEC0B9}"/>
    <cellStyle name="Millares 6 9 2 2 3" xfId="7441" xr:uid="{00000000-0005-0000-0000-0000111D0000}"/>
    <cellStyle name="Millares 6 9 2 2 3 2" xfId="11281" xr:uid="{C9754581-D73A-4559-99B6-E57FADB524FC}"/>
    <cellStyle name="Millares 6 9 2 2 4" xfId="10640" xr:uid="{5C1C2E21-BA50-4B72-8B3F-8102BCCBC1D4}"/>
    <cellStyle name="Millares 6 9 2 3" xfId="6959" xr:uid="{00000000-0005-0000-0000-00002F1B0000}"/>
    <cellStyle name="Millares 6 9 2 3 2" xfId="7600" xr:uid="{00000000-0005-0000-0000-0000B01D0000}"/>
    <cellStyle name="Millares 6 9 2 3 2 2" xfId="11440" xr:uid="{8E25B3B8-1002-4067-91FB-6819DC9865DA}"/>
    <cellStyle name="Millares 6 9 2 3 3" xfId="10799" xr:uid="{B93BAA9B-AB23-47A8-9064-58FA80C77768}"/>
    <cellStyle name="Millares 6 9 2 4" xfId="7279" xr:uid="{00000000-0005-0000-0000-00006F1C0000}"/>
    <cellStyle name="Millares 6 9 2 4 2" xfId="11119" xr:uid="{5F4C17FE-2A12-40BC-B460-C89CE341D032}"/>
    <cellStyle name="Millares 6 9 2 5" xfId="8978" xr:uid="{788F5CCE-3549-48A2-81EF-2ECA7D16D674}"/>
    <cellStyle name="Millares 6 9 3" xfId="6759" xr:uid="{00000000-0005-0000-0000-0000671A0000}"/>
    <cellStyle name="Millares 6 9 3 2" xfId="7082" xr:uid="{00000000-0005-0000-0000-0000AA1B0000}"/>
    <cellStyle name="Millares 6 9 3 2 2" xfId="7723" xr:uid="{00000000-0005-0000-0000-00002B1E0000}"/>
    <cellStyle name="Millares 6 9 3 2 2 2" xfId="11563" xr:uid="{03CD6C5B-C60E-4096-9010-621BA69FE4B4}"/>
    <cellStyle name="Millares 6 9 3 2 3" xfId="10922" xr:uid="{3FA3AAEB-3CEB-4A45-B616-BF6E128AAD41}"/>
    <cellStyle name="Millares 6 9 3 3" xfId="7400" xr:uid="{00000000-0005-0000-0000-0000E81C0000}"/>
    <cellStyle name="Millares 6 9 3 3 2" xfId="11240" xr:uid="{8F386815-826A-4039-AFD2-08929773E2BA}"/>
    <cellStyle name="Millares 6 9 3 4" xfId="10599" xr:uid="{0E7C54ED-6363-4BBA-95C0-102227977A90}"/>
    <cellStyle name="Millares 6 9 4" xfId="6928" xr:uid="{00000000-0005-0000-0000-0000101B0000}"/>
    <cellStyle name="Millares 6 9 4 2" xfId="7569" xr:uid="{00000000-0005-0000-0000-0000911D0000}"/>
    <cellStyle name="Millares 6 9 4 2 2" xfId="11409" xr:uid="{335B74F3-C9C3-4CB5-9D06-EF40AD2C1E49}"/>
    <cellStyle name="Millares 6 9 4 3" xfId="10768" xr:uid="{CDE111D0-C0A5-4C54-9752-1434B4A6073A}"/>
    <cellStyle name="Millares 6 9 5" xfId="7248" xr:uid="{00000000-0005-0000-0000-0000501C0000}"/>
    <cellStyle name="Millares 6 9 5 2" xfId="11088" xr:uid="{9B99D2EE-F34E-44A5-8051-E9F4A45B1217}"/>
    <cellStyle name="Millares 6 9 6" xfId="8502" xr:uid="{B929D238-3A45-432A-9A67-00437FC1BB52}"/>
    <cellStyle name="Millares 7" xfId="2034" xr:uid="{00000000-0005-0000-0000-0000F2070000}"/>
    <cellStyle name="Millares 7 2" xfId="2035" xr:uid="{00000000-0005-0000-0000-0000F3070000}"/>
    <cellStyle name="Millares 7 2 2" xfId="2036" xr:uid="{00000000-0005-0000-0000-0000F4070000}"/>
    <cellStyle name="Millares 7 2 2 2" xfId="3810" xr:uid="{00000000-0005-0000-0000-0000E20E0000}"/>
    <cellStyle name="Millares 7 2 2 2 2" xfId="6803" xr:uid="{00000000-0005-0000-0000-0000931A0000}"/>
    <cellStyle name="Millares 7 2 2 2 2 2" xfId="7126" xr:uid="{00000000-0005-0000-0000-0000D61B0000}"/>
    <cellStyle name="Millares 7 2 2 2 2 2 2" xfId="7767" xr:uid="{00000000-0005-0000-0000-0000571E0000}"/>
    <cellStyle name="Millares 7 2 2 2 2 2 2 2" xfId="11607" xr:uid="{B58934E6-6A75-4FD6-BF99-C9C765DBE4B3}"/>
    <cellStyle name="Millares 7 2 2 2 2 2 3" xfId="10966" xr:uid="{DBE19A83-8C00-452E-95C3-90A0C5F00311}"/>
    <cellStyle name="Millares 7 2 2 2 2 3" xfId="7444" xr:uid="{00000000-0005-0000-0000-0000141D0000}"/>
    <cellStyle name="Millares 7 2 2 2 2 3 2" xfId="11284" xr:uid="{D9ED7AC7-C322-4D22-9EB2-1A4C608A5148}"/>
    <cellStyle name="Millares 7 2 2 2 2 4" xfId="10643" xr:uid="{2CAAEBE8-ABB8-405D-BDC8-1C0B7236D4B0}"/>
    <cellStyle name="Millares 7 2 2 2 3" xfId="6962" xr:uid="{00000000-0005-0000-0000-0000321B0000}"/>
    <cellStyle name="Millares 7 2 2 2 3 2" xfId="7603" xr:uid="{00000000-0005-0000-0000-0000B31D0000}"/>
    <cellStyle name="Millares 7 2 2 2 3 2 2" xfId="11443" xr:uid="{E7B3551F-C8E8-4A2B-ABF1-5DDDAB250267}"/>
    <cellStyle name="Millares 7 2 2 2 3 3" xfId="10802" xr:uid="{D217A366-A3BE-4CD0-9859-F1A5953977A4}"/>
    <cellStyle name="Millares 7 2 2 2 4" xfId="7282" xr:uid="{00000000-0005-0000-0000-0000721C0000}"/>
    <cellStyle name="Millares 7 2 2 2 4 2" xfId="11122" xr:uid="{74790D34-8EC3-46ED-9C53-44E668AF2581}"/>
    <cellStyle name="Millares 7 2 2 2 5" xfId="8981" xr:uid="{BA984178-C6D8-43EF-8EBD-0B750D3B9A65}"/>
    <cellStyle name="Millares 7 2 2 3" xfId="6762" xr:uid="{00000000-0005-0000-0000-00006A1A0000}"/>
    <cellStyle name="Millares 7 2 2 3 2" xfId="7085" xr:uid="{00000000-0005-0000-0000-0000AD1B0000}"/>
    <cellStyle name="Millares 7 2 2 3 2 2" xfId="7726" xr:uid="{00000000-0005-0000-0000-00002E1E0000}"/>
    <cellStyle name="Millares 7 2 2 3 2 2 2" xfId="11566" xr:uid="{F38C9CBB-F036-449A-9CDD-2CF7F756D114}"/>
    <cellStyle name="Millares 7 2 2 3 2 3" xfId="10925" xr:uid="{CF8BEB13-3FCC-4BB0-9491-29F26DF45DCB}"/>
    <cellStyle name="Millares 7 2 2 3 3" xfId="7403" xr:uid="{00000000-0005-0000-0000-0000EB1C0000}"/>
    <cellStyle name="Millares 7 2 2 3 3 2" xfId="11243" xr:uid="{620EFF3C-2EA3-49FC-AF54-B35172417D03}"/>
    <cellStyle name="Millares 7 2 2 3 4" xfId="10602" xr:uid="{0B8A39CC-83BE-4BF4-95D0-F4AD740CC599}"/>
    <cellStyle name="Millares 7 2 2 4" xfId="6931" xr:uid="{00000000-0005-0000-0000-0000131B0000}"/>
    <cellStyle name="Millares 7 2 2 4 2" xfId="7572" xr:uid="{00000000-0005-0000-0000-0000941D0000}"/>
    <cellStyle name="Millares 7 2 2 4 2 2" xfId="11412" xr:uid="{F8105EA1-4300-4EB0-9EE0-3F1EE70DBF38}"/>
    <cellStyle name="Millares 7 2 2 4 3" xfId="10771" xr:uid="{74E306CF-7AE3-47A0-A6F3-367E255D8059}"/>
    <cellStyle name="Millares 7 2 2 5" xfId="7251" xr:uid="{00000000-0005-0000-0000-0000531C0000}"/>
    <cellStyle name="Millares 7 2 2 5 2" xfId="11091" xr:uid="{6A37DEB7-72BF-400A-ADC1-7BADDB429C1A}"/>
    <cellStyle name="Millares 7 2 2 6" xfId="8505" xr:uid="{22D26086-A315-41E3-9E13-10E9EF3252D9}"/>
    <cellStyle name="Millares 7 2 3" xfId="2037" xr:uid="{00000000-0005-0000-0000-0000F5070000}"/>
    <cellStyle name="Millares 7 2 3 2" xfId="3811" xr:uid="{00000000-0005-0000-0000-0000E30E0000}"/>
    <cellStyle name="Millares 7 2 3 2 2" xfId="6804" xr:uid="{00000000-0005-0000-0000-0000941A0000}"/>
    <cellStyle name="Millares 7 2 3 2 2 2" xfId="7127" xr:uid="{00000000-0005-0000-0000-0000D71B0000}"/>
    <cellStyle name="Millares 7 2 3 2 2 2 2" xfId="7768" xr:uid="{00000000-0005-0000-0000-0000581E0000}"/>
    <cellStyle name="Millares 7 2 3 2 2 2 2 2" xfId="11608" xr:uid="{ED617CB4-21AD-47D3-BDB6-D7924E984185}"/>
    <cellStyle name="Millares 7 2 3 2 2 2 3" xfId="10967" xr:uid="{4ADC0256-CC88-4B4B-80E6-71463861128E}"/>
    <cellStyle name="Millares 7 2 3 2 2 3" xfId="7445" xr:uid="{00000000-0005-0000-0000-0000151D0000}"/>
    <cellStyle name="Millares 7 2 3 2 2 3 2" xfId="11285" xr:uid="{E8E1C2B8-45B5-43DC-BDCE-0E9FF57D0A07}"/>
    <cellStyle name="Millares 7 2 3 2 2 4" xfId="10644" xr:uid="{16C81EEE-4EA8-4BE9-A2D2-4B0F6FFD115F}"/>
    <cellStyle name="Millares 7 2 3 2 3" xfId="6963" xr:uid="{00000000-0005-0000-0000-0000331B0000}"/>
    <cellStyle name="Millares 7 2 3 2 3 2" xfId="7604" xr:uid="{00000000-0005-0000-0000-0000B41D0000}"/>
    <cellStyle name="Millares 7 2 3 2 3 2 2" xfId="11444" xr:uid="{EA09DE25-DCC7-4D91-B6C3-10CD9CA5C819}"/>
    <cellStyle name="Millares 7 2 3 2 3 3" xfId="10803" xr:uid="{5813031F-0CAE-480A-9523-0B0BEF565B8F}"/>
    <cellStyle name="Millares 7 2 3 2 4" xfId="7283" xr:uid="{00000000-0005-0000-0000-0000731C0000}"/>
    <cellStyle name="Millares 7 2 3 2 4 2" xfId="11123" xr:uid="{49151863-FBB4-47C5-AFDC-CB8ED54AB274}"/>
    <cellStyle name="Millares 7 2 3 2 5" xfId="8982" xr:uid="{4F21E42E-D362-4BEC-BB9D-783083E9E80A}"/>
    <cellStyle name="Millares 7 2 3 3" xfId="6763" xr:uid="{00000000-0005-0000-0000-00006B1A0000}"/>
    <cellStyle name="Millares 7 2 3 3 2" xfId="7086" xr:uid="{00000000-0005-0000-0000-0000AE1B0000}"/>
    <cellStyle name="Millares 7 2 3 3 2 2" xfId="7727" xr:uid="{00000000-0005-0000-0000-00002F1E0000}"/>
    <cellStyle name="Millares 7 2 3 3 2 2 2" xfId="11567" xr:uid="{4E5E598E-7F92-40CE-8A4A-DA685D3C70FE}"/>
    <cellStyle name="Millares 7 2 3 3 2 3" xfId="10926" xr:uid="{41022519-7720-499C-B501-21A7C523CCA0}"/>
    <cellStyle name="Millares 7 2 3 3 3" xfId="7404" xr:uid="{00000000-0005-0000-0000-0000EC1C0000}"/>
    <cellStyle name="Millares 7 2 3 3 3 2" xfId="11244" xr:uid="{BF192943-9511-449B-ACAC-70C65C23D882}"/>
    <cellStyle name="Millares 7 2 3 3 4" xfId="10603" xr:uid="{C4D2A1DB-377C-460C-8029-4E34421B70D4}"/>
    <cellStyle name="Millares 7 2 3 4" xfId="6932" xr:uid="{00000000-0005-0000-0000-0000141B0000}"/>
    <cellStyle name="Millares 7 2 3 4 2" xfId="7573" xr:uid="{00000000-0005-0000-0000-0000951D0000}"/>
    <cellStyle name="Millares 7 2 3 4 2 2" xfId="11413" xr:uid="{B190D411-3B7A-409B-B654-4C83796C6B46}"/>
    <cellStyle name="Millares 7 2 3 4 3" xfId="10772" xr:uid="{CD69EC23-B6BC-4113-9033-E72F59D82650}"/>
    <cellStyle name="Millares 7 2 3 5" xfId="7252" xr:uid="{00000000-0005-0000-0000-0000541C0000}"/>
    <cellStyle name="Millares 7 2 3 5 2" xfId="11092" xr:uid="{E985AE77-3000-4467-BF0D-F48BB1B8071B}"/>
    <cellStyle name="Millares 7 2 3 6" xfId="8506" xr:uid="{D9BA2642-85C4-47FF-AE9F-3C6547BE29C3}"/>
    <cellStyle name="Millares 7 2 4" xfId="3809" xr:uid="{00000000-0005-0000-0000-0000E10E0000}"/>
    <cellStyle name="Millares 7 2 4 2" xfId="6802" xr:uid="{00000000-0005-0000-0000-0000921A0000}"/>
    <cellStyle name="Millares 7 2 4 2 2" xfId="7125" xr:uid="{00000000-0005-0000-0000-0000D51B0000}"/>
    <cellStyle name="Millares 7 2 4 2 2 2" xfId="7766" xr:uid="{00000000-0005-0000-0000-0000561E0000}"/>
    <cellStyle name="Millares 7 2 4 2 2 2 2" xfId="11606" xr:uid="{92ECA3C8-7DAF-4074-B913-0E8A935BC0A8}"/>
    <cellStyle name="Millares 7 2 4 2 2 3" xfId="10965" xr:uid="{218919B9-537F-4A2F-96FB-DE82C574B6D5}"/>
    <cellStyle name="Millares 7 2 4 2 3" xfId="7443" xr:uid="{00000000-0005-0000-0000-0000131D0000}"/>
    <cellStyle name="Millares 7 2 4 2 3 2" xfId="11283" xr:uid="{EC44EB0F-E8A9-46D3-86D3-04C78EF41B10}"/>
    <cellStyle name="Millares 7 2 4 2 4" xfId="10642" xr:uid="{3204EA5E-5CE3-4704-B4C1-06E2B04156E6}"/>
    <cellStyle name="Millares 7 2 4 3" xfId="6961" xr:uid="{00000000-0005-0000-0000-0000311B0000}"/>
    <cellStyle name="Millares 7 2 4 3 2" xfId="7602" xr:uid="{00000000-0005-0000-0000-0000B21D0000}"/>
    <cellStyle name="Millares 7 2 4 3 2 2" xfId="11442" xr:uid="{28F21112-9506-407A-BA6D-240A2D5D8499}"/>
    <cellStyle name="Millares 7 2 4 3 3" xfId="10801" xr:uid="{643E78C4-C1B1-41E6-8DE1-76DA2456ECDE}"/>
    <cellStyle name="Millares 7 2 4 4" xfId="7281" xr:uid="{00000000-0005-0000-0000-0000711C0000}"/>
    <cellStyle name="Millares 7 2 4 4 2" xfId="11121" xr:uid="{F696F173-D3B5-4846-BE3A-8B268007C603}"/>
    <cellStyle name="Millares 7 2 4 5" xfId="8980" xr:uid="{46C907B5-2DAF-49D4-92A3-D912DF9709DA}"/>
    <cellStyle name="Millares 7 2 5" xfId="6761" xr:uid="{00000000-0005-0000-0000-0000691A0000}"/>
    <cellStyle name="Millares 7 2 5 2" xfId="7084" xr:uid="{00000000-0005-0000-0000-0000AC1B0000}"/>
    <cellStyle name="Millares 7 2 5 2 2" xfId="7725" xr:uid="{00000000-0005-0000-0000-00002D1E0000}"/>
    <cellStyle name="Millares 7 2 5 2 2 2" xfId="11565" xr:uid="{6C1C1791-0813-4D90-9582-0B553CD718FF}"/>
    <cellStyle name="Millares 7 2 5 2 3" xfId="10924" xr:uid="{263538B2-45EE-426F-B533-D97010347E89}"/>
    <cellStyle name="Millares 7 2 5 3" xfId="7402" xr:uid="{00000000-0005-0000-0000-0000EA1C0000}"/>
    <cellStyle name="Millares 7 2 5 3 2" xfId="11242" xr:uid="{DAFDB720-FBFF-439B-8E3B-16563BE968A2}"/>
    <cellStyle name="Millares 7 2 5 4" xfId="10601" xr:uid="{09C24061-0A44-4176-A713-BCBE57D9FCA2}"/>
    <cellStyle name="Millares 7 2 6" xfId="6930" xr:uid="{00000000-0005-0000-0000-0000121B0000}"/>
    <cellStyle name="Millares 7 2 6 2" xfId="7571" xr:uid="{00000000-0005-0000-0000-0000931D0000}"/>
    <cellStyle name="Millares 7 2 6 2 2" xfId="11411" xr:uid="{924C6D1F-36A4-4E21-9074-0C7098598395}"/>
    <cellStyle name="Millares 7 2 6 3" xfId="10770" xr:uid="{B43AEF7A-2443-474A-A0E1-08C1B5DF13F2}"/>
    <cellStyle name="Millares 7 2 7" xfId="7250" xr:uid="{00000000-0005-0000-0000-0000521C0000}"/>
    <cellStyle name="Millares 7 2 7 2" xfId="11090" xr:uid="{619DC6A7-ED29-49D7-9B21-F3421EFE1594}"/>
    <cellStyle name="Millares 7 2 8" xfId="8504" xr:uid="{F47972A3-5CC2-4F50-8DBC-C4749B85B8CC}"/>
    <cellStyle name="Millares 7 3" xfId="2038" xr:uid="{00000000-0005-0000-0000-0000F6070000}"/>
    <cellStyle name="Millares 7 3 2" xfId="3812" xr:uid="{00000000-0005-0000-0000-0000E40E0000}"/>
    <cellStyle name="Millares 7 3 2 2" xfId="6805" xr:uid="{00000000-0005-0000-0000-0000951A0000}"/>
    <cellStyle name="Millares 7 3 2 2 2" xfId="7128" xr:uid="{00000000-0005-0000-0000-0000D81B0000}"/>
    <cellStyle name="Millares 7 3 2 2 2 2" xfId="7769" xr:uid="{00000000-0005-0000-0000-0000591E0000}"/>
    <cellStyle name="Millares 7 3 2 2 2 2 2" xfId="11609" xr:uid="{2DC6B302-FA14-4AC5-A6BC-DD7C57D90ED6}"/>
    <cellStyle name="Millares 7 3 2 2 2 3" xfId="10968" xr:uid="{EAB1C61E-7299-492D-97AC-184DE531AC53}"/>
    <cellStyle name="Millares 7 3 2 2 3" xfId="7446" xr:uid="{00000000-0005-0000-0000-0000161D0000}"/>
    <cellStyle name="Millares 7 3 2 2 3 2" xfId="11286" xr:uid="{0655D29D-969F-425F-AB07-A63ADEC6AA5F}"/>
    <cellStyle name="Millares 7 3 2 2 4" xfId="10645" xr:uid="{500A8001-5BC1-481D-8DB3-411126323517}"/>
    <cellStyle name="Millares 7 3 2 3" xfId="6964" xr:uid="{00000000-0005-0000-0000-0000341B0000}"/>
    <cellStyle name="Millares 7 3 2 3 2" xfId="7605" xr:uid="{00000000-0005-0000-0000-0000B51D0000}"/>
    <cellStyle name="Millares 7 3 2 3 2 2" xfId="11445" xr:uid="{477219C1-C76F-4E79-8976-EB41447D7790}"/>
    <cellStyle name="Millares 7 3 2 3 3" xfId="10804" xr:uid="{9FB2E09B-58ED-42A9-B751-1563B66138A9}"/>
    <cellStyle name="Millares 7 3 2 4" xfId="7284" xr:uid="{00000000-0005-0000-0000-0000741C0000}"/>
    <cellStyle name="Millares 7 3 2 4 2" xfId="11124" xr:uid="{8080337A-D763-4109-A056-DB38A5D4C088}"/>
    <cellStyle name="Millares 7 3 2 5" xfId="8983" xr:uid="{8EA8365D-1F02-48C2-933B-526BBA3289D8}"/>
    <cellStyle name="Millares 7 3 3" xfId="6764" xr:uid="{00000000-0005-0000-0000-00006C1A0000}"/>
    <cellStyle name="Millares 7 3 3 2" xfId="7087" xr:uid="{00000000-0005-0000-0000-0000AF1B0000}"/>
    <cellStyle name="Millares 7 3 3 2 2" xfId="7728" xr:uid="{00000000-0005-0000-0000-0000301E0000}"/>
    <cellStyle name="Millares 7 3 3 2 2 2" xfId="11568" xr:uid="{98AB8047-2B6B-421C-993A-D9FD31ED0FFE}"/>
    <cellStyle name="Millares 7 3 3 2 3" xfId="10927" xr:uid="{CBA53687-201B-4F4C-AC77-CDDDC73B26EF}"/>
    <cellStyle name="Millares 7 3 3 3" xfId="7405" xr:uid="{00000000-0005-0000-0000-0000ED1C0000}"/>
    <cellStyle name="Millares 7 3 3 3 2" xfId="11245" xr:uid="{647BF516-8A58-4085-9DD7-A24E23D21EFF}"/>
    <cellStyle name="Millares 7 3 3 4" xfId="10604" xr:uid="{6C6C4AB2-0757-4D77-9CFE-1D4FF71B00F8}"/>
    <cellStyle name="Millares 7 3 4" xfId="6933" xr:uid="{00000000-0005-0000-0000-0000151B0000}"/>
    <cellStyle name="Millares 7 3 4 2" xfId="7574" xr:uid="{00000000-0005-0000-0000-0000961D0000}"/>
    <cellStyle name="Millares 7 3 4 2 2" xfId="11414" xr:uid="{76E9979A-94FA-4B64-BAEA-E614AEA3C7FC}"/>
    <cellStyle name="Millares 7 3 4 3" xfId="10773" xr:uid="{2C343DA7-2160-464A-A606-CAE9F5D228D7}"/>
    <cellStyle name="Millares 7 3 5" xfId="7253" xr:uid="{00000000-0005-0000-0000-0000551C0000}"/>
    <cellStyle name="Millares 7 3 5 2" xfId="11093" xr:uid="{8054F79B-9981-41C7-AB16-57CB50097200}"/>
    <cellStyle name="Millares 7 3 6" xfId="8507" xr:uid="{76DF9BE9-50A9-4847-87DF-6ADB36B26931}"/>
    <cellStyle name="Millares 7 4" xfId="2039" xr:uid="{00000000-0005-0000-0000-0000F7070000}"/>
    <cellStyle name="Millares 7 4 2" xfId="3813" xr:uid="{00000000-0005-0000-0000-0000E50E0000}"/>
    <cellStyle name="Millares 7 4 2 2" xfId="6806" xr:uid="{00000000-0005-0000-0000-0000961A0000}"/>
    <cellStyle name="Millares 7 4 2 2 2" xfId="7129" xr:uid="{00000000-0005-0000-0000-0000D91B0000}"/>
    <cellStyle name="Millares 7 4 2 2 2 2" xfId="7770" xr:uid="{00000000-0005-0000-0000-00005A1E0000}"/>
    <cellStyle name="Millares 7 4 2 2 2 2 2" xfId="11610" xr:uid="{48F65C3E-625E-42CC-BB12-19FF0D06E2B0}"/>
    <cellStyle name="Millares 7 4 2 2 2 3" xfId="10969" xr:uid="{246B6028-2F4F-4006-AD89-BE2CB7A84E84}"/>
    <cellStyle name="Millares 7 4 2 2 3" xfId="7447" xr:uid="{00000000-0005-0000-0000-0000171D0000}"/>
    <cellStyle name="Millares 7 4 2 2 3 2" xfId="11287" xr:uid="{4208AC37-E7F9-479F-BA0C-D56B97E68653}"/>
    <cellStyle name="Millares 7 4 2 2 4" xfId="10646" xr:uid="{CA67B7AE-64F4-4E9B-BE6F-F9F4C7573B4F}"/>
    <cellStyle name="Millares 7 4 2 3" xfId="6965" xr:uid="{00000000-0005-0000-0000-0000351B0000}"/>
    <cellStyle name="Millares 7 4 2 3 2" xfId="7606" xr:uid="{00000000-0005-0000-0000-0000B61D0000}"/>
    <cellStyle name="Millares 7 4 2 3 2 2" xfId="11446" xr:uid="{C5DB3DF2-7EC7-4412-A4A3-7B9B3181E56F}"/>
    <cellStyle name="Millares 7 4 2 3 3" xfId="10805" xr:uid="{92BA8F7C-1E47-4295-BDD5-FFBC81C6B887}"/>
    <cellStyle name="Millares 7 4 2 4" xfId="7285" xr:uid="{00000000-0005-0000-0000-0000751C0000}"/>
    <cellStyle name="Millares 7 4 2 4 2" xfId="11125" xr:uid="{6C6C0BC8-DA31-4865-8694-5966CDEAFDDB}"/>
    <cellStyle name="Millares 7 4 2 5" xfId="8984" xr:uid="{C11BDC5A-EBE6-4AAC-9061-9D08BA40CAEA}"/>
    <cellStyle name="Millares 7 4 3" xfId="6765" xr:uid="{00000000-0005-0000-0000-00006D1A0000}"/>
    <cellStyle name="Millares 7 4 3 2" xfId="7088" xr:uid="{00000000-0005-0000-0000-0000B01B0000}"/>
    <cellStyle name="Millares 7 4 3 2 2" xfId="7729" xr:uid="{00000000-0005-0000-0000-0000311E0000}"/>
    <cellStyle name="Millares 7 4 3 2 2 2" xfId="11569" xr:uid="{AACDEA17-A336-488F-8409-B9ABC29839DA}"/>
    <cellStyle name="Millares 7 4 3 2 3" xfId="10928" xr:uid="{C02AA4AE-28F0-4EA4-ADD6-6CB2403C41D4}"/>
    <cellStyle name="Millares 7 4 3 3" xfId="7406" xr:uid="{00000000-0005-0000-0000-0000EE1C0000}"/>
    <cellStyle name="Millares 7 4 3 3 2" xfId="11246" xr:uid="{88B09C59-EB85-4A74-B46B-ACB4F8098E56}"/>
    <cellStyle name="Millares 7 4 3 4" xfId="10605" xr:uid="{053DCB4D-B9CA-4E5B-B1DD-D1FFC5DEA3C4}"/>
    <cellStyle name="Millares 7 4 4" xfId="6934" xr:uid="{00000000-0005-0000-0000-0000161B0000}"/>
    <cellStyle name="Millares 7 4 4 2" xfId="7575" xr:uid="{00000000-0005-0000-0000-0000971D0000}"/>
    <cellStyle name="Millares 7 4 4 2 2" xfId="11415" xr:uid="{B990193C-FE93-41BC-BAAE-C789DEF5F87B}"/>
    <cellStyle name="Millares 7 4 4 3" xfId="10774" xr:uid="{7CD9779F-ADD2-44E5-A0D7-0BF8FCAB2651}"/>
    <cellStyle name="Millares 7 4 5" xfId="7254" xr:uid="{00000000-0005-0000-0000-0000561C0000}"/>
    <cellStyle name="Millares 7 4 5 2" xfId="11094" xr:uid="{814FF474-182E-4F45-B949-DEDC391A90BC}"/>
    <cellStyle name="Millares 7 4 6" xfId="8508" xr:uid="{D66B70DF-C2A1-42F8-BA3C-1B698679CD5C}"/>
    <cellStyle name="Millares 7 5" xfId="3808" xr:uid="{00000000-0005-0000-0000-0000E00E0000}"/>
    <cellStyle name="Millares 7 5 2" xfId="6801" xr:uid="{00000000-0005-0000-0000-0000911A0000}"/>
    <cellStyle name="Millares 7 5 2 2" xfId="7124" xr:uid="{00000000-0005-0000-0000-0000D41B0000}"/>
    <cellStyle name="Millares 7 5 2 2 2" xfId="7765" xr:uid="{00000000-0005-0000-0000-0000551E0000}"/>
    <cellStyle name="Millares 7 5 2 2 2 2" xfId="11605" xr:uid="{A4D88899-417C-451F-A58F-4FEA8949486A}"/>
    <cellStyle name="Millares 7 5 2 2 3" xfId="10964" xr:uid="{B9083E5F-3E3C-49FC-9054-591CACF9A8AE}"/>
    <cellStyle name="Millares 7 5 2 3" xfId="7442" xr:uid="{00000000-0005-0000-0000-0000121D0000}"/>
    <cellStyle name="Millares 7 5 2 3 2" xfId="11282" xr:uid="{43E5D1DE-D333-4200-A9EF-270B40EC2277}"/>
    <cellStyle name="Millares 7 5 2 4" xfId="10641" xr:uid="{2CC6BAEC-94F6-4B50-866A-47AFD03AC351}"/>
    <cellStyle name="Millares 7 5 3" xfId="6960" xr:uid="{00000000-0005-0000-0000-0000301B0000}"/>
    <cellStyle name="Millares 7 5 3 2" xfId="7601" xr:uid="{00000000-0005-0000-0000-0000B11D0000}"/>
    <cellStyle name="Millares 7 5 3 2 2" xfId="11441" xr:uid="{27E16CF4-5D8D-450D-84DD-30C9063845BD}"/>
    <cellStyle name="Millares 7 5 3 3" xfId="10800" xr:uid="{2EEC9F1D-5E98-4A79-B962-CAF1665C9AA8}"/>
    <cellStyle name="Millares 7 5 4" xfId="7280" xr:uid="{00000000-0005-0000-0000-0000701C0000}"/>
    <cellStyle name="Millares 7 5 4 2" xfId="11120" xr:uid="{4D3C2698-0A13-4B20-9262-6BD4D450F80D}"/>
    <cellStyle name="Millares 7 5 5" xfId="8979" xr:uid="{51B18F70-6E1F-4D4A-900B-CD67C9927A3A}"/>
    <cellStyle name="Millares 7 6" xfId="6760" xr:uid="{00000000-0005-0000-0000-0000681A0000}"/>
    <cellStyle name="Millares 7 6 2" xfId="7083" xr:uid="{00000000-0005-0000-0000-0000AB1B0000}"/>
    <cellStyle name="Millares 7 6 2 2" xfId="7724" xr:uid="{00000000-0005-0000-0000-00002C1E0000}"/>
    <cellStyle name="Millares 7 6 2 2 2" xfId="11564" xr:uid="{C2B44480-5502-4535-A195-2541817FEA8B}"/>
    <cellStyle name="Millares 7 6 2 3" xfId="10923" xr:uid="{CC02419F-6501-4B7F-8157-1B8D105ADA67}"/>
    <cellStyle name="Millares 7 6 3" xfId="7401" xr:uid="{00000000-0005-0000-0000-0000E91C0000}"/>
    <cellStyle name="Millares 7 6 3 2" xfId="11241" xr:uid="{5FF92DA4-83BB-4D54-94DE-AFA6552E57DB}"/>
    <cellStyle name="Millares 7 6 4" xfId="10600" xr:uid="{CED5269E-D3CC-46F6-8B37-42E5D5DAE894}"/>
    <cellStyle name="Millares 7 7" xfId="6929" xr:uid="{00000000-0005-0000-0000-0000111B0000}"/>
    <cellStyle name="Millares 7 7 2" xfId="7570" xr:uid="{00000000-0005-0000-0000-0000921D0000}"/>
    <cellStyle name="Millares 7 7 2 2" xfId="11410" xr:uid="{F456ACC4-0DD6-4D80-A21C-6C32CFD5BA4F}"/>
    <cellStyle name="Millares 7 7 3" xfId="10769" xr:uid="{3E356E8C-E5A3-442C-9D29-CA6B533D9CD6}"/>
    <cellStyle name="Millares 7 8" xfId="7249" xr:uid="{00000000-0005-0000-0000-0000511C0000}"/>
    <cellStyle name="Millares 7 8 2" xfId="11089" xr:uid="{F8EBA629-9C58-4E14-BC04-5C31BCA6862A}"/>
    <cellStyle name="Millares 7 9" xfId="8503" xr:uid="{B522797E-196C-417A-B6DA-35D559385E4A}"/>
    <cellStyle name="Millares 8" xfId="2040" xr:uid="{00000000-0005-0000-0000-0000F8070000}"/>
    <cellStyle name="Millares 8 2" xfId="2041" xr:uid="{00000000-0005-0000-0000-0000F9070000}"/>
    <cellStyle name="Millares 8 2 2" xfId="3815" xr:uid="{00000000-0005-0000-0000-0000E70E0000}"/>
    <cellStyle name="Millares 8 2 2 2" xfId="6808" xr:uid="{00000000-0005-0000-0000-0000981A0000}"/>
    <cellStyle name="Millares 8 2 2 2 2" xfId="7131" xr:uid="{00000000-0005-0000-0000-0000DB1B0000}"/>
    <cellStyle name="Millares 8 2 2 2 2 2" xfId="7772" xr:uid="{00000000-0005-0000-0000-00005C1E0000}"/>
    <cellStyle name="Millares 8 2 2 2 2 2 2" xfId="11612" xr:uid="{3BF6C0D1-469B-472A-A762-76F8FD55D3FA}"/>
    <cellStyle name="Millares 8 2 2 2 2 3" xfId="10971" xr:uid="{B7B3B777-EA13-4A91-AC21-9346F621C685}"/>
    <cellStyle name="Millares 8 2 2 2 3" xfId="7449" xr:uid="{00000000-0005-0000-0000-0000191D0000}"/>
    <cellStyle name="Millares 8 2 2 2 3 2" xfId="11289" xr:uid="{344DAC1B-A112-46F2-A3A0-D1504CC3817B}"/>
    <cellStyle name="Millares 8 2 2 2 4" xfId="10648" xr:uid="{6B6828F1-8937-4782-A05B-E3EEC6DAC6E1}"/>
    <cellStyle name="Millares 8 2 2 3" xfId="6967" xr:uid="{00000000-0005-0000-0000-0000371B0000}"/>
    <cellStyle name="Millares 8 2 2 3 2" xfId="7608" xr:uid="{00000000-0005-0000-0000-0000B81D0000}"/>
    <cellStyle name="Millares 8 2 2 3 2 2" xfId="11448" xr:uid="{4E158E4B-3537-4EB5-98A0-FFBAF02CB9BF}"/>
    <cellStyle name="Millares 8 2 2 3 3" xfId="10807" xr:uid="{66C9DC1F-1D7C-47DF-9D39-A9E7B50943FF}"/>
    <cellStyle name="Millares 8 2 2 4" xfId="7287" xr:uid="{00000000-0005-0000-0000-0000771C0000}"/>
    <cellStyle name="Millares 8 2 2 4 2" xfId="11127" xr:uid="{D193F0DD-8049-4DBE-9F4D-3CEA7BA3C67E}"/>
    <cellStyle name="Millares 8 2 2 5" xfId="8986" xr:uid="{B265FCEC-3C4B-4837-948F-A116842A835A}"/>
    <cellStyle name="Millares 8 2 3" xfId="6767" xr:uid="{00000000-0005-0000-0000-00006F1A0000}"/>
    <cellStyle name="Millares 8 2 3 2" xfId="7090" xr:uid="{00000000-0005-0000-0000-0000B21B0000}"/>
    <cellStyle name="Millares 8 2 3 2 2" xfId="7731" xr:uid="{00000000-0005-0000-0000-0000331E0000}"/>
    <cellStyle name="Millares 8 2 3 2 2 2" xfId="11571" xr:uid="{FFA276C4-0198-440D-82D0-E7E0DBC1A0B3}"/>
    <cellStyle name="Millares 8 2 3 2 3" xfId="10930" xr:uid="{6F89E207-4EF8-4F24-BB18-26B8C1E3A9D4}"/>
    <cellStyle name="Millares 8 2 3 3" xfId="7408" xr:uid="{00000000-0005-0000-0000-0000F01C0000}"/>
    <cellStyle name="Millares 8 2 3 3 2" xfId="11248" xr:uid="{FFA360B4-B002-44CF-B026-559DF7A2001A}"/>
    <cellStyle name="Millares 8 2 3 4" xfId="10607" xr:uid="{5347EB36-7F9F-4888-A5D7-284626F27D79}"/>
    <cellStyle name="Millares 8 2 4" xfId="6936" xr:uid="{00000000-0005-0000-0000-0000181B0000}"/>
    <cellStyle name="Millares 8 2 4 2" xfId="7577" xr:uid="{00000000-0005-0000-0000-0000991D0000}"/>
    <cellStyle name="Millares 8 2 4 2 2" xfId="11417" xr:uid="{E2CD860D-1680-4394-B64F-60E966492CD0}"/>
    <cellStyle name="Millares 8 2 4 3" xfId="10776" xr:uid="{FCCF0A2E-53CD-4A67-8B7A-E93CEA431524}"/>
    <cellStyle name="Millares 8 2 5" xfId="7256" xr:uid="{00000000-0005-0000-0000-0000581C0000}"/>
    <cellStyle name="Millares 8 2 5 2" xfId="11096" xr:uid="{284BD7AE-D1FE-4230-9F48-F2EC77E8F2AC}"/>
    <cellStyle name="Millares 8 2 6" xfId="8510" xr:uid="{8BE20A7F-0DBF-4173-99C8-ACAFA9725B64}"/>
    <cellStyle name="Millares 8 3" xfId="5185" xr:uid="{00000000-0005-0000-0000-000041140000}"/>
    <cellStyle name="Millares 8 3 2" xfId="6862" xr:uid="{00000000-0005-0000-0000-0000CE1A0000}"/>
    <cellStyle name="Millares 8 3 2 2" xfId="7185" xr:uid="{00000000-0005-0000-0000-0000111C0000}"/>
    <cellStyle name="Millares 8 3 2 2 2" xfId="7826" xr:uid="{00000000-0005-0000-0000-0000921E0000}"/>
    <cellStyle name="Millares 8 3 2 2 2 2" xfId="11666" xr:uid="{153C3CE6-C5F2-46F3-8437-7D480D064915}"/>
    <cellStyle name="Millares 8 3 2 2 3" xfId="11025" xr:uid="{8BED5B77-D529-4F00-B356-7D7BD4F8CCBA}"/>
    <cellStyle name="Millares 8 3 2 3" xfId="7503" xr:uid="{00000000-0005-0000-0000-00004F1D0000}"/>
    <cellStyle name="Millares 8 3 2 3 2" xfId="11343" xr:uid="{B200FA55-C30A-454C-AE5B-B360A0A4339A}"/>
    <cellStyle name="Millares 8 3 2 4" xfId="10702" xr:uid="{D6D69659-CA2C-4A6A-92B8-1CAFA3C3335E}"/>
    <cellStyle name="Millares 8 3 3" xfId="7021" xr:uid="{00000000-0005-0000-0000-00006D1B0000}"/>
    <cellStyle name="Millares 8 3 3 2" xfId="7662" xr:uid="{00000000-0005-0000-0000-0000EE1D0000}"/>
    <cellStyle name="Millares 8 3 3 2 2" xfId="11502" xr:uid="{EFDDF996-19CA-414A-8BCB-DDB93DBC2AA9}"/>
    <cellStyle name="Millares 8 3 3 3" xfId="10861" xr:uid="{0EE931F3-F401-47E8-8BCB-E995276C07D5}"/>
    <cellStyle name="Millares 8 3 4" xfId="7339" xr:uid="{00000000-0005-0000-0000-0000AB1C0000}"/>
    <cellStyle name="Millares 8 3 4 2" xfId="11179" xr:uid="{AB200F52-5E5C-469C-B1EB-B1DE96515A7B}"/>
    <cellStyle name="Millares 8 3 5" xfId="10017" xr:uid="{7AB6521F-9A0F-4D35-9D25-8F698E8907D5}"/>
    <cellStyle name="Millares 8 4" xfId="5186" xr:uid="{00000000-0005-0000-0000-000042140000}"/>
    <cellStyle name="Millares 8 4 2" xfId="6863" xr:uid="{00000000-0005-0000-0000-0000CF1A0000}"/>
    <cellStyle name="Millares 8 4 2 2" xfId="7186" xr:uid="{00000000-0005-0000-0000-0000121C0000}"/>
    <cellStyle name="Millares 8 4 2 2 2" xfId="7827" xr:uid="{00000000-0005-0000-0000-0000931E0000}"/>
    <cellStyle name="Millares 8 4 2 2 2 2" xfId="11667" xr:uid="{BA7747C8-CE07-4569-ABC4-4EAC4AD7DE26}"/>
    <cellStyle name="Millares 8 4 2 2 3" xfId="11026" xr:uid="{F70053FF-3D15-4D54-A90E-204FB82429BA}"/>
    <cellStyle name="Millares 8 4 2 3" xfId="7504" xr:uid="{00000000-0005-0000-0000-0000501D0000}"/>
    <cellStyle name="Millares 8 4 2 3 2" xfId="11344" xr:uid="{4423F010-7A84-4E27-B1B7-A28063A96064}"/>
    <cellStyle name="Millares 8 4 2 4" xfId="10703" xr:uid="{FDCFF857-E74C-4B92-A562-980917BDD4BC}"/>
    <cellStyle name="Millares 8 4 3" xfId="7022" xr:uid="{00000000-0005-0000-0000-00006E1B0000}"/>
    <cellStyle name="Millares 8 4 3 2" xfId="7663" xr:uid="{00000000-0005-0000-0000-0000EF1D0000}"/>
    <cellStyle name="Millares 8 4 3 2 2" xfId="11503" xr:uid="{DBE3B9C5-4DEE-4AC1-B95D-6BCC0E4DE0EB}"/>
    <cellStyle name="Millares 8 4 3 3" xfId="10862" xr:uid="{635FAACF-4308-4340-8C90-B57211E3E45F}"/>
    <cellStyle name="Millares 8 4 4" xfId="7340" xr:uid="{00000000-0005-0000-0000-0000AC1C0000}"/>
    <cellStyle name="Millares 8 4 4 2" xfId="11180" xr:uid="{C4B5A886-4342-4BED-8927-54E6D5E31CFA}"/>
    <cellStyle name="Millares 8 4 5" xfId="10018" xr:uid="{394C5B47-639B-4A24-B728-0FC8C7D21C43}"/>
    <cellStyle name="Millares 8 5" xfId="3814" xr:uid="{00000000-0005-0000-0000-0000E60E0000}"/>
    <cellStyle name="Millares 8 5 2" xfId="6807" xr:uid="{00000000-0005-0000-0000-0000971A0000}"/>
    <cellStyle name="Millares 8 5 2 2" xfId="7130" xr:uid="{00000000-0005-0000-0000-0000DA1B0000}"/>
    <cellStyle name="Millares 8 5 2 2 2" xfId="7771" xr:uid="{00000000-0005-0000-0000-00005B1E0000}"/>
    <cellStyle name="Millares 8 5 2 2 2 2" xfId="11611" xr:uid="{BC9B64A5-C399-4E6A-ACFD-C55FBDE912D7}"/>
    <cellStyle name="Millares 8 5 2 2 3" xfId="10970" xr:uid="{057FD50D-B0ED-415B-A4D8-73D219DF7F37}"/>
    <cellStyle name="Millares 8 5 2 3" xfId="7448" xr:uid="{00000000-0005-0000-0000-0000181D0000}"/>
    <cellStyle name="Millares 8 5 2 3 2" xfId="11288" xr:uid="{8937CD1B-DC5F-4D43-9EFB-7D7BD8E16BEA}"/>
    <cellStyle name="Millares 8 5 2 4" xfId="10647" xr:uid="{2E74B4A2-5F78-4EE6-879B-AFC6F9AA9928}"/>
    <cellStyle name="Millares 8 5 3" xfId="6966" xr:uid="{00000000-0005-0000-0000-0000361B0000}"/>
    <cellStyle name="Millares 8 5 3 2" xfId="7607" xr:uid="{00000000-0005-0000-0000-0000B71D0000}"/>
    <cellStyle name="Millares 8 5 3 2 2" xfId="11447" xr:uid="{476F6DCC-242B-44E9-AA45-F2F4872266D5}"/>
    <cellStyle name="Millares 8 5 3 3" xfId="10806" xr:uid="{664A37CC-2138-48FF-A95B-BD9A8C9776BF}"/>
    <cellStyle name="Millares 8 5 4" xfId="7286" xr:uid="{00000000-0005-0000-0000-0000761C0000}"/>
    <cellStyle name="Millares 8 5 4 2" xfId="11126" xr:uid="{37953629-8203-4B55-B4E3-F90BF52BFE05}"/>
    <cellStyle name="Millares 8 5 5" xfId="8985" xr:uid="{4C3510CF-CD9C-4A57-93F3-88B8F4F11119}"/>
    <cellStyle name="Millares 8 6" xfId="6766" xr:uid="{00000000-0005-0000-0000-00006E1A0000}"/>
    <cellStyle name="Millares 8 6 2" xfId="7089" xr:uid="{00000000-0005-0000-0000-0000B11B0000}"/>
    <cellStyle name="Millares 8 6 2 2" xfId="7730" xr:uid="{00000000-0005-0000-0000-0000321E0000}"/>
    <cellStyle name="Millares 8 6 2 2 2" xfId="11570" xr:uid="{6A55B8CD-692D-496F-A944-EE5AEB374E56}"/>
    <cellStyle name="Millares 8 6 2 3" xfId="10929" xr:uid="{728AE579-D538-4CD7-803B-158CD4E59DFA}"/>
    <cellStyle name="Millares 8 6 3" xfId="7407" xr:uid="{00000000-0005-0000-0000-0000EF1C0000}"/>
    <cellStyle name="Millares 8 6 3 2" xfId="11247" xr:uid="{B08CDA7B-2BE1-41FD-8B30-1621A8322D8C}"/>
    <cellStyle name="Millares 8 6 4" xfId="10606" xr:uid="{95341D05-811D-4E34-8092-3D0507B6340C}"/>
    <cellStyle name="Millares 8 7" xfId="6935" xr:uid="{00000000-0005-0000-0000-0000171B0000}"/>
    <cellStyle name="Millares 8 7 2" xfId="7576" xr:uid="{00000000-0005-0000-0000-0000981D0000}"/>
    <cellStyle name="Millares 8 7 2 2" xfId="11416" xr:uid="{58378182-7A62-48AE-A24E-2338B3BBE6B6}"/>
    <cellStyle name="Millares 8 7 3" xfId="10775" xr:uid="{9FBDAD77-A8B9-4E91-BF9D-898E0B0F5B81}"/>
    <cellStyle name="Millares 8 8" xfId="7255" xr:uid="{00000000-0005-0000-0000-0000571C0000}"/>
    <cellStyle name="Millares 8 8 2" xfId="11095" xr:uid="{4CEFAA60-FCB6-4121-B813-ED6B9B13F803}"/>
    <cellStyle name="Millares 8 9" xfId="8509" xr:uid="{B13BFCC7-024B-4FCE-88D4-08C3C6874669}"/>
    <cellStyle name="Millares 9" xfId="2042" xr:uid="{00000000-0005-0000-0000-0000FA070000}"/>
    <cellStyle name="Millares 9 2" xfId="2043" xr:uid="{00000000-0005-0000-0000-0000FB070000}"/>
    <cellStyle name="Millares 9 2 2" xfId="3817" xr:uid="{00000000-0005-0000-0000-0000E90E0000}"/>
    <cellStyle name="Millares 9 2 2 2" xfId="6810" xr:uid="{00000000-0005-0000-0000-00009A1A0000}"/>
    <cellStyle name="Millares 9 2 2 2 2" xfId="7133" xr:uid="{00000000-0005-0000-0000-0000DD1B0000}"/>
    <cellStyle name="Millares 9 2 2 2 2 2" xfId="7774" xr:uid="{00000000-0005-0000-0000-00005E1E0000}"/>
    <cellStyle name="Millares 9 2 2 2 2 2 2" xfId="11614" xr:uid="{1AA38E74-177B-4FF6-9838-3C5C33E79A44}"/>
    <cellStyle name="Millares 9 2 2 2 2 3" xfId="10973" xr:uid="{D4D5A6AC-0468-4786-94C5-791D03BED3BF}"/>
    <cellStyle name="Millares 9 2 2 2 3" xfId="7451" xr:uid="{00000000-0005-0000-0000-00001B1D0000}"/>
    <cellStyle name="Millares 9 2 2 2 3 2" xfId="11291" xr:uid="{99B79629-79DC-4CCB-9D52-6B5EFDA2132F}"/>
    <cellStyle name="Millares 9 2 2 2 4" xfId="10650" xr:uid="{554DA968-BEAF-494A-B6F4-EC1459F2D209}"/>
    <cellStyle name="Millares 9 2 2 3" xfId="6969" xr:uid="{00000000-0005-0000-0000-0000391B0000}"/>
    <cellStyle name="Millares 9 2 2 3 2" xfId="7610" xr:uid="{00000000-0005-0000-0000-0000BA1D0000}"/>
    <cellStyle name="Millares 9 2 2 3 2 2" xfId="11450" xr:uid="{CF969235-E73E-4662-A778-FF5CF3C6FA91}"/>
    <cellStyle name="Millares 9 2 2 3 3" xfId="10809" xr:uid="{8DF00423-6CE2-4656-A992-3CCE3F16C2B1}"/>
    <cellStyle name="Millares 9 2 2 4" xfId="7289" xr:uid="{00000000-0005-0000-0000-0000791C0000}"/>
    <cellStyle name="Millares 9 2 2 4 2" xfId="11129" xr:uid="{D6143323-4118-406D-AC81-D1A187C63251}"/>
    <cellStyle name="Millares 9 2 2 5" xfId="8988" xr:uid="{65B128A4-F319-4482-BEE3-2067252C35A6}"/>
    <cellStyle name="Millares 9 2 3" xfId="6769" xr:uid="{00000000-0005-0000-0000-0000711A0000}"/>
    <cellStyle name="Millares 9 2 3 2" xfId="7092" xr:uid="{00000000-0005-0000-0000-0000B41B0000}"/>
    <cellStyle name="Millares 9 2 3 2 2" xfId="7733" xr:uid="{00000000-0005-0000-0000-0000351E0000}"/>
    <cellStyle name="Millares 9 2 3 2 2 2" xfId="11573" xr:uid="{BC9702F2-AACB-47BD-97FA-B056B5313AAF}"/>
    <cellStyle name="Millares 9 2 3 2 3" xfId="10932" xr:uid="{71A8F768-4874-4534-8E70-0F593F008DA1}"/>
    <cellStyle name="Millares 9 2 3 3" xfId="7410" xr:uid="{00000000-0005-0000-0000-0000F21C0000}"/>
    <cellStyle name="Millares 9 2 3 3 2" xfId="11250" xr:uid="{2A57E48B-07CD-404F-8BE8-AE2B06F886A3}"/>
    <cellStyle name="Millares 9 2 3 4" xfId="10609" xr:uid="{DBEAFDF8-CAEE-4AB8-A923-7A17D4E942E4}"/>
    <cellStyle name="Millares 9 2 4" xfId="6938" xr:uid="{00000000-0005-0000-0000-00001A1B0000}"/>
    <cellStyle name="Millares 9 2 4 2" xfId="7579" xr:uid="{00000000-0005-0000-0000-00009B1D0000}"/>
    <cellStyle name="Millares 9 2 4 2 2" xfId="11419" xr:uid="{7A7D5DF0-8907-4A40-A6CB-3DFD1E8B07EC}"/>
    <cellStyle name="Millares 9 2 4 3" xfId="10778" xr:uid="{97AE29A7-AF0B-4C24-AE3A-F8F4731CEE4E}"/>
    <cellStyle name="Millares 9 2 5" xfId="7258" xr:uid="{00000000-0005-0000-0000-00005A1C0000}"/>
    <cellStyle name="Millares 9 2 5 2" xfId="11098" xr:uid="{8B762BD5-56A7-445F-9E26-621DB8800627}"/>
    <cellStyle name="Millares 9 2 6" xfId="8512" xr:uid="{7F23145C-5797-492F-9E9B-DA345F57A459}"/>
    <cellStyle name="Millares 9 3" xfId="5187" xr:uid="{00000000-0005-0000-0000-000043140000}"/>
    <cellStyle name="Millares 9 3 2" xfId="6864" xr:uid="{00000000-0005-0000-0000-0000D01A0000}"/>
    <cellStyle name="Millares 9 3 2 2" xfId="7187" xr:uid="{00000000-0005-0000-0000-0000131C0000}"/>
    <cellStyle name="Millares 9 3 2 2 2" xfId="7828" xr:uid="{00000000-0005-0000-0000-0000941E0000}"/>
    <cellStyle name="Millares 9 3 2 2 2 2" xfId="11668" xr:uid="{953BDFA1-F4BD-4F4C-908B-4D02136F85BD}"/>
    <cellStyle name="Millares 9 3 2 2 3" xfId="11027" xr:uid="{EF3A97D4-F9BD-4E66-84C9-572C8609BD97}"/>
    <cellStyle name="Millares 9 3 2 3" xfId="7505" xr:uid="{00000000-0005-0000-0000-0000511D0000}"/>
    <cellStyle name="Millares 9 3 2 3 2" xfId="11345" xr:uid="{A7A78450-A989-4786-801C-27504EAD2AB9}"/>
    <cellStyle name="Millares 9 3 2 4" xfId="10704" xr:uid="{1049F9A7-FDCF-4E79-ABFB-1D66540A1A5A}"/>
    <cellStyle name="Millares 9 3 3" xfId="7023" xr:uid="{00000000-0005-0000-0000-00006F1B0000}"/>
    <cellStyle name="Millares 9 3 3 2" xfId="7664" xr:uid="{00000000-0005-0000-0000-0000F01D0000}"/>
    <cellStyle name="Millares 9 3 3 2 2" xfId="11504" xr:uid="{FAE56900-B00C-4E51-AF2E-95ED0B9A3C70}"/>
    <cellStyle name="Millares 9 3 3 3" xfId="10863" xr:uid="{A32EF579-C1B4-4BD1-9F6C-24A383D2E426}"/>
    <cellStyle name="Millares 9 3 4" xfId="7341" xr:uid="{00000000-0005-0000-0000-0000AD1C0000}"/>
    <cellStyle name="Millares 9 3 4 2" xfId="11181" xr:uid="{E4E9FE28-0238-494D-9EB7-7C583BA9998F}"/>
    <cellStyle name="Millares 9 3 5" xfId="10019" xr:uid="{5367BDF5-4C1E-44E0-8E6D-A07A5F64E891}"/>
    <cellStyle name="Millares 9 4" xfId="5188" xr:uid="{00000000-0005-0000-0000-000044140000}"/>
    <cellStyle name="Millares 9 4 2" xfId="6865" xr:uid="{00000000-0005-0000-0000-0000D11A0000}"/>
    <cellStyle name="Millares 9 4 2 2" xfId="7188" xr:uid="{00000000-0005-0000-0000-0000141C0000}"/>
    <cellStyle name="Millares 9 4 2 2 2" xfId="7829" xr:uid="{00000000-0005-0000-0000-0000951E0000}"/>
    <cellStyle name="Millares 9 4 2 2 2 2" xfId="11669" xr:uid="{EE7BAD4D-4A62-4E66-AF70-52851A78B8F8}"/>
    <cellStyle name="Millares 9 4 2 2 3" xfId="11028" xr:uid="{6866C765-FCFA-4EFA-A45C-309633E24CD3}"/>
    <cellStyle name="Millares 9 4 2 3" xfId="7506" xr:uid="{00000000-0005-0000-0000-0000521D0000}"/>
    <cellStyle name="Millares 9 4 2 3 2" xfId="11346" xr:uid="{C34BA5A6-5C96-40F4-A805-930507F52392}"/>
    <cellStyle name="Millares 9 4 2 4" xfId="10705" xr:uid="{F5F48C0B-CD9C-4B72-A74C-30F1BFFA27DB}"/>
    <cellStyle name="Millares 9 4 3" xfId="7024" xr:uid="{00000000-0005-0000-0000-0000701B0000}"/>
    <cellStyle name="Millares 9 4 3 2" xfId="7665" xr:uid="{00000000-0005-0000-0000-0000F11D0000}"/>
    <cellStyle name="Millares 9 4 3 2 2" xfId="11505" xr:uid="{D1A0C608-5360-415A-99A3-1F14790F6066}"/>
    <cellStyle name="Millares 9 4 3 3" xfId="10864" xr:uid="{D83899D9-75A7-4A2E-9E21-913D7D82E23E}"/>
    <cellStyle name="Millares 9 4 4" xfId="7342" xr:uid="{00000000-0005-0000-0000-0000AE1C0000}"/>
    <cellStyle name="Millares 9 4 4 2" xfId="11182" xr:uid="{42BE02C1-7208-45F7-A82B-BF281EE51070}"/>
    <cellStyle name="Millares 9 4 5" xfId="10020" xr:uid="{2B958552-C03F-42BA-9825-93E12FC1574C}"/>
    <cellStyle name="Millares 9 5" xfId="3816" xr:uid="{00000000-0005-0000-0000-0000E80E0000}"/>
    <cellStyle name="Millares 9 5 2" xfId="6809" xr:uid="{00000000-0005-0000-0000-0000991A0000}"/>
    <cellStyle name="Millares 9 5 2 2" xfId="7132" xr:uid="{00000000-0005-0000-0000-0000DC1B0000}"/>
    <cellStyle name="Millares 9 5 2 2 2" xfId="7773" xr:uid="{00000000-0005-0000-0000-00005D1E0000}"/>
    <cellStyle name="Millares 9 5 2 2 2 2" xfId="11613" xr:uid="{5B17BDC3-1C9A-4917-978F-7CA35F3405CF}"/>
    <cellStyle name="Millares 9 5 2 2 3" xfId="10972" xr:uid="{287BFB9D-F874-4619-8579-3A661CA6C924}"/>
    <cellStyle name="Millares 9 5 2 3" xfId="7450" xr:uid="{00000000-0005-0000-0000-00001A1D0000}"/>
    <cellStyle name="Millares 9 5 2 3 2" xfId="11290" xr:uid="{8EDE517F-473F-44B4-8FFE-CA0F23DD12E1}"/>
    <cellStyle name="Millares 9 5 2 4" xfId="10649" xr:uid="{489159D0-11A2-48F7-835B-4E4C2D51859C}"/>
    <cellStyle name="Millares 9 5 3" xfId="6968" xr:uid="{00000000-0005-0000-0000-0000381B0000}"/>
    <cellStyle name="Millares 9 5 3 2" xfId="7609" xr:uid="{00000000-0005-0000-0000-0000B91D0000}"/>
    <cellStyle name="Millares 9 5 3 2 2" xfId="11449" xr:uid="{5E4495A0-BD19-4920-A18A-5FE6741F0D97}"/>
    <cellStyle name="Millares 9 5 3 3" xfId="10808" xr:uid="{8F5DC90D-F503-4908-BEEE-10B28308AA2C}"/>
    <cellStyle name="Millares 9 5 4" xfId="7288" xr:uid="{00000000-0005-0000-0000-0000781C0000}"/>
    <cellStyle name="Millares 9 5 4 2" xfId="11128" xr:uid="{C80CE915-D3BA-478A-BA91-7EA527B8B588}"/>
    <cellStyle name="Millares 9 5 5" xfId="8987" xr:uid="{B92085C5-BD4F-4642-A41A-AD44304D1B37}"/>
    <cellStyle name="Millares 9 6" xfId="6768" xr:uid="{00000000-0005-0000-0000-0000701A0000}"/>
    <cellStyle name="Millares 9 6 2" xfId="7091" xr:uid="{00000000-0005-0000-0000-0000B31B0000}"/>
    <cellStyle name="Millares 9 6 2 2" xfId="7732" xr:uid="{00000000-0005-0000-0000-0000341E0000}"/>
    <cellStyle name="Millares 9 6 2 2 2" xfId="11572" xr:uid="{2C0F526E-F2D4-462F-9DD9-40CEF446ACB3}"/>
    <cellStyle name="Millares 9 6 2 3" xfId="10931" xr:uid="{439AE1A4-8EFC-41D3-BF5C-98A9C5F10A52}"/>
    <cellStyle name="Millares 9 6 3" xfId="7409" xr:uid="{00000000-0005-0000-0000-0000F11C0000}"/>
    <cellStyle name="Millares 9 6 3 2" xfId="11249" xr:uid="{F0D790A0-A3FF-4731-81F7-27B18CA99362}"/>
    <cellStyle name="Millares 9 6 4" xfId="10608" xr:uid="{7D4E77CA-88F3-4ECF-8D23-6D64335E7B0B}"/>
    <cellStyle name="Millares 9 7" xfId="6937" xr:uid="{00000000-0005-0000-0000-0000191B0000}"/>
    <cellStyle name="Millares 9 7 2" xfId="7578" xr:uid="{00000000-0005-0000-0000-00009A1D0000}"/>
    <cellStyle name="Millares 9 7 2 2" xfId="11418" xr:uid="{020B71AE-D438-4316-A92C-01D1B5A38DF2}"/>
    <cellStyle name="Millares 9 7 3" xfId="10777" xr:uid="{BBED5369-D936-470D-87CF-35FE9B515513}"/>
    <cellStyle name="Millares 9 8" xfId="7257" xr:uid="{00000000-0005-0000-0000-0000591C0000}"/>
    <cellStyle name="Millares 9 8 2" xfId="11097" xr:uid="{BF3DE85B-88F2-456F-85A6-77D22EB70AF5}"/>
    <cellStyle name="Millares 9 9" xfId="8511" xr:uid="{993683EA-1366-40A5-98E0-58EE7B441D3F}"/>
    <cellStyle name="Millares(0)" xfId="2044" xr:uid="{00000000-0005-0000-0000-0000FC070000}"/>
    <cellStyle name="Millares(0) 2" xfId="2045" xr:uid="{00000000-0005-0000-0000-0000FD070000}"/>
    <cellStyle name="Millares(0) 2 2" xfId="2046" xr:uid="{00000000-0005-0000-0000-0000FE070000}"/>
    <cellStyle name="Millares(0) 2 2 2" xfId="8515" xr:uid="{0C2F98F1-BCA6-42CE-BE40-F33F19329B31}"/>
    <cellStyle name="Millares(0) 2 3" xfId="2047" xr:uid="{00000000-0005-0000-0000-0000FF070000}"/>
    <cellStyle name="Millares(0) 2 3 2" xfId="8516" xr:uid="{C0634C65-9845-4C96-A67F-5941CB5BC15D}"/>
    <cellStyle name="Millares(0) 2 4" xfId="8514" xr:uid="{4CBD4293-2F15-4642-A4ED-C0EE3C161C24}"/>
    <cellStyle name="Millares(0) 3" xfId="2048" xr:uid="{00000000-0005-0000-0000-000000080000}"/>
    <cellStyle name="Millares(0) 3 2" xfId="2049" xr:uid="{00000000-0005-0000-0000-000001080000}"/>
    <cellStyle name="Millares(0) 3 2 2" xfId="8518" xr:uid="{BA780AF3-134A-46DE-89B4-15092EDF3809}"/>
    <cellStyle name="Millares(0) 3 3" xfId="8517" xr:uid="{993AC285-BC49-4B87-B80F-2E1F33D40344}"/>
    <cellStyle name="Millares(0) 4" xfId="2050" xr:uid="{00000000-0005-0000-0000-000002080000}"/>
    <cellStyle name="Millares(0) 4 2" xfId="2051" xr:uid="{00000000-0005-0000-0000-000003080000}"/>
    <cellStyle name="Millares(0) 4 2 2" xfId="8520" xr:uid="{FD8F9FF6-F32E-42CA-9EA0-2AD18C15CB9E}"/>
    <cellStyle name="Millares(0) 4 3" xfId="8519" xr:uid="{0B113889-B36E-42D3-B48B-0F2178DCE66E}"/>
    <cellStyle name="Millares(0) 5" xfId="2052" xr:uid="{00000000-0005-0000-0000-000004080000}"/>
    <cellStyle name="Millares(0) 5 2" xfId="8521" xr:uid="{80979FD6-BFE6-49E2-93DB-11F5F3C66BC5}"/>
    <cellStyle name="Millares(0) 6" xfId="2053" xr:uid="{00000000-0005-0000-0000-000005080000}"/>
    <cellStyle name="Millares(0) 6 2" xfId="8522" xr:uid="{29F76685-1D76-4324-BDEF-FAD390F88987}"/>
    <cellStyle name="Millares(0) 7" xfId="8513" xr:uid="{263BA54D-1810-481A-8216-6F7C2745FDCB}"/>
    <cellStyle name="Millares(0)_Cuadros Excel  kilometros 2008" xfId="2054" xr:uid="{00000000-0005-0000-0000-000006080000}"/>
    <cellStyle name="Millares(1)" xfId="2055" xr:uid="{00000000-0005-0000-0000-000007080000}"/>
    <cellStyle name="Millares(1) 2" xfId="2056" xr:uid="{00000000-0005-0000-0000-000008080000}"/>
    <cellStyle name="Millares(1) 2 2" xfId="2057" xr:uid="{00000000-0005-0000-0000-000009080000}"/>
    <cellStyle name="Millares(1) 2 2 2" xfId="8525" xr:uid="{EA13E576-A9F6-4D66-B880-CC2C89909F7F}"/>
    <cellStyle name="Millares(1) 2 3" xfId="2058" xr:uid="{00000000-0005-0000-0000-00000A080000}"/>
    <cellStyle name="Millares(1) 2 3 2" xfId="8526" xr:uid="{107D81CE-1BEE-4A24-A0B0-7D9B0BC6F9D6}"/>
    <cellStyle name="Millares(1) 2 4" xfId="8524" xr:uid="{1E243BDC-E333-478A-89CF-DF446BD27E16}"/>
    <cellStyle name="Millares(1) 3" xfId="2059" xr:uid="{00000000-0005-0000-0000-00000B080000}"/>
    <cellStyle name="Millares(1) 3 2" xfId="2060" xr:uid="{00000000-0005-0000-0000-00000C080000}"/>
    <cellStyle name="Millares(1) 3 2 2" xfId="8528" xr:uid="{659CC90D-577B-46B5-A34D-B7BEEBE71A60}"/>
    <cellStyle name="Millares(1) 3 3" xfId="8527" xr:uid="{6F682C1C-1BA3-4D31-A330-491FCDF6DBCE}"/>
    <cellStyle name="Millares(1) 4" xfId="2061" xr:uid="{00000000-0005-0000-0000-00000D080000}"/>
    <cellStyle name="Millares(1) 4 2" xfId="2062" xr:uid="{00000000-0005-0000-0000-00000E080000}"/>
    <cellStyle name="Millares(1) 4 2 2" xfId="8530" xr:uid="{7886CBD5-48E1-4D4C-B91A-98CDF5C81ABC}"/>
    <cellStyle name="Millares(1) 4 3" xfId="8529" xr:uid="{B2F30A2E-F419-44BA-9541-1722718F851E}"/>
    <cellStyle name="Millares(1) 5" xfId="2063" xr:uid="{00000000-0005-0000-0000-00000F080000}"/>
    <cellStyle name="Millares(1) 5 2" xfId="8531" xr:uid="{53A184E1-E56C-44D2-A591-E0071E9F80D0}"/>
    <cellStyle name="Millares(1) 6" xfId="2064" xr:uid="{00000000-0005-0000-0000-000010080000}"/>
    <cellStyle name="Millares(1) 6 2" xfId="8532" xr:uid="{AAB59C79-0F6B-476B-BC41-0EE72287754F}"/>
    <cellStyle name="Millares(1) 7" xfId="8523" xr:uid="{D7447EE2-166A-4A0C-8934-DB4877FE3689}"/>
    <cellStyle name="Millares(1)_Cuadros Excel  kilometros 2008" xfId="2065" xr:uid="{00000000-0005-0000-0000-000011080000}"/>
    <cellStyle name="Millares[1]" xfId="2066" xr:uid="{00000000-0005-0000-0000-000012080000}"/>
    <cellStyle name="Millares[1] 2" xfId="2067" xr:uid="{00000000-0005-0000-0000-000013080000}"/>
    <cellStyle name="Millares[1] 2 2" xfId="2068" xr:uid="{00000000-0005-0000-0000-000014080000}"/>
    <cellStyle name="Millares[1] 2 2 2" xfId="8535" xr:uid="{1B16AA25-231E-4434-9806-7F95953506E9}"/>
    <cellStyle name="Millares[1] 2 3" xfId="2069" xr:uid="{00000000-0005-0000-0000-000015080000}"/>
    <cellStyle name="Millares[1] 2 3 2" xfId="8536" xr:uid="{17CF334F-7065-4CD3-91E9-9C7D7777B0BC}"/>
    <cellStyle name="Millares[1] 2 4" xfId="8534" xr:uid="{588195C2-FC40-4D52-A965-CFDBD9ECE362}"/>
    <cellStyle name="Millares[1] 3" xfId="2070" xr:uid="{00000000-0005-0000-0000-000016080000}"/>
    <cellStyle name="Millares[1] 3 2" xfId="2071" xr:uid="{00000000-0005-0000-0000-000017080000}"/>
    <cellStyle name="Millares[1] 3 2 2" xfId="8538" xr:uid="{764E7552-8210-44CB-B12A-90A9F1EAF228}"/>
    <cellStyle name="Millares[1] 3 3" xfId="8537" xr:uid="{6CC19C63-8F7B-4427-8B34-148700101859}"/>
    <cellStyle name="Millares[1] 4" xfId="2072" xr:uid="{00000000-0005-0000-0000-000018080000}"/>
    <cellStyle name="Millares[1] 4 2" xfId="2073" xr:uid="{00000000-0005-0000-0000-000019080000}"/>
    <cellStyle name="Millares[1] 4 2 2" xfId="8540" xr:uid="{4FC10400-3E3C-4A6E-AF39-F6D2EC3C776E}"/>
    <cellStyle name="Millares[1] 4 3" xfId="8539" xr:uid="{039E7614-9965-4982-94E9-E9B840D100BD}"/>
    <cellStyle name="Millares[1] 5" xfId="2074" xr:uid="{00000000-0005-0000-0000-00001A080000}"/>
    <cellStyle name="Millares[1] 5 2" xfId="8541" xr:uid="{516903D5-DAB9-43E2-8A92-44A3C0C019FE}"/>
    <cellStyle name="Millares[1] 6" xfId="2075" xr:uid="{00000000-0005-0000-0000-00001B080000}"/>
    <cellStyle name="Millares[1] 6 2" xfId="8542" xr:uid="{C791DC42-FF12-447E-9618-ACD2D5270F84}"/>
    <cellStyle name="Millares[1] 7" xfId="8533" xr:uid="{4156B3C5-7CE8-4130-A8EE-0150143806DE}"/>
    <cellStyle name="Millares[1]_Cuadros Excel  kilometros 2008" xfId="2076" xr:uid="{00000000-0005-0000-0000-00001C080000}"/>
    <cellStyle name="Moeda [0]" xfId="2077" xr:uid="{00000000-0005-0000-0000-00001D080000}"/>
    <cellStyle name="Moeda [0] 2" xfId="5189" xr:uid="{00000000-0005-0000-0000-000045140000}"/>
    <cellStyle name="Moeda_01-08_RESULTADO" xfId="3436" xr:uid="{00000000-0005-0000-0000-00006C0D0000}"/>
    <cellStyle name="Moneda [0] 2" xfId="15" xr:uid="{00000000-0005-0000-0000-00000F000000}"/>
    <cellStyle name="Moneda [0] 2 2" xfId="7880" xr:uid="{F8FFB8CC-06B1-4F35-AC60-B56BB4DB985B}"/>
    <cellStyle name="Moneda 10" xfId="5190" xr:uid="{00000000-0005-0000-0000-000046140000}"/>
    <cellStyle name="Moneda 11" xfId="3822" xr:uid="{00000000-0005-0000-0000-0000EE0E0000}"/>
    <cellStyle name="Moneda 2" xfId="5191" xr:uid="{00000000-0005-0000-0000-000047140000}"/>
    <cellStyle name="Moneda 2 2" xfId="5192" xr:uid="{00000000-0005-0000-0000-000048140000}"/>
    <cellStyle name="Moneda 3" xfId="5193" xr:uid="{00000000-0005-0000-0000-000049140000}"/>
    <cellStyle name="Moneda 4" xfId="5194" xr:uid="{00000000-0005-0000-0000-00004A140000}"/>
    <cellStyle name="Moneda 5" xfId="5195" xr:uid="{00000000-0005-0000-0000-00004B140000}"/>
    <cellStyle name="Moneda 6" xfId="5196" xr:uid="{00000000-0005-0000-0000-00004C140000}"/>
    <cellStyle name="Moneda 7" xfId="5197" xr:uid="{00000000-0005-0000-0000-00004D140000}"/>
    <cellStyle name="Moneda 8" xfId="5198" xr:uid="{00000000-0005-0000-0000-00004E140000}"/>
    <cellStyle name="Moneda 9" xfId="5199" xr:uid="{00000000-0005-0000-0000-00004F140000}"/>
    <cellStyle name="Monetario" xfId="3437" xr:uid="{00000000-0005-0000-0000-00006D0D0000}"/>
    <cellStyle name="Monetario0" xfId="3438" xr:uid="{00000000-0005-0000-0000-00006E0D0000}"/>
    <cellStyle name="Neutra" xfId="2078" xr:uid="{00000000-0005-0000-0000-00001E080000}"/>
    <cellStyle name="Neutra 2" xfId="8543" xr:uid="{62EBCC91-7A8B-4B39-93D6-D4362BE7326E}"/>
    <cellStyle name="Neutral 10" xfId="5200" xr:uid="{00000000-0005-0000-0000-000050140000}"/>
    <cellStyle name="Neutral 10 2" xfId="10021" xr:uid="{C96E4136-0C3A-42DF-AAF8-55A78D5AC77D}"/>
    <cellStyle name="Neutral 11" xfId="5201" xr:uid="{00000000-0005-0000-0000-000051140000}"/>
    <cellStyle name="Neutral 11 2" xfId="10022" xr:uid="{DDC0107C-5C8D-4C42-B4BC-D99579B0E264}"/>
    <cellStyle name="Neutral 12" xfId="5202" xr:uid="{00000000-0005-0000-0000-000052140000}"/>
    <cellStyle name="Neutral 12 2" xfId="10023" xr:uid="{C2853FF1-A3F4-48D2-9359-2F7BBF9E5907}"/>
    <cellStyle name="Neutral 13" xfId="5203" xr:uid="{00000000-0005-0000-0000-000053140000}"/>
    <cellStyle name="Neutral 13 2" xfId="10024" xr:uid="{C462DF6D-F95E-48E5-B9B8-E03885BB449E}"/>
    <cellStyle name="Neutral 14" xfId="5204" xr:uid="{00000000-0005-0000-0000-000054140000}"/>
    <cellStyle name="Neutral 14 2" xfId="5205" xr:uid="{00000000-0005-0000-0000-000055140000}"/>
    <cellStyle name="Neutral 14 2 2" xfId="10026" xr:uid="{E80D0CC0-58BD-4A85-A582-167ACE6A2D56}"/>
    <cellStyle name="Neutral 14 3" xfId="10025" xr:uid="{8BC49ED8-EADC-4ED2-A66B-8CC14E2113C4}"/>
    <cellStyle name="Neutral 15" xfId="5206" xr:uid="{00000000-0005-0000-0000-000056140000}"/>
    <cellStyle name="Neutral 15 2" xfId="10027" xr:uid="{05F2A6F6-16F6-47AA-8FFE-92835CF63848}"/>
    <cellStyle name="Neutral 2" xfId="3439" xr:uid="{00000000-0005-0000-0000-00006F0D0000}"/>
    <cellStyle name="Neutral 2 2" xfId="5207" xr:uid="{00000000-0005-0000-0000-000057140000}"/>
    <cellStyle name="Neutral 2 2 2" xfId="10028" xr:uid="{0946D07C-E6EB-4D41-BF0F-42B3ABC5C879}"/>
    <cellStyle name="Neutral 2 3" xfId="5208" xr:uid="{00000000-0005-0000-0000-000058140000}"/>
    <cellStyle name="Neutral 2 3 2" xfId="10029" xr:uid="{6C6469D6-F311-4D86-A3E5-A6178141F3B0}"/>
    <cellStyle name="Neutral 2 4" xfId="5209" xr:uid="{00000000-0005-0000-0000-000059140000}"/>
    <cellStyle name="Neutral 2 4 2" xfId="10030" xr:uid="{2618799E-ADCF-47D5-8F5D-805BD93D585C}"/>
    <cellStyle name="Neutral 2 5" xfId="8817" xr:uid="{F4780DD5-E82B-4B02-BA08-26CEA4A7E05B}"/>
    <cellStyle name="Neutral 3" xfId="3440" xr:uid="{00000000-0005-0000-0000-0000700D0000}"/>
    <cellStyle name="Neutral 3 2" xfId="5210" xr:uid="{00000000-0005-0000-0000-00005A140000}"/>
    <cellStyle name="Neutral 3 2 2" xfId="10031" xr:uid="{0735ED85-8661-4198-B300-B69E1308F0ED}"/>
    <cellStyle name="Neutral 3 3" xfId="5211" xr:uid="{00000000-0005-0000-0000-00005B140000}"/>
    <cellStyle name="Neutral 3 3 2" xfId="10032" xr:uid="{1F33E91F-C0F5-4D8E-96B3-AA69C01C9A12}"/>
    <cellStyle name="Neutral 3 4" xfId="8818" xr:uid="{F30FF1BC-DAF3-424C-A8CB-FAD5DA29914C}"/>
    <cellStyle name="Neutral 4" xfId="5212" xr:uid="{00000000-0005-0000-0000-00005C140000}"/>
    <cellStyle name="Neutral 4 2" xfId="5213" xr:uid="{00000000-0005-0000-0000-00005D140000}"/>
    <cellStyle name="Neutral 4 2 2" xfId="10034" xr:uid="{D816D7C3-C00B-4FF3-8D2D-ED534400F866}"/>
    <cellStyle name="Neutral 4 3" xfId="5214" xr:uid="{00000000-0005-0000-0000-00005E140000}"/>
    <cellStyle name="Neutral 4 3 2" xfId="10035" xr:uid="{F2C20D1F-84AF-4A7F-9D1B-769E8457DEB9}"/>
    <cellStyle name="Neutral 4 4" xfId="10033" xr:uid="{6FB7F8CE-23F9-4251-9ED9-17709654278A}"/>
    <cellStyle name="Neutral 5" xfId="5215" xr:uid="{00000000-0005-0000-0000-00005F140000}"/>
    <cellStyle name="Neutral 5 2" xfId="10036" xr:uid="{52D6C1CA-1157-4F5E-A60C-5098342483A5}"/>
    <cellStyle name="Neutral 6" xfId="5216" xr:uid="{00000000-0005-0000-0000-000060140000}"/>
    <cellStyle name="Neutral 6 2" xfId="10037" xr:uid="{EC4EFF60-9ED2-46BA-BC6F-631E6552A745}"/>
    <cellStyle name="Neutral 7" xfId="5217" xr:uid="{00000000-0005-0000-0000-000061140000}"/>
    <cellStyle name="Neutral 7 2" xfId="10038" xr:uid="{F2FED8BC-615F-4DEC-902F-9D00DB491E2A}"/>
    <cellStyle name="Neutral 8" xfId="5218" xr:uid="{00000000-0005-0000-0000-000062140000}"/>
    <cellStyle name="Neutral 8 2" xfId="10039" xr:uid="{6E3B6A12-2B99-4721-A264-45EEB686580C}"/>
    <cellStyle name="Neutral 9" xfId="5219" xr:uid="{00000000-0005-0000-0000-000063140000}"/>
    <cellStyle name="Neutral 9 2" xfId="10040" xr:uid="{4D1DC186-0A4C-48C0-BA96-77EA08CBC929}"/>
    <cellStyle name="no dec" xfId="2079" xr:uid="{00000000-0005-0000-0000-00001F080000}"/>
    <cellStyle name="no dec 2" xfId="2080" xr:uid="{00000000-0005-0000-0000-000020080000}"/>
    <cellStyle name="no dec 2 2" xfId="2081" xr:uid="{00000000-0005-0000-0000-000021080000}"/>
    <cellStyle name="no dec 2 3" xfId="2082" xr:uid="{00000000-0005-0000-0000-000022080000}"/>
    <cellStyle name="no dec 2 4" xfId="2083" xr:uid="{00000000-0005-0000-0000-000023080000}"/>
    <cellStyle name="no dec 2 5" xfId="2084" xr:uid="{00000000-0005-0000-0000-000024080000}"/>
    <cellStyle name="no dec 2 6" xfId="2085" xr:uid="{00000000-0005-0000-0000-000025080000}"/>
    <cellStyle name="no dec 2 7" xfId="2086" xr:uid="{00000000-0005-0000-0000-000026080000}"/>
    <cellStyle name="no dec 2 8" xfId="2087" xr:uid="{00000000-0005-0000-0000-000027080000}"/>
    <cellStyle name="no dec 2_ActiFijos" xfId="2088" xr:uid="{00000000-0005-0000-0000-000028080000}"/>
    <cellStyle name="no dec 3" xfId="2089" xr:uid="{00000000-0005-0000-0000-000029080000}"/>
    <cellStyle name="no dec 3 2" xfId="2090" xr:uid="{00000000-0005-0000-0000-00002A080000}"/>
    <cellStyle name="no dec 3 3" xfId="2091" xr:uid="{00000000-0005-0000-0000-00002B080000}"/>
    <cellStyle name="no dec 3 4" xfId="2092" xr:uid="{00000000-0005-0000-0000-00002C080000}"/>
    <cellStyle name="no dec 3 5" xfId="2093" xr:uid="{00000000-0005-0000-0000-00002D080000}"/>
    <cellStyle name="no dec 3 6" xfId="2094" xr:uid="{00000000-0005-0000-0000-00002E080000}"/>
    <cellStyle name="no dec 3 7" xfId="2095" xr:uid="{00000000-0005-0000-0000-00002F080000}"/>
    <cellStyle name="no dec 3 8" xfId="2096" xr:uid="{00000000-0005-0000-0000-000030080000}"/>
    <cellStyle name="no dec 3_ActiFijos" xfId="2097" xr:uid="{00000000-0005-0000-0000-000031080000}"/>
    <cellStyle name="no dec 4" xfId="2098" xr:uid="{00000000-0005-0000-0000-000032080000}"/>
    <cellStyle name="no dec 4 2" xfId="2099" xr:uid="{00000000-0005-0000-0000-000033080000}"/>
    <cellStyle name="no dec 4 3" xfId="2100" xr:uid="{00000000-0005-0000-0000-000034080000}"/>
    <cellStyle name="no dec 4 4" xfId="2101" xr:uid="{00000000-0005-0000-0000-000035080000}"/>
    <cellStyle name="no dec 4 5" xfId="2102" xr:uid="{00000000-0005-0000-0000-000036080000}"/>
    <cellStyle name="no dec 4 6" xfId="2103" xr:uid="{00000000-0005-0000-0000-000037080000}"/>
    <cellStyle name="no dec 4 7" xfId="2104" xr:uid="{00000000-0005-0000-0000-000038080000}"/>
    <cellStyle name="no dec 4 8" xfId="2105" xr:uid="{00000000-0005-0000-0000-000039080000}"/>
    <cellStyle name="no dec 4_ActiFijos" xfId="2106" xr:uid="{00000000-0005-0000-0000-00003A080000}"/>
    <cellStyle name="no dec_Bases_Generales" xfId="2107" xr:uid="{00000000-0005-0000-0000-00003B080000}"/>
    <cellStyle name="Normal" xfId="0" builtinId="0"/>
    <cellStyle name="Normal - Style1" xfId="2108" xr:uid="{00000000-0005-0000-0000-00003C080000}"/>
    <cellStyle name="Normal - Style1 2" xfId="8544" xr:uid="{991EA3DB-F6D6-4E47-8B58-25FBDA813978}"/>
    <cellStyle name="Normal (%)" xfId="3441" xr:uid="{00000000-0005-0000-0000-0000710D0000}"/>
    <cellStyle name="Normal (£m)" xfId="3442" xr:uid="{00000000-0005-0000-0000-0000720D0000}"/>
    <cellStyle name="Normal (x)" xfId="3443" xr:uid="{00000000-0005-0000-0000-0000730D0000}"/>
    <cellStyle name="Normal 10" xfId="2109" xr:uid="{00000000-0005-0000-0000-00003D080000}"/>
    <cellStyle name="Normal 10 2" xfId="5220" xr:uid="{00000000-0005-0000-0000-000064140000}"/>
    <cellStyle name="Normal 11" xfId="2110" xr:uid="{00000000-0005-0000-0000-00003E080000}"/>
    <cellStyle name="Normal 11 2" xfId="92" xr:uid="{00000000-0005-0000-0000-00005C000000}"/>
    <cellStyle name="Normal 11 3" xfId="27" xr:uid="{00000000-0005-0000-0000-00001B000000}"/>
    <cellStyle name="Normal 12" xfId="3302" xr:uid="{00000000-0005-0000-0000-0000E60C0000}"/>
    <cellStyle name="Normal 12 2" xfId="5221" xr:uid="{00000000-0005-0000-0000-000065140000}"/>
    <cellStyle name="Normal 12 3" xfId="5222" xr:uid="{00000000-0005-0000-0000-000066140000}"/>
    <cellStyle name="Normal 12 4" xfId="3818" xr:uid="{00000000-0005-0000-0000-0000EA0E0000}"/>
    <cellStyle name="Normal 13" xfId="3303" xr:uid="{00000000-0005-0000-0000-0000E70C0000}"/>
    <cellStyle name="Normal 13 2" xfId="3667" xr:uid="{00000000-0005-0000-0000-0000530E0000}"/>
    <cellStyle name="Normal 14" xfId="3668" xr:uid="{00000000-0005-0000-0000-0000540E0000}"/>
    <cellStyle name="Normal 14 2" xfId="3669" xr:uid="{00000000-0005-0000-0000-0000550E0000}"/>
    <cellStyle name="Normal 14 2 2" xfId="5223" xr:uid="{00000000-0005-0000-0000-000067140000}"/>
    <cellStyle name="Normal 14 3" xfId="3670" xr:uid="{00000000-0005-0000-0000-0000560E0000}"/>
    <cellStyle name="Normal 14 3 2" xfId="5224" xr:uid="{00000000-0005-0000-0000-000068140000}"/>
    <cellStyle name="Normal 14 4" xfId="5225" xr:uid="{00000000-0005-0000-0000-000069140000}"/>
    <cellStyle name="Normal 14 4 2" xfId="5226" xr:uid="{00000000-0005-0000-0000-00006A140000}"/>
    <cellStyle name="Normal 14 5" xfId="5227" xr:uid="{00000000-0005-0000-0000-00006B140000}"/>
    <cellStyle name="Normal 14 5 2" xfId="5228" xr:uid="{00000000-0005-0000-0000-00006C140000}"/>
    <cellStyle name="Normal 14 6" xfId="5229" xr:uid="{00000000-0005-0000-0000-00006D140000}"/>
    <cellStyle name="Normal 14 6 2" xfId="5230" xr:uid="{00000000-0005-0000-0000-00006E140000}"/>
    <cellStyle name="Normal 14 7" xfId="5231" xr:uid="{00000000-0005-0000-0000-00006F140000}"/>
    <cellStyle name="Normal 14 7 2" xfId="5232" xr:uid="{00000000-0005-0000-0000-000070140000}"/>
    <cellStyle name="Normal 15" xfId="5233" xr:uid="{00000000-0005-0000-0000-000071140000}"/>
    <cellStyle name="Normal 16" xfId="3740" xr:uid="{00000000-0005-0000-0000-00009C0E0000}"/>
    <cellStyle name="Normal 16 2" xfId="3671" xr:uid="{00000000-0005-0000-0000-0000570E0000}"/>
    <cellStyle name="Normal 16 2 2" xfId="5234" xr:uid="{00000000-0005-0000-0000-000072140000}"/>
    <cellStyle name="Normal 16 3" xfId="3672" xr:uid="{00000000-0005-0000-0000-0000580E0000}"/>
    <cellStyle name="Normal 16 3 2" xfId="5235" xr:uid="{00000000-0005-0000-0000-000073140000}"/>
    <cellStyle name="Normal 16 4" xfId="5236" xr:uid="{00000000-0005-0000-0000-000074140000}"/>
    <cellStyle name="Normal 16 4 2" xfId="5237" xr:uid="{00000000-0005-0000-0000-000075140000}"/>
    <cellStyle name="Normal 16 5" xfId="5238" xr:uid="{00000000-0005-0000-0000-000076140000}"/>
    <cellStyle name="Normal 16 5 2" xfId="5239" xr:uid="{00000000-0005-0000-0000-000077140000}"/>
    <cellStyle name="Normal 17" xfId="3741" xr:uid="{00000000-0005-0000-0000-00009D0E0000}"/>
    <cellStyle name="Normal 170 2" xfId="11" xr:uid="{00000000-0005-0000-0000-00000B000000}"/>
    <cellStyle name="Normal 170 2 2" xfId="7877" xr:uid="{8929E3DE-7591-4CCD-B2CA-EC93EC9496D8}"/>
    <cellStyle name="Normal 172" xfId="9" xr:uid="{00000000-0005-0000-0000-000009000000}"/>
    <cellStyle name="Normal 172 2" xfId="7876" xr:uid="{6EB36F6D-53A0-4153-A6D9-3DF2A8C718AA}"/>
    <cellStyle name="Normal 18" xfId="5240" xr:uid="{00000000-0005-0000-0000-000078140000}"/>
    <cellStyle name="Normal 18 2" xfId="5241" xr:uid="{00000000-0005-0000-0000-000079140000}"/>
    <cellStyle name="Normal 19" xfId="5242" xr:uid="{00000000-0005-0000-0000-00007A140000}"/>
    <cellStyle name="Normal 19 2" xfId="5243" xr:uid="{00000000-0005-0000-0000-00007B140000}"/>
    <cellStyle name="Normal 19 4" xfId="22" xr:uid="{00000000-0005-0000-0000-000016000000}"/>
    <cellStyle name="Normal 19 4 3" xfId="7870" xr:uid="{CE53A0ED-F83A-4E58-9652-8000AA42CFBC}"/>
    <cellStyle name="Normal 2" xfId="7" xr:uid="{00000000-0005-0000-0000-000007000000}"/>
    <cellStyle name="Normal 2 10" xfId="5244" xr:uid="{00000000-0005-0000-0000-00007C140000}"/>
    <cellStyle name="Normal 2 10 2" xfId="5245" xr:uid="{00000000-0005-0000-0000-00007D140000}"/>
    <cellStyle name="Normal 2 10 3" xfId="5246" xr:uid="{00000000-0005-0000-0000-00007E140000}"/>
    <cellStyle name="Normal 2 11" xfId="5247" xr:uid="{00000000-0005-0000-0000-00007F140000}"/>
    <cellStyle name="Normal 2 11 2" xfId="5248" xr:uid="{00000000-0005-0000-0000-000080140000}"/>
    <cellStyle name="Normal 2 11 3" xfId="5249" xr:uid="{00000000-0005-0000-0000-000081140000}"/>
    <cellStyle name="Normal 2 12" xfId="5250" xr:uid="{00000000-0005-0000-0000-000082140000}"/>
    <cellStyle name="Normal 2 12 2" xfId="5251" xr:uid="{00000000-0005-0000-0000-000083140000}"/>
    <cellStyle name="Normal 2 12 3" xfId="5252" xr:uid="{00000000-0005-0000-0000-000084140000}"/>
    <cellStyle name="Normal 2 13" xfId="5253" xr:uid="{00000000-0005-0000-0000-000085140000}"/>
    <cellStyle name="Normal 2 13 2" xfId="5254" xr:uid="{00000000-0005-0000-0000-000086140000}"/>
    <cellStyle name="Normal 2 13 3" xfId="5255" xr:uid="{00000000-0005-0000-0000-000087140000}"/>
    <cellStyle name="Normal 2 14" xfId="5256" xr:uid="{00000000-0005-0000-0000-000088140000}"/>
    <cellStyle name="Normal 2 14 2" xfId="5257" xr:uid="{00000000-0005-0000-0000-000089140000}"/>
    <cellStyle name="Normal 2 14 3" xfId="5258" xr:uid="{00000000-0005-0000-0000-00008A140000}"/>
    <cellStyle name="Normal 2 15" xfId="5259" xr:uid="{00000000-0005-0000-0000-00008B140000}"/>
    <cellStyle name="Normal 2 15 2" xfId="5260" xr:uid="{00000000-0005-0000-0000-00008C140000}"/>
    <cellStyle name="Normal 2 15 3" xfId="5261" xr:uid="{00000000-0005-0000-0000-00008D140000}"/>
    <cellStyle name="Normal 2 16" xfId="5262" xr:uid="{00000000-0005-0000-0000-00008E140000}"/>
    <cellStyle name="Normal 2 16 2" xfId="5263" xr:uid="{00000000-0005-0000-0000-00008F140000}"/>
    <cellStyle name="Normal 2 16 3" xfId="5264" xr:uid="{00000000-0005-0000-0000-000090140000}"/>
    <cellStyle name="Normal 2 17" xfId="13" xr:uid="{00000000-0005-0000-0000-00000D000000}"/>
    <cellStyle name="Normal 2 17 2" xfId="2111" xr:uid="{00000000-0005-0000-0000-00003F080000}"/>
    <cellStyle name="Normal 2 2" xfId="70" xr:uid="{00000000-0005-0000-0000-000046000000}"/>
    <cellStyle name="Normal 2 2 10" xfId="5265" xr:uid="{00000000-0005-0000-0000-000091140000}"/>
    <cellStyle name="Normal 2 2 11" xfId="5266" xr:uid="{00000000-0005-0000-0000-000092140000}"/>
    <cellStyle name="Normal 2 2 12" xfId="5267" xr:uid="{00000000-0005-0000-0000-000093140000}"/>
    <cellStyle name="Normal 2 2 12 2" xfId="5268" xr:uid="{00000000-0005-0000-0000-000094140000}"/>
    <cellStyle name="Normal 2 2 12 3" xfId="5269" xr:uid="{00000000-0005-0000-0000-000095140000}"/>
    <cellStyle name="Normal 2 2 13" xfId="2112" xr:uid="{00000000-0005-0000-0000-000040080000}"/>
    <cellStyle name="Normal 2 2 2" xfId="88" xr:uid="{00000000-0005-0000-0000-000058000000}"/>
    <cellStyle name="Normal 2 2 2 2" xfId="5270" xr:uid="{00000000-0005-0000-0000-000096140000}"/>
    <cellStyle name="Normal 2 2 2 3" xfId="5271" xr:uid="{00000000-0005-0000-0000-000097140000}"/>
    <cellStyle name="Normal 2 2 2 4" xfId="5272" xr:uid="{00000000-0005-0000-0000-000098140000}"/>
    <cellStyle name="Normal 2 2 2 5" xfId="5273" xr:uid="{00000000-0005-0000-0000-000099140000}"/>
    <cellStyle name="Normal 2 2 2 6" xfId="5274" xr:uid="{00000000-0005-0000-0000-00009A140000}"/>
    <cellStyle name="Normal 2 2 2 7" xfId="6717" xr:uid="{00000000-0005-0000-0000-00003D1A0000}"/>
    <cellStyle name="Normal 2 2 2 8" xfId="3743" xr:uid="{00000000-0005-0000-0000-00009F0E0000}"/>
    <cellStyle name="Normal 2 2 3" xfId="5275" xr:uid="{00000000-0005-0000-0000-00009B140000}"/>
    <cellStyle name="Normal 2 2 4" xfId="5276" xr:uid="{00000000-0005-0000-0000-00009C140000}"/>
    <cellStyle name="Normal 2 2 4 2" xfId="5277" xr:uid="{00000000-0005-0000-0000-00009D140000}"/>
    <cellStyle name="Normal 2 2 5" xfId="5278" xr:uid="{00000000-0005-0000-0000-00009E140000}"/>
    <cellStyle name="Normal 2 2 6" xfId="5279" xr:uid="{00000000-0005-0000-0000-00009F140000}"/>
    <cellStyle name="Normal 2 2 7" xfId="5280" xr:uid="{00000000-0005-0000-0000-0000A0140000}"/>
    <cellStyle name="Normal 2 2 8" xfId="5281" xr:uid="{00000000-0005-0000-0000-0000A1140000}"/>
    <cellStyle name="Normal 2 2 9" xfId="5282" xr:uid="{00000000-0005-0000-0000-0000A2140000}"/>
    <cellStyle name="Normal 2 3" xfId="3734" xr:uid="{00000000-0005-0000-0000-0000960E0000}"/>
    <cellStyle name="Normal 2 3 2" xfId="5283" xr:uid="{00000000-0005-0000-0000-0000A3140000}"/>
    <cellStyle name="Normal 2 4" xfId="3735" xr:uid="{00000000-0005-0000-0000-0000970E0000}"/>
    <cellStyle name="Normal 2 4 2" xfId="5284" xr:uid="{00000000-0005-0000-0000-0000A4140000}"/>
    <cellStyle name="Normal 2 47" xfId="7863" xr:uid="{00000000-0005-0000-0000-0000B71E0000}"/>
    <cellStyle name="Normal 2 5" xfId="3736" xr:uid="{00000000-0005-0000-0000-0000980E0000}"/>
    <cellStyle name="Normal 2 6" xfId="3737" xr:uid="{00000000-0005-0000-0000-0000990E0000}"/>
    <cellStyle name="Normal 2 7" xfId="3738" xr:uid="{00000000-0005-0000-0000-00009A0E0000}"/>
    <cellStyle name="Normal 2 8" xfId="5285" xr:uid="{00000000-0005-0000-0000-0000A5140000}"/>
    <cellStyle name="Normal 2 8 2" xfId="5286" xr:uid="{00000000-0005-0000-0000-0000A6140000}"/>
    <cellStyle name="Normal 2 8 3" xfId="5287" xr:uid="{00000000-0005-0000-0000-0000A7140000}"/>
    <cellStyle name="Normal 2 9" xfId="5288" xr:uid="{00000000-0005-0000-0000-0000A8140000}"/>
    <cellStyle name="Normal 2 9 2" xfId="5289" xr:uid="{00000000-0005-0000-0000-0000A9140000}"/>
    <cellStyle name="Normal 2 9 3" xfId="5290" xr:uid="{00000000-0005-0000-0000-0000AA140000}"/>
    <cellStyle name="Normal 20" xfId="5291" xr:uid="{00000000-0005-0000-0000-0000AB140000}"/>
    <cellStyle name="Normal 21" xfId="5292" xr:uid="{00000000-0005-0000-0000-0000AC140000}"/>
    <cellStyle name="Normal 22" xfId="5293" xr:uid="{00000000-0005-0000-0000-0000AD140000}"/>
    <cellStyle name="Normal 23" xfId="5294" xr:uid="{00000000-0005-0000-0000-0000AE140000}"/>
    <cellStyle name="Normal 24" xfId="5295" xr:uid="{00000000-0005-0000-0000-0000AF140000}"/>
    <cellStyle name="Normal 25" xfId="5296" xr:uid="{00000000-0005-0000-0000-0000B0140000}"/>
    <cellStyle name="Normal 26" xfId="5297" xr:uid="{00000000-0005-0000-0000-0000B1140000}"/>
    <cellStyle name="Normal 27" xfId="5298" xr:uid="{00000000-0005-0000-0000-0000B2140000}"/>
    <cellStyle name="Normal 28" xfId="5299" xr:uid="{00000000-0005-0000-0000-0000B3140000}"/>
    <cellStyle name="Normal 29" xfId="5300" xr:uid="{00000000-0005-0000-0000-0000B4140000}"/>
    <cellStyle name="Normal 3" xfId="72" xr:uid="{00000000-0005-0000-0000-000048000000}"/>
    <cellStyle name="Normal 3 10" xfId="5301" xr:uid="{00000000-0005-0000-0000-0000B5140000}"/>
    <cellStyle name="Normal 3 104 2" xfId="7868" xr:uid="{00000000-0005-0000-0000-0000BC1E0000}"/>
    <cellStyle name="Normal 3 11" xfId="6710" xr:uid="{00000000-0005-0000-0000-0000361A0000}"/>
    <cellStyle name="Normal 3 12" xfId="2113" xr:uid="{00000000-0005-0000-0000-000041080000}"/>
    <cellStyle name="Normal 3 2" xfId="3673" xr:uid="{00000000-0005-0000-0000-0000590E0000}"/>
    <cellStyle name="Normal 3 2 2" xfId="5302" xr:uid="{00000000-0005-0000-0000-0000B6140000}"/>
    <cellStyle name="Normal 3 2 3" xfId="5303" xr:uid="{00000000-0005-0000-0000-0000B7140000}"/>
    <cellStyle name="Normal 3 3" xfId="3674" xr:uid="{00000000-0005-0000-0000-00005A0E0000}"/>
    <cellStyle name="Normal 3 3 2" xfId="5304" xr:uid="{00000000-0005-0000-0000-0000B8140000}"/>
    <cellStyle name="Normal 3 4" xfId="3675" xr:uid="{00000000-0005-0000-0000-00005B0E0000}"/>
    <cellStyle name="Normal 3 4 2" xfId="5305" xr:uid="{00000000-0005-0000-0000-0000B9140000}"/>
    <cellStyle name="Normal 3 4 3" xfId="5306" xr:uid="{00000000-0005-0000-0000-0000BA140000}"/>
    <cellStyle name="Normal 3 5" xfId="3676" xr:uid="{00000000-0005-0000-0000-00005C0E0000}"/>
    <cellStyle name="Normal 3 5 2" xfId="5307" xr:uid="{00000000-0005-0000-0000-0000BB140000}"/>
    <cellStyle name="Normal 3 5 3" xfId="5308" xr:uid="{00000000-0005-0000-0000-0000BC140000}"/>
    <cellStyle name="Normal 3 6" xfId="3677" xr:uid="{00000000-0005-0000-0000-00005D0E0000}"/>
    <cellStyle name="Normal 3 6 2" xfId="5309" xr:uid="{00000000-0005-0000-0000-0000BD140000}"/>
    <cellStyle name="Normal 3 7" xfId="3678" xr:uid="{00000000-0005-0000-0000-00005E0E0000}"/>
    <cellStyle name="Normal 3 7 2" xfId="5310" xr:uid="{00000000-0005-0000-0000-0000BE140000}"/>
    <cellStyle name="Normal 3 8" xfId="5311" xr:uid="{00000000-0005-0000-0000-0000BF140000}"/>
    <cellStyle name="Normal 3 9" xfId="5312" xr:uid="{00000000-0005-0000-0000-0000C0140000}"/>
    <cellStyle name="Normal 30" xfId="5313" xr:uid="{00000000-0005-0000-0000-0000C1140000}"/>
    <cellStyle name="Normal 31" xfId="5314" xr:uid="{00000000-0005-0000-0000-0000C2140000}"/>
    <cellStyle name="Normal 32" xfId="5315" xr:uid="{00000000-0005-0000-0000-0000C3140000}"/>
    <cellStyle name="Normal 33" xfId="5316" xr:uid="{00000000-0005-0000-0000-0000C4140000}"/>
    <cellStyle name="Normal 34" xfId="5317" xr:uid="{00000000-0005-0000-0000-0000C5140000}"/>
    <cellStyle name="Normal 35" xfId="5318" xr:uid="{00000000-0005-0000-0000-0000C6140000}"/>
    <cellStyle name="Normal 36" xfId="5319" xr:uid="{00000000-0005-0000-0000-0000C7140000}"/>
    <cellStyle name="Normal 37" xfId="2114" xr:uid="{00000000-0005-0000-0000-000042080000}"/>
    <cellStyle name="Normal 38" xfId="5320" xr:uid="{00000000-0005-0000-0000-0000C8140000}"/>
    <cellStyle name="Normal 39" xfId="5321" xr:uid="{00000000-0005-0000-0000-0000C9140000}"/>
    <cellStyle name="Normal 4" xfId="2115" xr:uid="{00000000-0005-0000-0000-000043080000}"/>
    <cellStyle name="Normal 4 2" xfId="2116" xr:uid="{00000000-0005-0000-0000-000044080000}"/>
    <cellStyle name="Normal 4 2 10" xfId="5322" xr:uid="{00000000-0005-0000-0000-0000CA140000}"/>
    <cellStyle name="Normal 4 2 10 2" xfId="5323" xr:uid="{00000000-0005-0000-0000-0000CB140000}"/>
    <cellStyle name="Normal 4 2 10 3" xfId="5324" xr:uid="{00000000-0005-0000-0000-0000CC140000}"/>
    <cellStyle name="Normal 4 2 10 4" xfId="5325" xr:uid="{00000000-0005-0000-0000-0000CD140000}"/>
    <cellStyle name="Normal 4 2 11" xfId="5326" xr:uid="{00000000-0005-0000-0000-0000CE140000}"/>
    <cellStyle name="Normal 4 2 11 2" xfId="5327" xr:uid="{00000000-0005-0000-0000-0000CF140000}"/>
    <cellStyle name="Normal 4 2 12" xfId="5328" xr:uid="{00000000-0005-0000-0000-0000D0140000}"/>
    <cellStyle name="Normal 4 2 2" xfId="2117" xr:uid="{00000000-0005-0000-0000-000045080000}"/>
    <cellStyle name="Normal 4 2 2 2" xfId="5329" xr:uid="{00000000-0005-0000-0000-0000D1140000}"/>
    <cellStyle name="Normal 4 2 2 3" xfId="5330" xr:uid="{00000000-0005-0000-0000-0000D2140000}"/>
    <cellStyle name="Normal 4 2 2 4" xfId="5331" xr:uid="{00000000-0005-0000-0000-0000D3140000}"/>
    <cellStyle name="Normal 4 2 3" xfId="2118" xr:uid="{00000000-0005-0000-0000-000046080000}"/>
    <cellStyle name="Normal 4 2 3 2" xfId="5332" xr:uid="{00000000-0005-0000-0000-0000D4140000}"/>
    <cellStyle name="Normal 4 2 4" xfId="3679" xr:uid="{00000000-0005-0000-0000-00005F0E0000}"/>
    <cellStyle name="Normal 4 2 4 2" xfId="5333" xr:uid="{00000000-0005-0000-0000-0000D5140000}"/>
    <cellStyle name="Normal 4 2 5" xfId="3680" xr:uid="{00000000-0005-0000-0000-0000600E0000}"/>
    <cellStyle name="Normal 4 2 5 2" xfId="5334" xr:uid="{00000000-0005-0000-0000-0000D6140000}"/>
    <cellStyle name="Normal 4 2 6" xfId="3681" xr:uid="{00000000-0005-0000-0000-0000610E0000}"/>
    <cellStyle name="Normal 4 2 6 2" xfId="5335" xr:uid="{00000000-0005-0000-0000-0000D7140000}"/>
    <cellStyle name="Normal 4 2 7" xfId="3682" xr:uid="{00000000-0005-0000-0000-0000620E0000}"/>
    <cellStyle name="Normal 4 2 7 2" xfId="5336" xr:uid="{00000000-0005-0000-0000-0000D8140000}"/>
    <cellStyle name="Normal 4 2 8" xfId="5337" xr:uid="{00000000-0005-0000-0000-0000D9140000}"/>
    <cellStyle name="Normal 4 2 8 2" xfId="5338" xr:uid="{00000000-0005-0000-0000-0000DA140000}"/>
    <cellStyle name="Normal 4 2 9" xfId="5339" xr:uid="{00000000-0005-0000-0000-0000DB140000}"/>
    <cellStyle name="Normal 4 2 9 2" xfId="5340" xr:uid="{00000000-0005-0000-0000-0000DC140000}"/>
    <cellStyle name="Normal 4 2_Deuda septiembre_marcos" xfId="2119" xr:uid="{00000000-0005-0000-0000-000047080000}"/>
    <cellStyle name="Normal 4 3" xfId="2120" xr:uid="{00000000-0005-0000-0000-000048080000}"/>
    <cellStyle name="Normal 4 3 2" xfId="5341" xr:uid="{00000000-0005-0000-0000-0000DD140000}"/>
    <cellStyle name="Normal 4 4" xfId="2121" xr:uid="{00000000-0005-0000-0000-000049080000}"/>
    <cellStyle name="Normal 4 4 2" xfId="5342" xr:uid="{00000000-0005-0000-0000-0000DE140000}"/>
    <cellStyle name="Normal 4 4 3" xfId="5343" xr:uid="{00000000-0005-0000-0000-0000DF140000}"/>
    <cellStyle name="Normal 4 4 4" xfId="5344" xr:uid="{00000000-0005-0000-0000-0000E0140000}"/>
    <cellStyle name="Normal 4 5" xfId="93" xr:uid="{00000000-0005-0000-0000-00005D000000}"/>
    <cellStyle name="Normal 4 5 2" xfId="21" xr:uid="{00000000-0005-0000-0000-000015000000}"/>
    <cellStyle name="Normal 4 5 2 2" xfId="5345" xr:uid="{00000000-0005-0000-0000-0000E1140000}"/>
    <cellStyle name="Normal 4 6" xfId="3683" xr:uid="{00000000-0005-0000-0000-0000630E0000}"/>
    <cellStyle name="Normal 4 6 2" xfId="5346" xr:uid="{00000000-0005-0000-0000-0000E2140000}"/>
    <cellStyle name="Normal 4 7" xfId="3684" xr:uid="{00000000-0005-0000-0000-0000640E0000}"/>
    <cellStyle name="Normal 4 7 2" xfId="5347" xr:uid="{00000000-0005-0000-0000-0000E3140000}"/>
    <cellStyle name="Normal 4 8" xfId="5348" xr:uid="{00000000-0005-0000-0000-0000E4140000}"/>
    <cellStyle name="Normal 4_Deuda septiembre_marcos" xfId="2122" xr:uid="{00000000-0005-0000-0000-00004A080000}"/>
    <cellStyle name="Normal 40" xfId="5349" xr:uid="{00000000-0005-0000-0000-0000E5140000}"/>
    <cellStyle name="Normal 41" xfId="2123" xr:uid="{00000000-0005-0000-0000-00004B080000}"/>
    <cellStyle name="Normal 42" xfId="5350" xr:uid="{00000000-0005-0000-0000-0000E6140000}"/>
    <cellStyle name="Normal 43" xfId="5351" xr:uid="{00000000-0005-0000-0000-0000E7140000}"/>
    <cellStyle name="Normal 44" xfId="3744" xr:uid="{00000000-0005-0000-0000-0000A00E0000}"/>
    <cellStyle name="Normal 44 2" xfId="5352" xr:uid="{00000000-0005-0000-0000-0000E8140000}"/>
    <cellStyle name="Normal 45" xfId="5353" xr:uid="{00000000-0005-0000-0000-0000E9140000}"/>
    <cellStyle name="Normal 46" xfId="5354" xr:uid="{00000000-0005-0000-0000-0000EA140000}"/>
    <cellStyle name="Normal 47" xfId="5355" xr:uid="{00000000-0005-0000-0000-0000EB140000}"/>
    <cellStyle name="Normal 48" xfId="5356" xr:uid="{00000000-0005-0000-0000-0000EC140000}"/>
    <cellStyle name="Normal 49" xfId="2124" xr:uid="{00000000-0005-0000-0000-00004C080000}"/>
    <cellStyle name="Normal 5" xfId="2125" xr:uid="{00000000-0005-0000-0000-00004D080000}"/>
    <cellStyle name="Normal 5 2" xfId="3685" xr:uid="{00000000-0005-0000-0000-0000650E0000}"/>
    <cellStyle name="Normal 5 2 2" xfId="5357" xr:uid="{00000000-0005-0000-0000-0000ED140000}"/>
    <cellStyle name="Normal 5 3" xfId="3686" xr:uid="{00000000-0005-0000-0000-0000660E0000}"/>
    <cellStyle name="Normal 5 3 2" xfId="5358" xr:uid="{00000000-0005-0000-0000-0000EE140000}"/>
    <cellStyle name="Normal 5 4" xfId="3687" xr:uid="{00000000-0005-0000-0000-0000670E0000}"/>
    <cellStyle name="Normal 5 4 2" xfId="5359" xr:uid="{00000000-0005-0000-0000-0000EF140000}"/>
    <cellStyle name="Normal 5 5" xfId="5360" xr:uid="{00000000-0005-0000-0000-0000F0140000}"/>
    <cellStyle name="Normal 5 6" xfId="5361" xr:uid="{00000000-0005-0000-0000-0000F1140000}"/>
    <cellStyle name="Normal 50" xfId="5362" xr:uid="{00000000-0005-0000-0000-0000F2140000}"/>
    <cellStyle name="Normal 51" xfId="5363" xr:uid="{00000000-0005-0000-0000-0000F3140000}"/>
    <cellStyle name="Normal 52" xfId="5364" xr:uid="{00000000-0005-0000-0000-0000F4140000}"/>
    <cellStyle name="Normal 53" xfId="5365" xr:uid="{00000000-0005-0000-0000-0000F5140000}"/>
    <cellStyle name="Normal 54" xfId="5366" xr:uid="{00000000-0005-0000-0000-0000F6140000}"/>
    <cellStyle name="Normal 55" xfId="5367" xr:uid="{00000000-0005-0000-0000-0000F7140000}"/>
    <cellStyle name="Normal 56" xfId="5368" xr:uid="{00000000-0005-0000-0000-0000F8140000}"/>
    <cellStyle name="Normal 57" xfId="5369" xr:uid="{00000000-0005-0000-0000-0000F9140000}"/>
    <cellStyle name="Normal 58" xfId="5370" xr:uid="{00000000-0005-0000-0000-0000FA140000}"/>
    <cellStyle name="Normal 59" xfId="6701" xr:uid="{00000000-0005-0000-0000-00002D1A0000}"/>
    <cellStyle name="Normal 6" xfId="2126" xr:uid="{00000000-0005-0000-0000-00004E080000}"/>
    <cellStyle name="Normal 6 2" xfId="2127" xr:uid="{00000000-0005-0000-0000-00004F080000}"/>
    <cellStyle name="Normal 6 2 10" xfId="5371" xr:uid="{00000000-0005-0000-0000-0000FB140000}"/>
    <cellStyle name="Normal 6 2 2" xfId="2128" xr:uid="{00000000-0005-0000-0000-000050080000}"/>
    <cellStyle name="Normal 6 2 2 2" xfId="5372" xr:uid="{00000000-0005-0000-0000-0000FC140000}"/>
    <cellStyle name="Normal 6 2 2 3" xfId="5373" xr:uid="{00000000-0005-0000-0000-0000FD140000}"/>
    <cellStyle name="Normal 6 2 2 4" xfId="5374" xr:uid="{00000000-0005-0000-0000-0000FE140000}"/>
    <cellStyle name="Normal 6 2 3" xfId="3688" xr:uid="{00000000-0005-0000-0000-0000680E0000}"/>
    <cellStyle name="Normal 6 2 3 2" xfId="5375" xr:uid="{00000000-0005-0000-0000-0000FF140000}"/>
    <cellStyle name="Normal 6 2 4" xfId="3689" xr:uid="{00000000-0005-0000-0000-0000690E0000}"/>
    <cellStyle name="Normal 6 2 4 2" xfId="5376" xr:uid="{00000000-0005-0000-0000-000000150000}"/>
    <cellStyle name="Normal 6 2 5" xfId="3690" xr:uid="{00000000-0005-0000-0000-00006A0E0000}"/>
    <cellStyle name="Normal 6 2 5 2" xfId="5377" xr:uid="{00000000-0005-0000-0000-000001150000}"/>
    <cellStyle name="Normal 6 2 6" xfId="5378" xr:uid="{00000000-0005-0000-0000-000002150000}"/>
    <cellStyle name="Normal 6 2 6 2" xfId="5379" xr:uid="{00000000-0005-0000-0000-000003150000}"/>
    <cellStyle name="Normal 6 2 7" xfId="5380" xr:uid="{00000000-0005-0000-0000-000004150000}"/>
    <cellStyle name="Normal 6 2 7 2" xfId="5381" xr:uid="{00000000-0005-0000-0000-000005150000}"/>
    <cellStyle name="Normal 6 2 8" xfId="5382" xr:uid="{00000000-0005-0000-0000-000006150000}"/>
    <cellStyle name="Normal 6 2 8 2" xfId="5383" xr:uid="{00000000-0005-0000-0000-000007150000}"/>
    <cellStyle name="Normal 6 2 8 3" xfId="5384" xr:uid="{00000000-0005-0000-0000-000008150000}"/>
    <cellStyle name="Normal 6 2 8 4" xfId="5385" xr:uid="{00000000-0005-0000-0000-000009150000}"/>
    <cellStyle name="Normal 6 2 9" xfId="5386" xr:uid="{00000000-0005-0000-0000-00000A150000}"/>
    <cellStyle name="Normal 6 2 9 2" xfId="5387" xr:uid="{00000000-0005-0000-0000-00000B150000}"/>
    <cellStyle name="Normal 6 2_Deuda septiembre_marcos" xfId="2129" xr:uid="{00000000-0005-0000-0000-000051080000}"/>
    <cellStyle name="Normal 6 3" xfId="2130" xr:uid="{00000000-0005-0000-0000-000052080000}"/>
    <cellStyle name="Normal 6 4" xfId="5388" xr:uid="{00000000-0005-0000-0000-00000C150000}"/>
    <cellStyle name="Normal 6 5" xfId="5389" xr:uid="{00000000-0005-0000-0000-00000D150000}"/>
    <cellStyle name="Normal 6_Deuda septiembre_marcos" xfId="2131" xr:uid="{00000000-0005-0000-0000-000053080000}"/>
    <cellStyle name="Normal 7" xfId="2132" xr:uid="{00000000-0005-0000-0000-000054080000}"/>
    <cellStyle name="Normal 7 2" xfId="2133" xr:uid="{00000000-0005-0000-0000-000055080000}"/>
    <cellStyle name="Normal 7 3" xfId="5390" xr:uid="{00000000-0005-0000-0000-00000E150000}"/>
    <cellStyle name="Normal 7_Deuda septiembre_marcos" xfId="2134" xr:uid="{00000000-0005-0000-0000-000056080000}"/>
    <cellStyle name="Normal 73" xfId="5391" xr:uid="{00000000-0005-0000-0000-00000F150000}"/>
    <cellStyle name="Normal 8" xfId="2135" xr:uid="{00000000-0005-0000-0000-000057080000}"/>
    <cellStyle name="Normal 8 2" xfId="5392" xr:uid="{00000000-0005-0000-0000-000010150000}"/>
    <cellStyle name="Normal 8 3" xfId="5393" xr:uid="{00000000-0005-0000-0000-000011150000}"/>
    <cellStyle name="Normal 9" xfId="2136" xr:uid="{00000000-0005-0000-0000-000058080000}"/>
    <cellStyle name="Normal 9 2" xfId="3691" xr:uid="{00000000-0005-0000-0000-00006B0E0000}"/>
    <cellStyle name="Normal 9 2 2" xfId="5394" xr:uid="{00000000-0005-0000-0000-000012150000}"/>
    <cellStyle name="Normal 9 3" xfId="3692" xr:uid="{00000000-0005-0000-0000-00006C0E0000}"/>
    <cellStyle name="Normal 9 3 2" xfId="5395" xr:uid="{00000000-0005-0000-0000-000013150000}"/>
    <cellStyle name="Normal 9 4" xfId="5396" xr:uid="{00000000-0005-0000-0000-000014150000}"/>
    <cellStyle name="Normal 9 4 2" xfId="5397" xr:uid="{00000000-0005-0000-0000-000015150000}"/>
    <cellStyle name="Normal 9 5" xfId="5398" xr:uid="{00000000-0005-0000-0000-000016150000}"/>
    <cellStyle name="Normal 9 5 2" xfId="5399" xr:uid="{00000000-0005-0000-0000-000017150000}"/>
    <cellStyle name="Normal 9 6" xfId="5400" xr:uid="{00000000-0005-0000-0000-000018150000}"/>
    <cellStyle name="Normal 9 6 2" xfId="5401" xr:uid="{00000000-0005-0000-0000-000019150000}"/>
    <cellStyle name="Normal 9 7" xfId="5402" xr:uid="{00000000-0005-0000-0000-00001A150000}"/>
    <cellStyle name="Normal 9 7 2" xfId="5403" xr:uid="{00000000-0005-0000-0000-00001B150000}"/>
    <cellStyle name="Normal 9 8" xfId="5404" xr:uid="{00000000-0005-0000-0000-00001C150000}"/>
    <cellStyle name="Normal_Renta 2002 KCC Ltda" xfId="19" xr:uid="{00000000-0005-0000-0000-000013000000}"/>
    <cellStyle name="Nota" xfId="2137" xr:uid="{00000000-0005-0000-0000-000059080000}"/>
    <cellStyle name="Nota 2" xfId="8545" xr:uid="{43069DEC-E714-4AE4-890C-6D7414D50776}"/>
    <cellStyle name="Notas 10" xfId="3444" xr:uid="{00000000-0005-0000-0000-0000740D0000}"/>
    <cellStyle name="Notas 10 2" xfId="8819" xr:uid="{5A231BD3-85F2-46C2-834F-59E59585032E}"/>
    <cellStyle name="Notas 2" xfId="2138" xr:uid="{00000000-0005-0000-0000-00005A080000}"/>
    <cellStyle name="Notas 2 10" xfId="3693" xr:uid="{00000000-0005-0000-0000-00006D0E0000}"/>
    <cellStyle name="Notas 2 10 2" xfId="3694" xr:uid="{00000000-0005-0000-0000-00006E0E0000}"/>
    <cellStyle name="Notas 2 10 2 2" xfId="5405" xr:uid="{00000000-0005-0000-0000-00001D150000}"/>
    <cellStyle name="Notas 2 10 2 2 2" xfId="5406" xr:uid="{00000000-0005-0000-0000-00001E150000}"/>
    <cellStyle name="Notas 2 10 2 2 2 2" xfId="10042" xr:uid="{66530339-7F35-4AD5-994F-37CB68426F4A}"/>
    <cellStyle name="Notas 2 10 2 2 3" xfId="10041" xr:uid="{296D7B29-0E33-4EE6-8673-586D84FDC2EF}"/>
    <cellStyle name="Notas 2 10 2 3" xfId="5407" xr:uid="{00000000-0005-0000-0000-00001F150000}"/>
    <cellStyle name="Notas 2 10 2 3 2" xfId="5408" xr:uid="{00000000-0005-0000-0000-000020150000}"/>
    <cellStyle name="Notas 2 10 2 3 2 2" xfId="10044" xr:uid="{74F428A9-C62C-4F46-A42A-BF8F703AA899}"/>
    <cellStyle name="Notas 2 10 2 3 3" xfId="10043" xr:uid="{887A4D88-46EE-45EF-B57E-98B528AC27CC}"/>
    <cellStyle name="Notas 2 10 2 4" xfId="5409" xr:uid="{00000000-0005-0000-0000-000021150000}"/>
    <cellStyle name="Notas 2 10 2 4 2" xfId="10045" xr:uid="{14AFD80F-DF24-4BDF-9BAC-CE1BD5414D16}"/>
    <cellStyle name="Notas 2 10 2 5" xfId="5410" xr:uid="{00000000-0005-0000-0000-000022150000}"/>
    <cellStyle name="Notas 2 10 2 5 2" xfId="10046" xr:uid="{D660293A-26D4-4BE1-B7C5-4D311D979A18}"/>
    <cellStyle name="Notas 2 10 2 6" xfId="5411" xr:uid="{00000000-0005-0000-0000-000023150000}"/>
    <cellStyle name="Notas 2 10 2 6 2" xfId="10047" xr:uid="{4E43FFDE-5E0E-43C4-85C4-C4610774B839}"/>
    <cellStyle name="Notas 2 10 2 7" xfId="8923" xr:uid="{1CC0B629-8CAB-4768-98F0-24B2B47970E8}"/>
    <cellStyle name="Notas 2 10 3" xfId="3695" xr:uid="{00000000-0005-0000-0000-00006F0E0000}"/>
    <cellStyle name="Notas 2 10 3 2" xfId="5412" xr:uid="{00000000-0005-0000-0000-000024150000}"/>
    <cellStyle name="Notas 2 10 3 2 2" xfId="10048" xr:uid="{2F5ECF2A-599C-4528-A83B-CA263237F2AF}"/>
    <cellStyle name="Notas 2 10 3 3" xfId="5413" xr:uid="{00000000-0005-0000-0000-000025150000}"/>
    <cellStyle name="Notas 2 10 3 3 2" xfId="10049" xr:uid="{A796A0FC-32E1-4E8E-B20C-14699D13A1AF}"/>
    <cellStyle name="Notas 2 10 3 4" xfId="5414" xr:uid="{00000000-0005-0000-0000-000026150000}"/>
    <cellStyle name="Notas 2 10 3 4 2" xfId="10050" xr:uid="{42776745-0E07-4B33-A71D-8D6EA892F125}"/>
    <cellStyle name="Notas 2 10 3 5" xfId="5415" xr:uid="{00000000-0005-0000-0000-000027150000}"/>
    <cellStyle name="Notas 2 10 3 5 2" xfId="10051" xr:uid="{AF806176-50B0-484A-8C56-594059AFD7AC}"/>
    <cellStyle name="Notas 2 10 3 6" xfId="5416" xr:uid="{00000000-0005-0000-0000-000028150000}"/>
    <cellStyle name="Notas 2 10 3 6 2" xfId="10052" xr:uid="{DC17B471-6D96-4C6D-860D-423A818F0CAB}"/>
    <cellStyle name="Notas 2 10 3 7" xfId="8924" xr:uid="{0A72E930-FBF7-4BAC-9292-D3CF3EB0DE51}"/>
    <cellStyle name="Notas 2 10 4" xfId="5417" xr:uid="{00000000-0005-0000-0000-000029150000}"/>
    <cellStyle name="Notas 2 10 4 2" xfId="5418" xr:uid="{00000000-0005-0000-0000-00002A150000}"/>
    <cellStyle name="Notas 2 10 4 2 2" xfId="10054" xr:uid="{650322F2-500F-477F-985A-1985E0795A3B}"/>
    <cellStyle name="Notas 2 10 4 3" xfId="5419" xr:uid="{00000000-0005-0000-0000-00002B150000}"/>
    <cellStyle name="Notas 2 10 4 3 2" xfId="10055" xr:uid="{A6613079-8D1C-4EA4-A489-734C489AD68B}"/>
    <cellStyle name="Notas 2 10 4 4" xfId="5420" xr:uid="{00000000-0005-0000-0000-00002C150000}"/>
    <cellStyle name="Notas 2 10 4 4 2" xfId="10056" xr:uid="{14FC80E6-8246-486F-A167-8A8987C68EF8}"/>
    <cellStyle name="Notas 2 10 4 5" xfId="5421" xr:uid="{00000000-0005-0000-0000-00002D150000}"/>
    <cellStyle name="Notas 2 10 4 5 2" xfId="10057" xr:uid="{70AFC0B8-02B6-41D1-9949-4FB06584B817}"/>
    <cellStyle name="Notas 2 10 4 6" xfId="10053" xr:uid="{E1A1EF5E-8108-42A1-B6F2-126752A1944A}"/>
    <cellStyle name="Notas 2 10 5" xfId="5422" xr:uid="{00000000-0005-0000-0000-00002E150000}"/>
    <cellStyle name="Notas 2 10 5 2" xfId="5423" xr:uid="{00000000-0005-0000-0000-00002F150000}"/>
    <cellStyle name="Notas 2 10 5 2 2" xfId="10059" xr:uid="{A60C0C98-9F0B-48A9-8FB0-9712EA084287}"/>
    <cellStyle name="Notas 2 10 5 3" xfId="5424" xr:uid="{00000000-0005-0000-0000-000030150000}"/>
    <cellStyle name="Notas 2 10 5 3 2" xfId="10060" xr:uid="{C999DDFD-6015-4386-8693-519FBF0F9C4F}"/>
    <cellStyle name="Notas 2 10 5 4" xfId="5425" xr:uid="{00000000-0005-0000-0000-000031150000}"/>
    <cellStyle name="Notas 2 10 5 4 2" xfId="10061" xr:uid="{0CB02770-F63B-4308-BE85-C3B62284F09C}"/>
    <cellStyle name="Notas 2 10 5 5" xfId="5426" xr:uid="{00000000-0005-0000-0000-000032150000}"/>
    <cellStyle name="Notas 2 10 5 5 2" xfId="10062" xr:uid="{4D363D0F-1515-4437-B4F8-1957F7315ED8}"/>
    <cellStyle name="Notas 2 10 5 6" xfId="10058" xr:uid="{197C3FBD-3503-4BC1-A66F-A444CEB6198A}"/>
    <cellStyle name="Notas 2 10 6" xfId="5427" xr:uid="{00000000-0005-0000-0000-000033150000}"/>
    <cellStyle name="Notas 2 10 6 2" xfId="5428" xr:uid="{00000000-0005-0000-0000-000034150000}"/>
    <cellStyle name="Notas 2 10 6 2 2" xfId="10064" xr:uid="{BFAF5FEE-A78F-47D8-9964-929D5688AE7F}"/>
    <cellStyle name="Notas 2 10 6 3" xfId="5429" xr:uid="{00000000-0005-0000-0000-000035150000}"/>
    <cellStyle name="Notas 2 10 6 3 2" xfId="10065" xr:uid="{2D2EB952-FCBC-41D8-B5AD-81A65C5BB618}"/>
    <cellStyle name="Notas 2 10 6 4" xfId="5430" xr:uid="{00000000-0005-0000-0000-000036150000}"/>
    <cellStyle name="Notas 2 10 6 4 2" xfId="10066" xr:uid="{5D54AC9D-1BFE-4241-B7F8-2838E180D540}"/>
    <cellStyle name="Notas 2 10 6 5" xfId="5431" xr:uid="{00000000-0005-0000-0000-000037150000}"/>
    <cellStyle name="Notas 2 10 6 5 2" xfId="10067" xr:uid="{356267D3-8192-4EA1-9513-61FDE8A4CAC9}"/>
    <cellStyle name="Notas 2 10 6 6" xfId="10063" xr:uid="{2563EA67-F038-4521-8CBB-D8CD3FAA260F}"/>
    <cellStyle name="Notas 2 10 7" xfId="5432" xr:uid="{00000000-0005-0000-0000-000038150000}"/>
    <cellStyle name="Notas 2 10 7 2" xfId="5433" xr:uid="{00000000-0005-0000-0000-000039150000}"/>
    <cellStyle name="Notas 2 10 7 2 2" xfId="10069" xr:uid="{A342FAA8-11DB-4BE6-97CF-428EAE6B99FB}"/>
    <cellStyle name="Notas 2 10 7 3" xfId="5434" xr:uid="{00000000-0005-0000-0000-00003A150000}"/>
    <cellStyle name="Notas 2 10 7 3 2" xfId="10070" xr:uid="{36C46232-7D7B-4CFE-B36B-52F03E8D218A}"/>
    <cellStyle name="Notas 2 10 7 4" xfId="5435" xr:uid="{00000000-0005-0000-0000-00003B150000}"/>
    <cellStyle name="Notas 2 10 7 4 2" xfId="10071" xr:uid="{4AAE11FC-318D-4E6B-B55E-1A339C431369}"/>
    <cellStyle name="Notas 2 10 7 5" xfId="5436" xr:uid="{00000000-0005-0000-0000-00003C150000}"/>
    <cellStyle name="Notas 2 10 7 5 2" xfId="10072" xr:uid="{DA69973F-37D3-46DE-9387-3B0C3752E10D}"/>
    <cellStyle name="Notas 2 10 7 6" xfId="10068" xr:uid="{5D11FCE8-1C7A-48CC-BECF-F03A4354D313}"/>
    <cellStyle name="Notas 2 10 8" xfId="8922" xr:uid="{BFA3A3AE-6E9F-49E5-838D-9EF3ED8682AA}"/>
    <cellStyle name="Notas 2 11" xfId="3696" xr:uid="{00000000-0005-0000-0000-0000700E0000}"/>
    <cellStyle name="Notas 2 11 2" xfId="3697" xr:uid="{00000000-0005-0000-0000-0000710E0000}"/>
    <cellStyle name="Notas 2 11 2 2" xfId="5437" xr:uid="{00000000-0005-0000-0000-00003D150000}"/>
    <cellStyle name="Notas 2 11 2 2 2" xfId="5438" xr:uid="{00000000-0005-0000-0000-00003E150000}"/>
    <cellStyle name="Notas 2 11 2 2 2 2" xfId="10074" xr:uid="{FE033493-0C0F-4660-98BB-5AC0A22884DB}"/>
    <cellStyle name="Notas 2 11 2 2 3" xfId="10073" xr:uid="{5252E141-B553-4D7B-A04C-95705C06F228}"/>
    <cellStyle name="Notas 2 11 2 3" xfId="5439" xr:uid="{00000000-0005-0000-0000-00003F150000}"/>
    <cellStyle name="Notas 2 11 2 3 2" xfId="5440" xr:uid="{00000000-0005-0000-0000-000040150000}"/>
    <cellStyle name="Notas 2 11 2 3 2 2" xfId="10076" xr:uid="{99ABD7EE-BA19-4BB4-9E8D-6E327407FE0E}"/>
    <cellStyle name="Notas 2 11 2 3 3" xfId="10075" xr:uid="{DD0BA573-7961-4E24-A846-0258BE600BFE}"/>
    <cellStyle name="Notas 2 11 2 4" xfId="5441" xr:uid="{00000000-0005-0000-0000-000041150000}"/>
    <cellStyle name="Notas 2 11 2 4 2" xfId="10077" xr:uid="{AFEAD345-6F74-47BF-8704-7FE95DF9C637}"/>
    <cellStyle name="Notas 2 11 2 5" xfId="5442" xr:uid="{00000000-0005-0000-0000-000042150000}"/>
    <cellStyle name="Notas 2 11 2 5 2" xfId="10078" xr:uid="{DB3BD153-E746-4D9C-90C9-B2B4CA36231F}"/>
    <cellStyle name="Notas 2 11 2 6" xfId="5443" xr:uid="{00000000-0005-0000-0000-000043150000}"/>
    <cellStyle name="Notas 2 11 2 6 2" xfId="10079" xr:uid="{0F37C24F-FB7E-4B8C-BF3C-77F5830B1C19}"/>
    <cellStyle name="Notas 2 11 2 7" xfId="8926" xr:uid="{FE3FE05E-A224-41DB-8AC6-8145BF0159AA}"/>
    <cellStyle name="Notas 2 11 3" xfId="3698" xr:uid="{00000000-0005-0000-0000-0000720E0000}"/>
    <cellStyle name="Notas 2 11 3 2" xfId="5444" xr:uid="{00000000-0005-0000-0000-000044150000}"/>
    <cellStyle name="Notas 2 11 3 2 2" xfId="10080" xr:uid="{BC289F07-3EB6-4670-8C74-58FE763E2DBB}"/>
    <cellStyle name="Notas 2 11 3 3" xfId="5445" xr:uid="{00000000-0005-0000-0000-000045150000}"/>
    <cellStyle name="Notas 2 11 3 3 2" xfId="10081" xr:uid="{3EA7BCA8-2002-4110-9A3E-FB3BD4B08087}"/>
    <cellStyle name="Notas 2 11 3 4" xfId="5446" xr:uid="{00000000-0005-0000-0000-000046150000}"/>
    <cellStyle name="Notas 2 11 3 4 2" xfId="10082" xr:uid="{0370E701-47C9-4618-93EE-EE4D24CB4BF8}"/>
    <cellStyle name="Notas 2 11 3 5" xfId="5447" xr:uid="{00000000-0005-0000-0000-000047150000}"/>
    <cellStyle name="Notas 2 11 3 5 2" xfId="10083" xr:uid="{71663AF0-74B4-4E4C-A2E2-A3A889BB1F92}"/>
    <cellStyle name="Notas 2 11 3 6" xfId="5448" xr:uid="{00000000-0005-0000-0000-000048150000}"/>
    <cellStyle name="Notas 2 11 3 6 2" xfId="10084" xr:uid="{275CA596-190B-486F-8BB0-EDB2979D8C4B}"/>
    <cellStyle name="Notas 2 11 3 7" xfId="8927" xr:uid="{21504641-4A5D-4DAD-A67A-7F3329C4DCCC}"/>
    <cellStyle name="Notas 2 11 4" xfId="5449" xr:uid="{00000000-0005-0000-0000-000049150000}"/>
    <cellStyle name="Notas 2 11 4 2" xfId="5450" xr:uid="{00000000-0005-0000-0000-00004A150000}"/>
    <cellStyle name="Notas 2 11 4 2 2" xfId="10086" xr:uid="{2C2FCC1C-5095-4BC6-A226-B418D7528000}"/>
    <cellStyle name="Notas 2 11 4 3" xfId="5451" xr:uid="{00000000-0005-0000-0000-00004B150000}"/>
    <cellStyle name="Notas 2 11 4 3 2" xfId="10087" xr:uid="{641E5E22-4D32-4402-8F53-273DB4CCB91C}"/>
    <cellStyle name="Notas 2 11 4 4" xfId="5452" xr:uid="{00000000-0005-0000-0000-00004C150000}"/>
    <cellStyle name="Notas 2 11 4 4 2" xfId="10088" xr:uid="{8F48D162-3A57-4D5B-84F0-7CBDB9831EFB}"/>
    <cellStyle name="Notas 2 11 4 5" xfId="5453" xr:uid="{00000000-0005-0000-0000-00004D150000}"/>
    <cellStyle name="Notas 2 11 4 5 2" xfId="10089" xr:uid="{71371C6B-2DA6-45C9-9FDF-E8FEFEF7B985}"/>
    <cellStyle name="Notas 2 11 4 6" xfId="10085" xr:uid="{6A88EFDD-B719-4823-B0E9-7C162010B374}"/>
    <cellStyle name="Notas 2 11 5" xfId="5454" xr:uid="{00000000-0005-0000-0000-00004E150000}"/>
    <cellStyle name="Notas 2 11 5 2" xfId="5455" xr:uid="{00000000-0005-0000-0000-00004F150000}"/>
    <cellStyle name="Notas 2 11 5 2 2" xfId="10091" xr:uid="{E0BA3EE2-5232-4C2F-B7AC-5AE3C6E48A2D}"/>
    <cellStyle name="Notas 2 11 5 3" xfId="5456" xr:uid="{00000000-0005-0000-0000-000050150000}"/>
    <cellStyle name="Notas 2 11 5 3 2" xfId="10092" xr:uid="{3F11F5B1-743E-4322-A575-9238310AE7D8}"/>
    <cellStyle name="Notas 2 11 5 4" xfId="5457" xr:uid="{00000000-0005-0000-0000-000051150000}"/>
    <cellStyle name="Notas 2 11 5 4 2" xfId="10093" xr:uid="{147F7E8A-02D6-4A4A-9ADE-F2AF1AC36BAD}"/>
    <cellStyle name="Notas 2 11 5 5" xfId="5458" xr:uid="{00000000-0005-0000-0000-000052150000}"/>
    <cellStyle name="Notas 2 11 5 5 2" xfId="10094" xr:uid="{5F9707CF-8DAD-490E-92C9-7F5E4B9B4755}"/>
    <cellStyle name="Notas 2 11 5 6" xfId="10090" xr:uid="{4B0B8A19-29CB-478E-AE01-A09B7B18A3CC}"/>
    <cellStyle name="Notas 2 11 6" xfId="5459" xr:uid="{00000000-0005-0000-0000-000053150000}"/>
    <cellStyle name="Notas 2 11 6 2" xfId="5460" xr:uid="{00000000-0005-0000-0000-000054150000}"/>
    <cellStyle name="Notas 2 11 6 2 2" xfId="10096" xr:uid="{470E9EC4-94D6-4004-869C-D30D7B66226A}"/>
    <cellStyle name="Notas 2 11 6 3" xfId="5461" xr:uid="{00000000-0005-0000-0000-000055150000}"/>
    <cellStyle name="Notas 2 11 6 3 2" xfId="10097" xr:uid="{51FC5374-57BF-4C70-A716-E472BC3CB5E8}"/>
    <cellStyle name="Notas 2 11 6 4" xfId="5462" xr:uid="{00000000-0005-0000-0000-000056150000}"/>
    <cellStyle name="Notas 2 11 6 4 2" xfId="10098" xr:uid="{55ECE57B-5951-4B52-9040-124900CFF2BC}"/>
    <cellStyle name="Notas 2 11 6 5" xfId="5463" xr:uid="{00000000-0005-0000-0000-000057150000}"/>
    <cellStyle name="Notas 2 11 6 5 2" xfId="10099" xr:uid="{C41277CB-A13B-42C7-99D8-8A4C07580704}"/>
    <cellStyle name="Notas 2 11 6 6" xfId="10095" xr:uid="{ED86B53E-6DF4-4E1C-84E3-53B0EBC2CAE1}"/>
    <cellStyle name="Notas 2 11 7" xfId="5464" xr:uid="{00000000-0005-0000-0000-000058150000}"/>
    <cellStyle name="Notas 2 11 7 2" xfId="5465" xr:uid="{00000000-0005-0000-0000-000059150000}"/>
    <cellStyle name="Notas 2 11 7 2 2" xfId="10101" xr:uid="{503FA5C5-0829-4C14-BE51-9E6A25F37229}"/>
    <cellStyle name="Notas 2 11 7 3" xfId="5466" xr:uid="{00000000-0005-0000-0000-00005A150000}"/>
    <cellStyle name="Notas 2 11 7 3 2" xfId="10102" xr:uid="{86E82A45-5B13-4E61-98A6-48B0A06717F8}"/>
    <cellStyle name="Notas 2 11 7 4" xfId="5467" xr:uid="{00000000-0005-0000-0000-00005B150000}"/>
    <cellStyle name="Notas 2 11 7 4 2" xfId="10103" xr:uid="{BA610CF2-9560-4FF2-A1FB-F2AAA66D9551}"/>
    <cellStyle name="Notas 2 11 7 5" xfId="5468" xr:uid="{00000000-0005-0000-0000-00005C150000}"/>
    <cellStyle name="Notas 2 11 7 5 2" xfId="10104" xr:uid="{28C910AF-5015-46F0-86AD-4EA54477BEA3}"/>
    <cellStyle name="Notas 2 11 7 6" xfId="10100" xr:uid="{23503751-1578-4C14-BEED-9718821E4E2B}"/>
    <cellStyle name="Notas 2 11 8" xfId="8925" xr:uid="{46FAC69E-171D-4860-BB1F-1F36EF9903C9}"/>
    <cellStyle name="Notas 2 12" xfId="3699" xr:uid="{00000000-0005-0000-0000-0000730E0000}"/>
    <cellStyle name="Notas 2 12 2" xfId="3700" xr:uid="{00000000-0005-0000-0000-0000740E0000}"/>
    <cellStyle name="Notas 2 12 2 2" xfId="5469" xr:uid="{00000000-0005-0000-0000-00005D150000}"/>
    <cellStyle name="Notas 2 12 2 2 2" xfId="5470" xr:uid="{00000000-0005-0000-0000-00005E150000}"/>
    <cellStyle name="Notas 2 12 2 2 2 2" xfId="10106" xr:uid="{7C2176E8-97A8-4AF5-A078-D09BCD889635}"/>
    <cellStyle name="Notas 2 12 2 2 3" xfId="10105" xr:uid="{29AAACD5-DFDC-456F-9684-6EDDFD8CA5D6}"/>
    <cellStyle name="Notas 2 12 2 3" xfId="5471" xr:uid="{00000000-0005-0000-0000-00005F150000}"/>
    <cellStyle name="Notas 2 12 2 3 2" xfId="5472" xr:uid="{00000000-0005-0000-0000-000060150000}"/>
    <cellStyle name="Notas 2 12 2 3 2 2" xfId="10108" xr:uid="{6392C3FE-170A-4EF6-9C96-FC999ACF59FC}"/>
    <cellStyle name="Notas 2 12 2 3 3" xfId="10107" xr:uid="{502940C3-078B-4A9B-BA08-86EB82AB3779}"/>
    <cellStyle name="Notas 2 12 2 4" xfId="5473" xr:uid="{00000000-0005-0000-0000-000061150000}"/>
    <cellStyle name="Notas 2 12 2 4 2" xfId="10109" xr:uid="{3627BE98-E008-4500-A4EE-B37A02A1773D}"/>
    <cellStyle name="Notas 2 12 2 5" xfId="5474" xr:uid="{00000000-0005-0000-0000-000062150000}"/>
    <cellStyle name="Notas 2 12 2 5 2" xfId="10110" xr:uid="{13AD7124-AC60-4F56-838D-75E37E3EDCBD}"/>
    <cellStyle name="Notas 2 12 2 6" xfId="5475" xr:uid="{00000000-0005-0000-0000-000063150000}"/>
    <cellStyle name="Notas 2 12 2 6 2" xfId="10111" xr:uid="{B79C0832-A13C-4312-9FFF-D5C471FC43BB}"/>
    <cellStyle name="Notas 2 12 2 7" xfId="8929" xr:uid="{96777D5E-AF28-42FA-85F7-049CF45703BF}"/>
    <cellStyle name="Notas 2 12 3" xfId="3701" xr:uid="{00000000-0005-0000-0000-0000750E0000}"/>
    <cellStyle name="Notas 2 12 3 2" xfId="5476" xr:uid="{00000000-0005-0000-0000-000064150000}"/>
    <cellStyle name="Notas 2 12 3 2 2" xfId="10112" xr:uid="{B3A64D51-D996-4719-BF06-99CB49B64021}"/>
    <cellStyle name="Notas 2 12 3 3" xfId="5477" xr:uid="{00000000-0005-0000-0000-000065150000}"/>
    <cellStyle name="Notas 2 12 3 3 2" xfId="10113" xr:uid="{F23F8D59-6BC6-4B99-884F-02B90F619A72}"/>
    <cellStyle name="Notas 2 12 3 4" xfId="5478" xr:uid="{00000000-0005-0000-0000-000066150000}"/>
    <cellStyle name="Notas 2 12 3 4 2" xfId="10114" xr:uid="{ECFEFBDF-81DF-4624-81CD-EDF064035A6F}"/>
    <cellStyle name="Notas 2 12 3 5" xfId="5479" xr:uid="{00000000-0005-0000-0000-000067150000}"/>
    <cellStyle name="Notas 2 12 3 5 2" xfId="10115" xr:uid="{2009CD77-2D7D-451E-A50C-6097ADCCE38B}"/>
    <cellStyle name="Notas 2 12 3 6" xfId="5480" xr:uid="{00000000-0005-0000-0000-000068150000}"/>
    <cellStyle name="Notas 2 12 3 6 2" xfId="10116" xr:uid="{1ACA0AFC-05A1-4EA6-922B-7B515FB67521}"/>
    <cellStyle name="Notas 2 12 3 7" xfId="8930" xr:uid="{D2F5178A-112C-4AD6-BE22-ED978D8017BF}"/>
    <cellStyle name="Notas 2 12 4" xfId="5481" xr:uid="{00000000-0005-0000-0000-000069150000}"/>
    <cellStyle name="Notas 2 12 4 2" xfId="5482" xr:uid="{00000000-0005-0000-0000-00006A150000}"/>
    <cellStyle name="Notas 2 12 4 2 2" xfId="10118" xr:uid="{65D97138-4F7A-4FBE-8B50-EACD616322FA}"/>
    <cellStyle name="Notas 2 12 4 3" xfId="5483" xr:uid="{00000000-0005-0000-0000-00006B150000}"/>
    <cellStyle name="Notas 2 12 4 3 2" xfId="10119" xr:uid="{88281FF1-7CCD-4B0E-B6B0-1905F22A043D}"/>
    <cellStyle name="Notas 2 12 4 4" xfId="5484" xr:uid="{00000000-0005-0000-0000-00006C150000}"/>
    <cellStyle name="Notas 2 12 4 4 2" xfId="10120" xr:uid="{F5C5F22A-A714-4950-ABB2-BC302C7F9541}"/>
    <cellStyle name="Notas 2 12 4 5" xfId="5485" xr:uid="{00000000-0005-0000-0000-00006D150000}"/>
    <cellStyle name="Notas 2 12 4 5 2" xfId="10121" xr:uid="{828DF57C-420C-440F-88FB-46E93E88D333}"/>
    <cellStyle name="Notas 2 12 4 6" xfId="10117" xr:uid="{A08067CD-2136-4D0E-B0EC-088B448F79C8}"/>
    <cellStyle name="Notas 2 12 5" xfId="5486" xr:uid="{00000000-0005-0000-0000-00006E150000}"/>
    <cellStyle name="Notas 2 12 5 2" xfId="5487" xr:uid="{00000000-0005-0000-0000-00006F150000}"/>
    <cellStyle name="Notas 2 12 5 2 2" xfId="10123" xr:uid="{39CAAD69-69B2-4AA5-86D6-3FB9765BA896}"/>
    <cellStyle name="Notas 2 12 5 3" xfId="5488" xr:uid="{00000000-0005-0000-0000-000070150000}"/>
    <cellStyle name="Notas 2 12 5 3 2" xfId="10124" xr:uid="{27383A61-B24E-4CD2-A53F-668E9007113A}"/>
    <cellStyle name="Notas 2 12 5 4" xfId="5489" xr:uid="{00000000-0005-0000-0000-000071150000}"/>
    <cellStyle name="Notas 2 12 5 4 2" xfId="10125" xr:uid="{CC9832CA-D4FB-4524-8FFC-A1818F745A3A}"/>
    <cellStyle name="Notas 2 12 5 5" xfId="5490" xr:uid="{00000000-0005-0000-0000-000072150000}"/>
    <cellStyle name="Notas 2 12 5 5 2" xfId="10126" xr:uid="{4ABCFFCA-E859-4E11-B26F-1DE4F84106FA}"/>
    <cellStyle name="Notas 2 12 5 6" xfId="10122" xr:uid="{77EEAC46-96C6-44EA-B16D-52663E77C3DD}"/>
    <cellStyle name="Notas 2 12 6" xfId="5491" xr:uid="{00000000-0005-0000-0000-000073150000}"/>
    <cellStyle name="Notas 2 12 6 2" xfId="5492" xr:uid="{00000000-0005-0000-0000-000074150000}"/>
    <cellStyle name="Notas 2 12 6 2 2" xfId="10128" xr:uid="{C0DE8ACC-C65C-49BD-A67A-79C0D6B2D155}"/>
    <cellStyle name="Notas 2 12 6 3" xfId="5493" xr:uid="{00000000-0005-0000-0000-000075150000}"/>
    <cellStyle name="Notas 2 12 6 3 2" xfId="10129" xr:uid="{D6CF8565-7ACA-4EC1-A844-4AFA167C256D}"/>
    <cellStyle name="Notas 2 12 6 4" xfId="5494" xr:uid="{00000000-0005-0000-0000-000076150000}"/>
    <cellStyle name="Notas 2 12 6 4 2" xfId="10130" xr:uid="{EC4950D6-EABF-4C06-81C8-FA77EC11859E}"/>
    <cellStyle name="Notas 2 12 6 5" xfId="5495" xr:uid="{00000000-0005-0000-0000-000077150000}"/>
    <cellStyle name="Notas 2 12 6 5 2" xfId="10131" xr:uid="{B0E8FE0B-342E-4DB9-B024-2FEEB7CAB752}"/>
    <cellStyle name="Notas 2 12 6 6" xfId="10127" xr:uid="{8A7320E3-67E4-4EED-B684-88D4A9179CED}"/>
    <cellStyle name="Notas 2 12 7" xfId="5496" xr:uid="{00000000-0005-0000-0000-000078150000}"/>
    <cellStyle name="Notas 2 12 7 2" xfId="5497" xr:uid="{00000000-0005-0000-0000-000079150000}"/>
    <cellStyle name="Notas 2 12 7 2 2" xfId="10133" xr:uid="{6A471D61-A63E-41EA-BCA0-DD0A2155F687}"/>
    <cellStyle name="Notas 2 12 7 3" xfId="5498" xr:uid="{00000000-0005-0000-0000-00007A150000}"/>
    <cellStyle name="Notas 2 12 7 3 2" xfId="10134" xr:uid="{F44C1AD0-B6ED-4B8E-ADE3-02BF7BE59C64}"/>
    <cellStyle name="Notas 2 12 7 4" xfId="5499" xr:uid="{00000000-0005-0000-0000-00007B150000}"/>
    <cellStyle name="Notas 2 12 7 4 2" xfId="10135" xr:uid="{13FB8954-DB2B-41AC-8A2F-C6B488E8F0D5}"/>
    <cellStyle name="Notas 2 12 7 5" xfId="5500" xr:uid="{00000000-0005-0000-0000-00007C150000}"/>
    <cellStyle name="Notas 2 12 7 5 2" xfId="10136" xr:uid="{6B655EA4-28CB-42CC-8836-3BE7C0BC8CBF}"/>
    <cellStyle name="Notas 2 12 7 6" xfId="10132" xr:uid="{46842739-CA72-4C8A-998F-43E8735D9C2A}"/>
    <cellStyle name="Notas 2 12 8" xfId="8928" xr:uid="{25B6A5AB-D4B8-4676-ADA0-C6ED65232139}"/>
    <cellStyle name="Notas 2 13" xfId="3702" xr:uid="{00000000-0005-0000-0000-0000760E0000}"/>
    <cellStyle name="Notas 2 13 2" xfId="5501" xr:uid="{00000000-0005-0000-0000-00007D150000}"/>
    <cellStyle name="Notas 2 13 2 2" xfId="10137" xr:uid="{C3DF35F2-CEA1-4082-9161-2764B0C62C72}"/>
    <cellStyle name="Notas 2 13 3" xfId="5502" xr:uid="{00000000-0005-0000-0000-00007E150000}"/>
    <cellStyle name="Notas 2 13 3 2" xfId="10138" xr:uid="{906DD9F3-4FD3-4022-8FB0-B8198F2FECDD}"/>
    <cellStyle name="Notas 2 13 4" xfId="5503" xr:uid="{00000000-0005-0000-0000-00007F150000}"/>
    <cellStyle name="Notas 2 13 4 2" xfId="10139" xr:uid="{59AE7AC3-8F40-4D67-906A-8D4C04D80994}"/>
    <cellStyle name="Notas 2 13 5" xfId="5504" xr:uid="{00000000-0005-0000-0000-000080150000}"/>
    <cellStyle name="Notas 2 13 5 2" xfId="10140" xr:uid="{68CDDA4A-249E-4E00-91E1-4C5A9A62AB7C}"/>
    <cellStyle name="Notas 2 13 6" xfId="5505" xr:uid="{00000000-0005-0000-0000-000081150000}"/>
    <cellStyle name="Notas 2 13 6 2" xfId="10141" xr:uid="{76196965-45F9-4B67-8F94-263DA15CC05F}"/>
    <cellStyle name="Notas 2 13 7" xfId="8931" xr:uid="{52E5128C-F21F-46BD-8921-8EC96F0CC818}"/>
    <cellStyle name="Notas 2 14" xfId="3703" xr:uid="{00000000-0005-0000-0000-0000770E0000}"/>
    <cellStyle name="Notas 2 14 2" xfId="5506" xr:uid="{00000000-0005-0000-0000-000082150000}"/>
    <cellStyle name="Notas 2 14 2 2" xfId="10142" xr:uid="{29D73200-425E-4F10-AC5A-A9152C8DF1F8}"/>
    <cellStyle name="Notas 2 14 3" xfId="5507" xr:uid="{00000000-0005-0000-0000-000083150000}"/>
    <cellStyle name="Notas 2 14 3 2" xfId="10143" xr:uid="{92B0C45C-33B8-4692-84B4-A7B851CF09F7}"/>
    <cellStyle name="Notas 2 14 4" xfId="5508" xr:uid="{00000000-0005-0000-0000-000084150000}"/>
    <cellStyle name="Notas 2 14 4 2" xfId="10144" xr:uid="{EF665DA0-4438-495D-8983-25623721A67C}"/>
    <cellStyle name="Notas 2 14 5" xfId="5509" xr:uid="{00000000-0005-0000-0000-000085150000}"/>
    <cellStyle name="Notas 2 14 5 2" xfId="10145" xr:uid="{9E19E619-BC3B-4517-A042-433744571628}"/>
    <cellStyle name="Notas 2 14 6" xfId="5510" xr:uid="{00000000-0005-0000-0000-000086150000}"/>
    <cellStyle name="Notas 2 14 6 2" xfId="10146" xr:uid="{2B604227-4DB3-4D56-AB9A-80B6A7D5C042}"/>
    <cellStyle name="Notas 2 14 7" xfId="8932" xr:uid="{0E2AA5DC-C475-4ED6-AD67-87A776CC6B6D}"/>
    <cellStyle name="Notas 2 15" xfId="3704" xr:uid="{00000000-0005-0000-0000-0000780E0000}"/>
    <cellStyle name="Notas 2 15 2" xfId="5511" xr:uid="{00000000-0005-0000-0000-000087150000}"/>
    <cellStyle name="Notas 2 15 2 2" xfId="10147" xr:uid="{983C1DD1-2291-41EB-A6BF-BAB0843C44D8}"/>
    <cellStyle name="Notas 2 15 3" xfId="5512" xr:uid="{00000000-0005-0000-0000-000088150000}"/>
    <cellStyle name="Notas 2 15 3 2" xfId="10148" xr:uid="{6BEC10CB-02D9-4AB9-88DC-6F390D988D21}"/>
    <cellStyle name="Notas 2 15 4" xfId="5513" xr:uid="{00000000-0005-0000-0000-000089150000}"/>
    <cellStyle name="Notas 2 15 4 2" xfId="10149" xr:uid="{756BA360-6A11-4B19-B45B-F2CBEACDA86E}"/>
    <cellStyle name="Notas 2 15 5" xfId="5514" xr:uid="{00000000-0005-0000-0000-00008A150000}"/>
    <cellStyle name="Notas 2 15 5 2" xfId="10150" xr:uid="{46D979BC-8BFD-4A4E-820A-65FC54646A9D}"/>
    <cellStyle name="Notas 2 15 6" xfId="5515" xr:uid="{00000000-0005-0000-0000-00008B150000}"/>
    <cellStyle name="Notas 2 15 6 2" xfId="10151" xr:uid="{0BF9E3AB-0FAB-44E8-8E58-28A3347F10D0}"/>
    <cellStyle name="Notas 2 15 7" xfId="8933" xr:uid="{EAE57F7C-1067-4A21-8442-3781B58A94CC}"/>
    <cellStyle name="Notas 2 16" xfId="5516" xr:uid="{00000000-0005-0000-0000-00008C150000}"/>
    <cellStyle name="Notas 2 16 2" xfId="5517" xr:uid="{00000000-0005-0000-0000-00008D150000}"/>
    <cellStyle name="Notas 2 16 2 2" xfId="10153" xr:uid="{EF6D7BB4-AEF0-4C93-ADA0-9F9BCE14D7CD}"/>
    <cellStyle name="Notas 2 16 3" xfId="5518" xr:uid="{00000000-0005-0000-0000-00008E150000}"/>
    <cellStyle name="Notas 2 16 3 2" xfId="10154" xr:uid="{55F1D214-5C37-4CB8-9D1D-E21C157A21C5}"/>
    <cellStyle name="Notas 2 16 4" xfId="5519" xr:uid="{00000000-0005-0000-0000-00008F150000}"/>
    <cellStyle name="Notas 2 16 4 2" xfId="10155" xr:uid="{68599991-39A3-4E34-A34B-CBCDCB410CA4}"/>
    <cellStyle name="Notas 2 16 5" xfId="5520" xr:uid="{00000000-0005-0000-0000-000090150000}"/>
    <cellStyle name="Notas 2 16 5 2" xfId="10156" xr:uid="{8E93E2AA-A022-49D0-B961-95B53D153DED}"/>
    <cellStyle name="Notas 2 16 6" xfId="10152" xr:uid="{18ADA002-AB10-4FEC-A8BD-F0239F4BB773}"/>
    <cellStyle name="Notas 2 17" xfId="5521" xr:uid="{00000000-0005-0000-0000-000091150000}"/>
    <cellStyle name="Notas 2 17 2" xfId="5522" xr:uid="{00000000-0005-0000-0000-000092150000}"/>
    <cellStyle name="Notas 2 17 2 2" xfId="10158" xr:uid="{5FC2CB53-1179-46FF-9E01-258098629DBB}"/>
    <cellStyle name="Notas 2 17 3" xfId="5523" xr:uid="{00000000-0005-0000-0000-000093150000}"/>
    <cellStyle name="Notas 2 17 3 2" xfId="10159" xr:uid="{AE5AD459-ECCD-4011-8855-28839928CC00}"/>
    <cellStyle name="Notas 2 17 4" xfId="5524" xr:uid="{00000000-0005-0000-0000-000094150000}"/>
    <cellStyle name="Notas 2 17 4 2" xfId="10160" xr:uid="{50161152-25CC-4E5E-B23E-6864B2BD7C46}"/>
    <cellStyle name="Notas 2 17 5" xfId="5525" xr:uid="{00000000-0005-0000-0000-000095150000}"/>
    <cellStyle name="Notas 2 17 5 2" xfId="10161" xr:uid="{F630150A-220B-46EE-AF5A-24099B6B3C80}"/>
    <cellStyle name="Notas 2 17 6" xfId="10157" xr:uid="{01BB3AF8-13F5-4A8D-9C2E-303FFD9587CD}"/>
    <cellStyle name="Notas 2 18" xfId="5526" xr:uid="{00000000-0005-0000-0000-000096150000}"/>
    <cellStyle name="Notas 2 18 2" xfId="5527" xr:uid="{00000000-0005-0000-0000-000097150000}"/>
    <cellStyle name="Notas 2 18 2 2" xfId="10163" xr:uid="{86B2EE6C-1FD0-4187-B1E7-EE8BA2AEE03C}"/>
    <cellStyle name="Notas 2 18 3" xfId="5528" xr:uid="{00000000-0005-0000-0000-000098150000}"/>
    <cellStyle name="Notas 2 18 3 2" xfId="10164" xr:uid="{370432D7-6B78-4014-BE02-3134B44A7CE1}"/>
    <cellStyle name="Notas 2 18 4" xfId="5529" xr:uid="{00000000-0005-0000-0000-000099150000}"/>
    <cellStyle name="Notas 2 18 4 2" xfId="10165" xr:uid="{65A99865-ACBC-42BF-AF3D-81A871E13E7D}"/>
    <cellStyle name="Notas 2 18 5" xfId="5530" xr:uid="{00000000-0005-0000-0000-00009A150000}"/>
    <cellStyle name="Notas 2 18 5 2" xfId="10166" xr:uid="{59516374-360A-4A9B-B3BF-5B2BFA7C07CF}"/>
    <cellStyle name="Notas 2 18 6" xfId="10162" xr:uid="{B478B892-20E4-4051-A1C8-5011935A0A78}"/>
    <cellStyle name="Notas 2 19" xfId="5531" xr:uid="{00000000-0005-0000-0000-00009B150000}"/>
    <cellStyle name="Notas 2 19 2" xfId="5532" xr:uid="{00000000-0005-0000-0000-00009C150000}"/>
    <cellStyle name="Notas 2 19 2 2" xfId="5533" xr:uid="{00000000-0005-0000-0000-00009D150000}"/>
    <cellStyle name="Notas 2 19 2 2 2" xfId="10169" xr:uid="{D16704A6-48E6-49E6-A6E0-A0B9D87E6023}"/>
    <cellStyle name="Notas 2 19 2 3" xfId="10168" xr:uid="{19EA9B4D-EFC1-4349-93DB-23BB01098837}"/>
    <cellStyle name="Notas 2 19 3" xfId="5534" xr:uid="{00000000-0005-0000-0000-00009E150000}"/>
    <cellStyle name="Notas 2 19 3 2" xfId="10170" xr:uid="{BAE65F2A-B6E9-468F-93D6-A50CD8A4519A}"/>
    <cellStyle name="Notas 2 19 4" xfId="5535" xr:uid="{00000000-0005-0000-0000-00009F150000}"/>
    <cellStyle name="Notas 2 19 4 2" xfId="10171" xr:uid="{CA88EF2A-2145-45F2-9895-CE28B900E736}"/>
    <cellStyle name="Notas 2 19 5" xfId="5536" xr:uid="{00000000-0005-0000-0000-0000A0150000}"/>
    <cellStyle name="Notas 2 19 5 2" xfId="10172" xr:uid="{F5D37BC7-27E8-4996-AABD-5D9B9434C121}"/>
    <cellStyle name="Notas 2 19 6" xfId="5537" xr:uid="{00000000-0005-0000-0000-0000A1150000}"/>
    <cellStyle name="Notas 2 19 6 2" xfId="10173" xr:uid="{463FF721-4157-4CE7-B2AD-0A7C091676A9}"/>
    <cellStyle name="Notas 2 19 7" xfId="10167" xr:uid="{54EDC420-1597-4A92-A544-C3B00FA175C0}"/>
    <cellStyle name="Notas 2 2" xfId="2139" xr:uid="{00000000-0005-0000-0000-00005B080000}"/>
    <cellStyle name="Notas 2 2 2" xfId="3705" xr:uid="{00000000-0005-0000-0000-0000790E0000}"/>
    <cellStyle name="Notas 2 2 2 2" xfId="5538" xr:uid="{00000000-0005-0000-0000-0000A2150000}"/>
    <cellStyle name="Notas 2 2 2 2 2" xfId="5539" xr:uid="{00000000-0005-0000-0000-0000A3150000}"/>
    <cellStyle name="Notas 2 2 2 2 2 2" xfId="10175" xr:uid="{E3242840-DDA5-4B48-8F27-9FF0C1DCE61D}"/>
    <cellStyle name="Notas 2 2 2 2 3" xfId="10174" xr:uid="{913B8FAE-5EBF-4AED-9AD6-B909296AB292}"/>
    <cellStyle name="Notas 2 2 2 3" xfId="5540" xr:uid="{00000000-0005-0000-0000-0000A4150000}"/>
    <cellStyle name="Notas 2 2 2 3 2" xfId="5541" xr:uid="{00000000-0005-0000-0000-0000A5150000}"/>
    <cellStyle name="Notas 2 2 2 3 2 2" xfId="10177" xr:uid="{CDB97CD0-7ED2-40EF-A376-0997F36F8A1D}"/>
    <cellStyle name="Notas 2 2 2 3 3" xfId="10176" xr:uid="{99B02D46-D222-4507-A594-5A82F342307C}"/>
    <cellStyle name="Notas 2 2 2 4" xfId="5542" xr:uid="{00000000-0005-0000-0000-0000A6150000}"/>
    <cellStyle name="Notas 2 2 2 4 2" xfId="10178" xr:uid="{C5096476-DC77-4ECA-ABEE-28E07A06A11D}"/>
    <cellStyle name="Notas 2 2 2 5" xfId="5543" xr:uid="{00000000-0005-0000-0000-0000A7150000}"/>
    <cellStyle name="Notas 2 2 2 5 2" xfId="10179" xr:uid="{60C49633-CD38-40ED-8D66-4C20EFE25395}"/>
    <cellStyle name="Notas 2 2 2 6" xfId="5544" xr:uid="{00000000-0005-0000-0000-0000A8150000}"/>
    <cellStyle name="Notas 2 2 2 6 2" xfId="10180" xr:uid="{C4349E46-0745-4632-855B-5E514D010BEE}"/>
    <cellStyle name="Notas 2 2 2 7" xfId="5545" xr:uid="{00000000-0005-0000-0000-0000A9150000}"/>
    <cellStyle name="Notas 2 2 2 7 2" xfId="10181" xr:uid="{1D2E0EB3-6C25-4BB5-B27C-BA516031A1E7}"/>
    <cellStyle name="Notas 2 2 2 8" xfId="8934" xr:uid="{55A01904-E4E8-45B6-8FCA-AFF343718A05}"/>
    <cellStyle name="Notas 2 2 3" xfId="3706" xr:uid="{00000000-0005-0000-0000-00007A0E0000}"/>
    <cellStyle name="Notas 2 2 3 2" xfId="5546" xr:uid="{00000000-0005-0000-0000-0000AA150000}"/>
    <cellStyle name="Notas 2 2 3 2 2" xfId="10182" xr:uid="{BD6F8772-DFD8-4A95-A9B8-0953A8AF3666}"/>
    <cellStyle name="Notas 2 2 3 3" xfId="5547" xr:uid="{00000000-0005-0000-0000-0000AB150000}"/>
    <cellStyle name="Notas 2 2 3 3 2" xfId="10183" xr:uid="{13AF277C-6076-4BA9-967C-184A6CF939E6}"/>
    <cellStyle name="Notas 2 2 3 4" xfId="5548" xr:uid="{00000000-0005-0000-0000-0000AC150000}"/>
    <cellStyle name="Notas 2 2 3 4 2" xfId="10184" xr:uid="{B32B6249-35A7-4CC8-BB00-BD3A0812A645}"/>
    <cellStyle name="Notas 2 2 3 5" xfId="5549" xr:uid="{00000000-0005-0000-0000-0000AD150000}"/>
    <cellStyle name="Notas 2 2 3 5 2" xfId="10185" xr:uid="{61BCA402-4188-43CB-B875-57A783A25F0C}"/>
    <cellStyle name="Notas 2 2 3 6" xfId="5550" xr:uid="{00000000-0005-0000-0000-0000AE150000}"/>
    <cellStyle name="Notas 2 2 3 6 2" xfId="10186" xr:uid="{2A671EA6-981D-42E1-A95C-D8FBBE94C4BF}"/>
    <cellStyle name="Notas 2 2 3 7" xfId="8935" xr:uid="{E2D3E57E-B937-4CD5-B83F-55167BE1748B}"/>
    <cellStyle name="Notas 2 2 4" xfId="5551" xr:uid="{00000000-0005-0000-0000-0000AF150000}"/>
    <cellStyle name="Notas 2 2 4 2" xfId="5552" xr:uid="{00000000-0005-0000-0000-0000B0150000}"/>
    <cellStyle name="Notas 2 2 4 2 2" xfId="10188" xr:uid="{F3424769-EE97-4F5F-AFA8-2373CB69D350}"/>
    <cellStyle name="Notas 2 2 4 3" xfId="5553" xr:uid="{00000000-0005-0000-0000-0000B1150000}"/>
    <cellStyle name="Notas 2 2 4 3 2" xfId="10189" xr:uid="{ADEC9FC5-961E-4259-9CCA-B2EEC39DB12F}"/>
    <cellStyle name="Notas 2 2 4 4" xfId="5554" xr:uid="{00000000-0005-0000-0000-0000B2150000}"/>
    <cellStyle name="Notas 2 2 4 4 2" xfId="10190" xr:uid="{79275020-51C7-470B-BFE2-0FF11D17A04E}"/>
    <cellStyle name="Notas 2 2 4 5" xfId="5555" xr:uid="{00000000-0005-0000-0000-0000B3150000}"/>
    <cellStyle name="Notas 2 2 4 5 2" xfId="10191" xr:uid="{9DF99BBC-F51F-4193-852C-3725C4ABCE78}"/>
    <cellStyle name="Notas 2 2 4 6" xfId="10187" xr:uid="{83FFC837-4EC7-47A0-8166-D02F00686D18}"/>
    <cellStyle name="Notas 2 2 5" xfId="5556" xr:uid="{00000000-0005-0000-0000-0000B4150000}"/>
    <cellStyle name="Notas 2 2 5 2" xfId="5557" xr:uid="{00000000-0005-0000-0000-0000B5150000}"/>
    <cellStyle name="Notas 2 2 5 2 2" xfId="10193" xr:uid="{9D2B02EC-E941-4C0F-AA8E-620505ED77A3}"/>
    <cellStyle name="Notas 2 2 5 3" xfId="5558" xr:uid="{00000000-0005-0000-0000-0000B6150000}"/>
    <cellStyle name="Notas 2 2 5 3 2" xfId="10194" xr:uid="{FD8BFEC3-E741-4B6F-BC76-EA38355EFBFF}"/>
    <cellStyle name="Notas 2 2 5 4" xfId="5559" xr:uid="{00000000-0005-0000-0000-0000B7150000}"/>
    <cellStyle name="Notas 2 2 5 4 2" xfId="10195" xr:uid="{A389AEA3-B18E-418C-9EB4-BCA645A8DA3B}"/>
    <cellStyle name="Notas 2 2 5 5" xfId="5560" xr:uid="{00000000-0005-0000-0000-0000B8150000}"/>
    <cellStyle name="Notas 2 2 5 5 2" xfId="10196" xr:uid="{B4633B07-A382-4B9D-920C-BA7D1AC45BCB}"/>
    <cellStyle name="Notas 2 2 5 6" xfId="10192" xr:uid="{93D3B906-7E09-49EA-8CFD-4BB4E333C630}"/>
    <cellStyle name="Notas 2 2 6" xfId="5561" xr:uid="{00000000-0005-0000-0000-0000B9150000}"/>
    <cellStyle name="Notas 2 2 6 2" xfId="5562" xr:uid="{00000000-0005-0000-0000-0000BA150000}"/>
    <cellStyle name="Notas 2 2 6 2 2" xfId="10198" xr:uid="{2B866B82-FC8F-4825-B393-3B463FE0C9B6}"/>
    <cellStyle name="Notas 2 2 6 3" xfId="5563" xr:uid="{00000000-0005-0000-0000-0000BB150000}"/>
    <cellStyle name="Notas 2 2 6 3 2" xfId="10199" xr:uid="{A424A389-91EB-4534-83F3-B92DFAD8BC02}"/>
    <cellStyle name="Notas 2 2 6 4" xfId="5564" xr:uid="{00000000-0005-0000-0000-0000BC150000}"/>
    <cellStyle name="Notas 2 2 6 4 2" xfId="10200" xr:uid="{76002713-39BB-49FB-8CD9-A1C6CF962C1A}"/>
    <cellStyle name="Notas 2 2 6 5" xfId="5565" xr:uid="{00000000-0005-0000-0000-0000BD150000}"/>
    <cellStyle name="Notas 2 2 6 5 2" xfId="10201" xr:uid="{FA658A8F-076E-4F15-8FEC-1B54E53DFF9A}"/>
    <cellStyle name="Notas 2 2 6 6" xfId="10197" xr:uid="{04CF49CC-0042-419A-AE6F-E01B8933832D}"/>
    <cellStyle name="Notas 2 2 7" xfId="5566" xr:uid="{00000000-0005-0000-0000-0000BE150000}"/>
    <cellStyle name="Notas 2 2 7 2" xfId="5567" xr:uid="{00000000-0005-0000-0000-0000BF150000}"/>
    <cellStyle name="Notas 2 2 7 2 2" xfId="10203" xr:uid="{1A03675E-4DF2-4186-BB6B-580CA842FCC6}"/>
    <cellStyle name="Notas 2 2 7 3" xfId="5568" xr:uid="{00000000-0005-0000-0000-0000C0150000}"/>
    <cellStyle name="Notas 2 2 7 3 2" xfId="10204" xr:uid="{820588D3-ACBC-4FDE-91AC-71264CD683A5}"/>
    <cellStyle name="Notas 2 2 7 4" xfId="5569" xr:uid="{00000000-0005-0000-0000-0000C1150000}"/>
    <cellStyle name="Notas 2 2 7 4 2" xfId="10205" xr:uid="{D1EB2399-603B-44BE-B98F-ECCDFABB56D8}"/>
    <cellStyle name="Notas 2 2 7 5" xfId="5570" xr:uid="{00000000-0005-0000-0000-0000C2150000}"/>
    <cellStyle name="Notas 2 2 7 5 2" xfId="10206" xr:uid="{62C3169E-AA41-45A5-AAAA-5372D1CA927D}"/>
    <cellStyle name="Notas 2 2 7 6" xfId="10202" xr:uid="{63D5ECCB-0EF3-4751-9E01-D043FE936D63}"/>
    <cellStyle name="Notas 2 2 8" xfId="5571" xr:uid="{00000000-0005-0000-0000-0000C3150000}"/>
    <cellStyle name="Notas 2 2 8 2" xfId="10207" xr:uid="{F2F65AE8-8657-42B7-8991-4355C6674FA7}"/>
    <cellStyle name="Notas 2 2 9" xfId="8547" xr:uid="{3FE1399B-FCC5-4DA9-A814-7557F0B106BA}"/>
    <cellStyle name="Notas 2 20" xfId="5572" xr:uid="{00000000-0005-0000-0000-0000C4150000}"/>
    <cellStyle name="Notas 2 20 2" xfId="10208" xr:uid="{2C3B9D10-8D55-49D4-90C2-3533E2CBF6FB}"/>
    <cellStyle name="Notas 2 21" xfId="5573" xr:uid="{00000000-0005-0000-0000-0000C5150000}"/>
    <cellStyle name="Notas 2 21 2" xfId="10209" xr:uid="{335F60BB-1051-4365-B418-0225D638F004}"/>
    <cellStyle name="Notas 2 22" xfId="5574" xr:uid="{00000000-0005-0000-0000-0000C6150000}"/>
    <cellStyle name="Notas 2 22 2" xfId="10210" xr:uid="{1AE002ED-D196-4FA6-A96A-9816F71D732D}"/>
    <cellStyle name="Notas 2 23" xfId="8546" xr:uid="{B246319B-34BB-40DB-91D7-6D046CBF0AD4}"/>
    <cellStyle name="Notas 2 3" xfId="3707" xr:uid="{00000000-0005-0000-0000-00007B0E0000}"/>
    <cellStyle name="Notas 2 3 2" xfId="3708" xr:uid="{00000000-0005-0000-0000-00007C0E0000}"/>
    <cellStyle name="Notas 2 3 2 2" xfId="5575" xr:uid="{00000000-0005-0000-0000-0000C7150000}"/>
    <cellStyle name="Notas 2 3 2 2 2" xfId="5576" xr:uid="{00000000-0005-0000-0000-0000C8150000}"/>
    <cellStyle name="Notas 2 3 2 2 2 2" xfId="10212" xr:uid="{331A1D8F-43A1-4BA8-863A-C09ABD5F852E}"/>
    <cellStyle name="Notas 2 3 2 2 3" xfId="10211" xr:uid="{3AC6A3F9-2ED2-4D64-A2CC-42D364FCFB16}"/>
    <cellStyle name="Notas 2 3 2 3" xfId="5577" xr:uid="{00000000-0005-0000-0000-0000C9150000}"/>
    <cellStyle name="Notas 2 3 2 3 2" xfId="5578" xr:uid="{00000000-0005-0000-0000-0000CA150000}"/>
    <cellStyle name="Notas 2 3 2 3 2 2" xfId="10214" xr:uid="{FD8B27A7-350C-41AF-BE68-97EE591C5F79}"/>
    <cellStyle name="Notas 2 3 2 3 3" xfId="10213" xr:uid="{2D63B197-BF2F-4C9D-930A-7F2E5537C218}"/>
    <cellStyle name="Notas 2 3 2 4" xfId="5579" xr:uid="{00000000-0005-0000-0000-0000CB150000}"/>
    <cellStyle name="Notas 2 3 2 4 2" xfId="10215" xr:uid="{8AE05B12-1516-4ECF-95BC-6E843420D069}"/>
    <cellStyle name="Notas 2 3 2 5" xfId="5580" xr:uid="{00000000-0005-0000-0000-0000CC150000}"/>
    <cellStyle name="Notas 2 3 2 5 2" xfId="10216" xr:uid="{A45D52A2-5344-46F5-A921-DEF2F88AB404}"/>
    <cellStyle name="Notas 2 3 2 6" xfId="5581" xr:uid="{00000000-0005-0000-0000-0000CD150000}"/>
    <cellStyle name="Notas 2 3 2 6 2" xfId="10217" xr:uid="{8BB71227-48A3-489A-B1DD-DA31C13635A8}"/>
    <cellStyle name="Notas 2 3 2 7" xfId="5582" xr:uid="{00000000-0005-0000-0000-0000CE150000}"/>
    <cellStyle name="Notas 2 3 2 7 2" xfId="10218" xr:uid="{AF284600-C518-475D-8466-3B99E98FD005}"/>
    <cellStyle name="Notas 2 3 2 8" xfId="8937" xr:uid="{D6CC7885-D4A4-4725-A46E-508DA628B516}"/>
    <cellStyle name="Notas 2 3 3" xfId="3709" xr:uid="{00000000-0005-0000-0000-00007D0E0000}"/>
    <cellStyle name="Notas 2 3 3 2" xfId="5583" xr:uid="{00000000-0005-0000-0000-0000CF150000}"/>
    <cellStyle name="Notas 2 3 3 2 2" xfId="10219" xr:uid="{8FCF24F7-EFC4-41A4-B420-D4E8B83055BF}"/>
    <cellStyle name="Notas 2 3 3 3" xfId="5584" xr:uid="{00000000-0005-0000-0000-0000D0150000}"/>
    <cellStyle name="Notas 2 3 3 3 2" xfId="10220" xr:uid="{50D3632F-0408-4270-BF19-3CFD325767F3}"/>
    <cellStyle name="Notas 2 3 3 4" xfId="5585" xr:uid="{00000000-0005-0000-0000-0000D1150000}"/>
    <cellStyle name="Notas 2 3 3 4 2" xfId="10221" xr:uid="{744B14C5-09CD-490D-85F7-6B7B6857C7FF}"/>
    <cellStyle name="Notas 2 3 3 5" xfId="5586" xr:uid="{00000000-0005-0000-0000-0000D2150000}"/>
    <cellStyle name="Notas 2 3 3 5 2" xfId="10222" xr:uid="{7E1CA041-49C3-4480-873E-F7D61F2561CA}"/>
    <cellStyle name="Notas 2 3 3 6" xfId="5587" xr:uid="{00000000-0005-0000-0000-0000D3150000}"/>
    <cellStyle name="Notas 2 3 3 6 2" xfId="10223" xr:uid="{18BBEFEB-AA69-426C-A6C7-F6F39F1FC3D8}"/>
    <cellStyle name="Notas 2 3 3 7" xfId="8938" xr:uid="{428918FB-CC51-4E15-BC8B-59D953E3B533}"/>
    <cellStyle name="Notas 2 3 4" xfId="5588" xr:uid="{00000000-0005-0000-0000-0000D4150000}"/>
    <cellStyle name="Notas 2 3 4 2" xfId="5589" xr:uid="{00000000-0005-0000-0000-0000D5150000}"/>
    <cellStyle name="Notas 2 3 4 2 2" xfId="10225" xr:uid="{67D57944-D087-4EEA-AC52-DEABA02A6E65}"/>
    <cellStyle name="Notas 2 3 4 3" xfId="5590" xr:uid="{00000000-0005-0000-0000-0000D6150000}"/>
    <cellStyle name="Notas 2 3 4 3 2" xfId="10226" xr:uid="{0BFBBDC4-47D2-4CFA-B722-CAA331EE24DB}"/>
    <cellStyle name="Notas 2 3 4 4" xfId="5591" xr:uid="{00000000-0005-0000-0000-0000D7150000}"/>
    <cellStyle name="Notas 2 3 4 4 2" xfId="10227" xr:uid="{4FE4CFB8-5958-40CF-AD88-5348986D8DB8}"/>
    <cellStyle name="Notas 2 3 4 5" xfId="5592" xr:uid="{00000000-0005-0000-0000-0000D8150000}"/>
    <cellStyle name="Notas 2 3 4 5 2" xfId="10228" xr:uid="{75F8D890-5BBB-427E-8420-1A337C074CAA}"/>
    <cellStyle name="Notas 2 3 4 6" xfId="10224" xr:uid="{A84A604F-0B27-4D58-9461-6FB45918C6E4}"/>
    <cellStyle name="Notas 2 3 5" xfId="5593" xr:uid="{00000000-0005-0000-0000-0000D9150000}"/>
    <cellStyle name="Notas 2 3 5 2" xfId="5594" xr:uid="{00000000-0005-0000-0000-0000DA150000}"/>
    <cellStyle name="Notas 2 3 5 2 2" xfId="10230" xr:uid="{1B55FDD5-732C-4A74-B9A2-182559F270D0}"/>
    <cellStyle name="Notas 2 3 5 3" xfId="5595" xr:uid="{00000000-0005-0000-0000-0000DB150000}"/>
    <cellStyle name="Notas 2 3 5 3 2" xfId="10231" xr:uid="{7111987A-1549-42BA-84A2-6F5B13BAA61C}"/>
    <cellStyle name="Notas 2 3 5 4" xfId="5596" xr:uid="{00000000-0005-0000-0000-0000DC150000}"/>
    <cellStyle name="Notas 2 3 5 4 2" xfId="10232" xr:uid="{11887FD1-D570-4826-8E7A-1269F31B860E}"/>
    <cellStyle name="Notas 2 3 5 5" xfId="5597" xr:uid="{00000000-0005-0000-0000-0000DD150000}"/>
    <cellStyle name="Notas 2 3 5 5 2" xfId="10233" xr:uid="{328164E0-F327-4BCE-BC52-F622FB4BE028}"/>
    <cellStyle name="Notas 2 3 5 6" xfId="10229" xr:uid="{BE396185-CFC9-40C2-AB37-CA36398B5AAA}"/>
    <cellStyle name="Notas 2 3 6" xfId="5598" xr:uid="{00000000-0005-0000-0000-0000DE150000}"/>
    <cellStyle name="Notas 2 3 6 2" xfId="5599" xr:uid="{00000000-0005-0000-0000-0000DF150000}"/>
    <cellStyle name="Notas 2 3 6 2 2" xfId="10235" xr:uid="{C16A3830-517D-41A1-B6BA-BCA88341A19A}"/>
    <cellStyle name="Notas 2 3 6 3" xfId="5600" xr:uid="{00000000-0005-0000-0000-0000E0150000}"/>
    <cellStyle name="Notas 2 3 6 3 2" xfId="10236" xr:uid="{5BC92916-BA65-42CF-A6EF-491F1DBC39E3}"/>
    <cellStyle name="Notas 2 3 6 4" xfId="5601" xr:uid="{00000000-0005-0000-0000-0000E1150000}"/>
    <cellStyle name="Notas 2 3 6 4 2" xfId="10237" xr:uid="{CF894B52-08D2-4444-ADA8-4A1D9FA0BA67}"/>
    <cellStyle name="Notas 2 3 6 5" xfId="5602" xr:uid="{00000000-0005-0000-0000-0000E2150000}"/>
    <cellStyle name="Notas 2 3 6 5 2" xfId="10238" xr:uid="{08A8B1A1-91E2-43CA-9DAA-18A5AEF951E2}"/>
    <cellStyle name="Notas 2 3 6 6" xfId="10234" xr:uid="{5C951D60-0744-487B-B91D-8ADAAECB9960}"/>
    <cellStyle name="Notas 2 3 7" xfId="5603" xr:uid="{00000000-0005-0000-0000-0000E3150000}"/>
    <cellStyle name="Notas 2 3 7 2" xfId="5604" xr:uid="{00000000-0005-0000-0000-0000E4150000}"/>
    <cellStyle name="Notas 2 3 7 2 2" xfId="10240" xr:uid="{0BF5A76B-4FE4-4B97-8806-B8EB8D87692B}"/>
    <cellStyle name="Notas 2 3 7 3" xfId="5605" xr:uid="{00000000-0005-0000-0000-0000E5150000}"/>
    <cellStyle name="Notas 2 3 7 3 2" xfId="10241" xr:uid="{E7882DDE-C18E-47A5-9233-05B2232024EB}"/>
    <cellStyle name="Notas 2 3 7 4" xfId="5606" xr:uid="{00000000-0005-0000-0000-0000E6150000}"/>
    <cellStyle name="Notas 2 3 7 4 2" xfId="10242" xr:uid="{7580E5E4-3BA9-4BC1-876A-83A635119B61}"/>
    <cellStyle name="Notas 2 3 7 5" xfId="5607" xr:uid="{00000000-0005-0000-0000-0000E7150000}"/>
    <cellStyle name="Notas 2 3 7 5 2" xfId="10243" xr:uid="{F25AA641-2776-4B9C-A146-845F38AC2D4C}"/>
    <cellStyle name="Notas 2 3 7 6" xfId="10239" xr:uid="{64ECAEC1-4662-46C9-A03C-03DDC35E5BC1}"/>
    <cellStyle name="Notas 2 3 8" xfId="5608" xr:uid="{00000000-0005-0000-0000-0000E8150000}"/>
    <cellStyle name="Notas 2 3 8 2" xfId="10244" xr:uid="{7DFA1FED-8E4F-4337-8A31-AFFE65A29984}"/>
    <cellStyle name="Notas 2 3 9" xfId="8936" xr:uid="{D58CFCBC-90B4-499A-91DB-6E887924FCAA}"/>
    <cellStyle name="Notas 2 4" xfId="3710" xr:uid="{00000000-0005-0000-0000-00007E0E0000}"/>
    <cellStyle name="Notas 2 4 2" xfId="3711" xr:uid="{00000000-0005-0000-0000-00007F0E0000}"/>
    <cellStyle name="Notas 2 4 2 2" xfId="5609" xr:uid="{00000000-0005-0000-0000-0000E9150000}"/>
    <cellStyle name="Notas 2 4 2 2 2" xfId="5610" xr:uid="{00000000-0005-0000-0000-0000EA150000}"/>
    <cellStyle name="Notas 2 4 2 2 2 2" xfId="10246" xr:uid="{A779B88B-E6B1-42C2-BECC-7C6DCF81EAC8}"/>
    <cellStyle name="Notas 2 4 2 2 3" xfId="10245" xr:uid="{99592B00-8DF5-43EE-9263-A87BBEF9A501}"/>
    <cellStyle name="Notas 2 4 2 3" xfId="5611" xr:uid="{00000000-0005-0000-0000-0000EB150000}"/>
    <cellStyle name="Notas 2 4 2 3 2" xfId="5612" xr:uid="{00000000-0005-0000-0000-0000EC150000}"/>
    <cellStyle name="Notas 2 4 2 3 2 2" xfId="10248" xr:uid="{17A95810-FA15-4E1F-8F85-DD6404CB7FF3}"/>
    <cellStyle name="Notas 2 4 2 3 3" xfId="10247" xr:uid="{A5F05A11-34A8-46FB-9BFF-39245A70A952}"/>
    <cellStyle name="Notas 2 4 2 4" xfId="5613" xr:uid="{00000000-0005-0000-0000-0000ED150000}"/>
    <cellStyle name="Notas 2 4 2 4 2" xfId="10249" xr:uid="{0015585B-A7A4-4416-B3B7-12E577247751}"/>
    <cellStyle name="Notas 2 4 2 5" xfId="5614" xr:uid="{00000000-0005-0000-0000-0000EE150000}"/>
    <cellStyle name="Notas 2 4 2 5 2" xfId="10250" xr:uid="{FBFE8314-BE9F-468D-BCB9-1AC838258C03}"/>
    <cellStyle name="Notas 2 4 2 6" xfId="5615" xr:uid="{00000000-0005-0000-0000-0000EF150000}"/>
    <cellStyle name="Notas 2 4 2 6 2" xfId="10251" xr:uid="{2146E734-FCEF-4292-9F4A-C2537595A792}"/>
    <cellStyle name="Notas 2 4 2 7" xfId="5616" xr:uid="{00000000-0005-0000-0000-0000F0150000}"/>
    <cellStyle name="Notas 2 4 2 7 2" xfId="10252" xr:uid="{5D344E3F-35EB-4080-A36D-EC14C63ACC5E}"/>
    <cellStyle name="Notas 2 4 2 8" xfId="8940" xr:uid="{F158DF9C-80BC-4CEB-93CB-BA7DF40183C0}"/>
    <cellStyle name="Notas 2 4 3" xfId="3712" xr:uid="{00000000-0005-0000-0000-0000800E0000}"/>
    <cellStyle name="Notas 2 4 3 2" xfId="5617" xr:uid="{00000000-0005-0000-0000-0000F1150000}"/>
    <cellStyle name="Notas 2 4 3 2 2" xfId="10253" xr:uid="{D2F2EBC3-E98F-436F-91B6-BE7095BB6741}"/>
    <cellStyle name="Notas 2 4 3 3" xfId="5618" xr:uid="{00000000-0005-0000-0000-0000F2150000}"/>
    <cellStyle name="Notas 2 4 3 3 2" xfId="10254" xr:uid="{D4624EBA-D552-44B6-AE40-F5AC86802406}"/>
    <cellStyle name="Notas 2 4 3 4" xfId="5619" xr:uid="{00000000-0005-0000-0000-0000F3150000}"/>
    <cellStyle name="Notas 2 4 3 4 2" xfId="10255" xr:uid="{9FEE7752-B02F-4297-A135-7E11ADC5755F}"/>
    <cellStyle name="Notas 2 4 3 5" xfId="5620" xr:uid="{00000000-0005-0000-0000-0000F4150000}"/>
    <cellStyle name="Notas 2 4 3 5 2" xfId="10256" xr:uid="{EE4F7B74-3BB2-4F55-B848-8B98357F5F53}"/>
    <cellStyle name="Notas 2 4 3 6" xfId="5621" xr:uid="{00000000-0005-0000-0000-0000F5150000}"/>
    <cellStyle name="Notas 2 4 3 6 2" xfId="10257" xr:uid="{E88054F2-9A3A-459E-8E4D-9D3599B6AC2F}"/>
    <cellStyle name="Notas 2 4 3 7" xfId="8941" xr:uid="{5EBD1F21-B03E-4B6B-931A-45FF8F340011}"/>
    <cellStyle name="Notas 2 4 4" xfId="5622" xr:uid="{00000000-0005-0000-0000-0000F6150000}"/>
    <cellStyle name="Notas 2 4 4 2" xfId="5623" xr:uid="{00000000-0005-0000-0000-0000F7150000}"/>
    <cellStyle name="Notas 2 4 4 2 2" xfId="10259" xr:uid="{BF006226-3964-46EC-87A7-1A053F453C36}"/>
    <cellStyle name="Notas 2 4 4 3" xfId="5624" xr:uid="{00000000-0005-0000-0000-0000F8150000}"/>
    <cellStyle name="Notas 2 4 4 3 2" xfId="10260" xr:uid="{72812B7F-187C-453C-8910-46D3B23DD6C4}"/>
    <cellStyle name="Notas 2 4 4 4" xfId="5625" xr:uid="{00000000-0005-0000-0000-0000F9150000}"/>
    <cellStyle name="Notas 2 4 4 4 2" xfId="10261" xr:uid="{E1F036E8-257F-4FBF-8258-A77B7D5FD40E}"/>
    <cellStyle name="Notas 2 4 4 5" xfId="5626" xr:uid="{00000000-0005-0000-0000-0000FA150000}"/>
    <cellStyle name="Notas 2 4 4 5 2" xfId="10262" xr:uid="{FDA6DE40-362A-4A1A-AB61-84903FB1044D}"/>
    <cellStyle name="Notas 2 4 4 6" xfId="10258" xr:uid="{282C89A6-8729-43E1-ADC7-4E741E7C50BC}"/>
    <cellStyle name="Notas 2 4 5" xfId="5627" xr:uid="{00000000-0005-0000-0000-0000FB150000}"/>
    <cellStyle name="Notas 2 4 5 2" xfId="5628" xr:uid="{00000000-0005-0000-0000-0000FC150000}"/>
    <cellStyle name="Notas 2 4 5 2 2" xfId="10264" xr:uid="{107EFD42-4361-4508-BDBC-5727D3051A6C}"/>
    <cellStyle name="Notas 2 4 5 3" xfId="5629" xr:uid="{00000000-0005-0000-0000-0000FD150000}"/>
    <cellStyle name="Notas 2 4 5 3 2" xfId="10265" xr:uid="{B0816CB3-4FCF-41A9-9A72-AA3B121EE4C0}"/>
    <cellStyle name="Notas 2 4 5 4" xfId="5630" xr:uid="{00000000-0005-0000-0000-0000FE150000}"/>
    <cellStyle name="Notas 2 4 5 4 2" xfId="10266" xr:uid="{671B6EDE-C95A-4949-A74D-CC6C60FB5B88}"/>
    <cellStyle name="Notas 2 4 5 5" xfId="5631" xr:uid="{00000000-0005-0000-0000-0000FF150000}"/>
    <cellStyle name="Notas 2 4 5 5 2" xfId="10267" xr:uid="{E0CAAA00-C38B-4454-8412-B3C84FDD61A0}"/>
    <cellStyle name="Notas 2 4 5 6" xfId="10263" xr:uid="{EDB41744-A614-4BB6-8249-9567CEB076A5}"/>
    <cellStyle name="Notas 2 4 6" xfId="5632" xr:uid="{00000000-0005-0000-0000-000000160000}"/>
    <cellStyle name="Notas 2 4 6 2" xfId="5633" xr:uid="{00000000-0005-0000-0000-000001160000}"/>
    <cellStyle name="Notas 2 4 6 2 2" xfId="10269" xr:uid="{4065403E-09BC-4D03-8A2F-8A828C4DFAE9}"/>
    <cellStyle name="Notas 2 4 6 3" xfId="5634" xr:uid="{00000000-0005-0000-0000-000002160000}"/>
    <cellStyle name="Notas 2 4 6 3 2" xfId="10270" xr:uid="{59EFA722-A036-47F7-9481-9E0041F1B061}"/>
    <cellStyle name="Notas 2 4 6 4" xfId="5635" xr:uid="{00000000-0005-0000-0000-000003160000}"/>
    <cellStyle name="Notas 2 4 6 4 2" xfId="10271" xr:uid="{F573DB75-2D51-41CA-BEDC-4A1FBA0AEE8D}"/>
    <cellStyle name="Notas 2 4 6 5" xfId="5636" xr:uid="{00000000-0005-0000-0000-000004160000}"/>
    <cellStyle name="Notas 2 4 6 5 2" xfId="10272" xr:uid="{63A799F3-9605-463E-BD71-9366AD339E16}"/>
    <cellStyle name="Notas 2 4 6 6" xfId="10268" xr:uid="{CE3B3488-90D9-4304-834D-A97E38413A55}"/>
    <cellStyle name="Notas 2 4 7" xfId="5637" xr:uid="{00000000-0005-0000-0000-000005160000}"/>
    <cellStyle name="Notas 2 4 7 2" xfId="5638" xr:uid="{00000000-0005-0000-0000-000006160000}"/>
    <cellStyle name="Notas 2 4 7 2 2" xfId="10274" xr:uid="{49DC1CE5-10D3-4AA4-B998-8AE62952ED51}"/>
    <cellStyle name="Notas 2 4 7 3" xfId="5639" xr:uid="{00000000-0005-0000-0000-000007160000}"/>
    <cellStyle name="Notas 2 4 7 3 2" xfId="10275" xr:uid="{54CC6CED-9D41-44F7-9645-156A046EA5CD}"/>
    <cellStyle name="Notas 2 4 7 4" xfId="5640" xr:uid="{00000000-0005-0000-0000-000008160000}"/>
    <cellStyle name="Notas 2 4 7 4 2" xfId="10276" xr:uid="{4EFA0D89-1F9E-4B5A-99FC-5D233A2E74AA}"/>
    <cellStyle name="Notas 2 4 7 5" xfId="5641" xr:uid="{00000000-0005-0000-0000-000009160000}"/>
    <cellStyle name="Notas 2 4 7 5 2" xfId="10277" xr:uid="{95DA6CCD-CD4D-4918-B910-BA842372A6AB}"/>
    <cellStyle name="Notas 2 4 7 6" xfId="10273" xr:uid="{225B2D4A-4279-4AFE-904A-699DA18DE6F9}"/>
    <cellStyle name="Notas 2 4 8" xfId="5642" xr:uid="{00000000-0005-0000-0000-00000A160000}"/>
    <cellStyle name="Notas 2 4 8 2" xfId="10278" xr:uid="{410B140A-1F31-4443-A87D-D9518CCF5031}"/>
    <cellStyle name="Notas 2 4 9" xfId="8939" xr:uid="{55294E7D-16C8-4B6C-9B7F-CB0FCA690959}"/>
    <cellStyle name="Notas 2 5" xfId="3713" xr:uid="{00000000-0005-0000-0000-0000810E0000}"/>
    <cellStyle name="Notas 2 5 2" xfId="3714" xr:uid="{00000000-0005-0000-0000-0000820E0000}"/>
    <cellStyle name="Notas 2 5 2 2" xfId="5643" xr:uid="{00000000-0005-0000-0000-00000B160000}"/>
    <cellStyle name="Notas 2 5 2 2 2" xfId="5644" xr:uid="{00000000-0005-0000-0000-00000C160000}"/>
    <cellStyle name="Notas 2 5 2 2 2 2" xfId="10280" xr:uid="{E707A51A-0F7F-4C24-9A37-F577D70FB487}"/>
    <cellStyle name="Notas 2 5 2 2 3" xfId="10279" xr:uid="{343F752C-E87E-47C9-8FEC-F63C02B71AE5}"/>
    <cellStyle name="Notas 2 5 2 3" xfId="5645" xr:uid="{00000000-0005-0000-0000-00000D160000}"/>
    <cellStyle name="Notas 2 5 2 3 2" xfId="5646" xr:uid="{00000000-0005-0000-0000-00000E160000}"/>
    <cellStyle name="Notas 2 5 2 3 2 2" xfId="10282" xr:uid="{54DCC6DC-F9E2-4442-99A7-5350840A548C}"/>
    <cellStyle name="Notas 2 5 2 3 3" xfId="10281" xr:uid="{79AB7AD3-7DBE-4F81-9AB1-6E2E8653E0DA}"/>
    <cellStyle name="Notas 2 5 2 4" xfId="5647" xr:uid="{00000000-0005-0000-0000-00000F160000}"/>
    <cellStyle name="Notas 2 5 2 4 2" xfId="10283" xr:uid="{1B9DACF1-0ACD-473B-A7AC-07127A401C4B}"/>
    <cellStyle name="Notas 2 5 2 5" xfId="5648" xr:uid="{00000000-0005-0000-0000-000010160000}"/>
    <cellStyle name="Notas 2 5 2 5 2" xfId="10284" xr:uid="{562BBCBB-CD6B-426D-AF55-F319C2D3D543}"/>
    <cellStyle name="Notas 2 5 2 6" xfId="5649" xr:uid="{00000000-0005-0000-0000-000011160000}"/>
    <cellStyle name="Notas 2 5 2 6 2" xfId="10285" xr:uid="{7E0B60CE-C3AA-4C0F-8366-9390E011573A}"/>
    <cellStyle name="Notas 2 5 2 7" xfId="8943" xr:uid="{1D9CFD2D-69D8-4F67-A75F-30B65B3D9EA6}"/>
    <cellStyle name="Notas 2 5 3" xfId="3715" xr:uid="{00000000-0005-0000-0000-0000830E0000}"/>
    <cellStyle name="Notas 2 5 3 2" xfId="5650" xr:uid="{00000000-0005-0000-0000-000012160000}"/>
    <cellStyle name="Notas 2 5 3 2 2" xfId="10286" xr:uid="{B2A3ADA0-35C1-405B-ADB9-80EF3DB097FE}"/>
    <cellStyle name="Notas 2 5 3 3" xfId="5651" xr:uid="{00000000-0005-0000-0000-000013160000}"/>
    <cellStyle name="Notas 2 5 3 3 2" xfId="10287" xr:uid="{DF332608-57F8-472D-8D29-9C80859F1E60}"/>
    <cellStyle name="Notas 2 5 3 4" xfId="5652" xr:uid="{00000000-0005-0000-0000-000014160000}"/>
    <cellStyle name="Notas 2 5 3 4 2" xfId="10288" xr:uid="{16438DA8-233A-46E9-BE0B-E48F5B494788}"/>
    <cellStyle name="Notas 2 5 3 5" xfId="5653" xr:uid="{00000000-0005-0000-0000-000015160000}"/>
    <cellStyle name="Notas 2 5 3 5 2" xfId="10289" xr:uid="{0906797D-231E-428D-A0CD-6824CECAC9DD}"/>
    <cellStyle name="Notas 2 5 3 6" xfId="5654" xr:uid="{00000000-0005-0000-0000-000016160000}"/>
    <cellStyle name="Notas 2 5 3 6 2" xfId="10290" xr:uid="{A3E747C5-2E7B-4EB3-8F7D-B1749F31E2D5}"/>
    <cellStyle name="Notas 2 5 3 7" xfId="8944" xr:uid="{E7F01DA7-BC76-437F-8598-DDD813E13C95}"/>
    <cellStyle name="Notas 2 5 4" xfId="5655" xr:uid="{00000000-0005-0000-0000-000017160000}"/>
    <cellStyle name="Notas 2 5 4 2" xfId="5656" xr:uid="{00000000-0005-0000-0000-000018160000}"/>
    <cellStyle name="Notas 2 5 4 2 2" xfId="10292" xr:uid="{F16A0FEF-1239-46DB-8F1A-4DD40754E28F}"/>
    <cellStyle name="Notas 2 5 4 3" xfId="5657" xr:uid="{00000000-0005-0000-0000-000019160000}"/>
    <cellStyle name="Notas 2 5 4 3 2" xfId="10293" xr:uid="{54F3F925-3E59-47D8-955B-4B31DEADDDD1}"/>
    <cellStyle name="Notas 2 5 4 4" xfId="5658" xr:uid="{00000000-0005-0000-0000-00001A160000}"/>
    <cellStyle name="Notas 2 5 4 4 2" xfId="10294" xr:uid="{B5DEB916-ABEB-43ED-B85C-8506E52E83A0}"/>
    <cellStyle name="Notas 2 5 4 5" xfId="5659" xr:uid="{00000000-0005-0000-0000-00001B160000}"/>
    <cellStyle name="Notas 2 5 4 5 2" xfId="10295" xr:uid="{6A0C6EC6-8AB9-402D-B24F-67C8585D1F23}"/>
    <cellStyle name="Notas 2 5 4 6" xfId="10291" xr:uid="{974F47AE-7527-4CF2-ABB1-1FBD8C774E85}"/>
    <cellStyle name="Notas 2 5 5" xfId="5660" xr:uid="{00000000-0005-0000-0000-00001C160000}"/>
    <cellStyle name="Notas 2 5 5 2" xfId="5661" xr:uid="{00000000-0005-0000-0000-00001D160000}"/>
    <cellStyle name="Notas 2 5 5 2 2" xfId="10297" xr:uid="{D3F3C941-0B7E-4D2D-8075-19A97DD7715C}"/>
    <cellStyle name="Notas 2 5 5 3" xfId="5662" xr:uid="{00000000-0005-0000-0000-00001E160000}"/>
    <cellStyle name="Notas 2 5 5 3 2" xfId="10298" xr:uid="{B4294360-E205-47F9-AC92-27725C29AF78}"/>
    <cellStyle name="Notas 2 5 5 4" xfId="5663" xr:uid="{00000000-0005-0000-0000-00001F160000}"/>
    <cellStyle name="Notas 2 5 5 4 2" xfId="10299" xr:uid="{61344BB6-555B-4480-989D-37657FB4AF77}"/>
    <cellStyle name="Notas 2 5 5 5" xfId="5664" xr:uid="{00000000-0005-0000-0000-000020160000}"/>
    <cellStyle name="Notas 2 5 5 5 2" xfId="10300" xr:uid="{79116ACA-A2C4-49CF-8691-0128DE20D2EF}"/>
    <cellStyle name="Notas 2 5 5 6" xfId="10296" xr:uid="{4E6C1C85-AE35-488B-BB93-D8AE79B35D16}"/>
    <cellStyle name="Notas 2 5 6" xfId="5665" xr:uid="{00000000-0005-0000-0000-000021160000}"/>
    <cellStyle name="Notas 2 5 6 2" xfId="5666" xr:uid="{00000000-0005-0000-0000-000022160000}"/>
    <cellStyle name="Notas 2 5 6 2 2" xfId="10302" xr:uid="{ACDE340D-7093-4902-A2DE-B078BF98E98E}"/>
    <cellStyle name="Notas 2 5 6 3" xfId="5667" xr:uid="{00000000-0005-0000-0000-000023160000}"/>
    <cellStyle name="Notas 2 5 6 3 2" xfId="10303" xr:uid="{D455A2FF-6280-4198-A62C-78A284591E0B}"/>
    <cellStyle name="Notas 2 5 6 4" xfId="5668" xr:uid="{00000000-0005-0000-0000-000024160000}"/>
    <cellStyle name="Notas 2 5 6 4 2" xfId="10304" xr:uid="{30961FE7-52A2-499F-AAAA-DD70E8A3C129}"/>
    <cellStyle name="Notas 2 5 6 5" xfId="5669" xr:uid="{00000000-0005-0000-0000-000025160000}"/>
    <cellStyle name="Notas 2 5 6 5 2" xfId="10305" xr:uid="{42F47205-06A6-42CA-974E-CA9EB8351F77}"/>
    <cellStyle name="Notas 2 5 6 6" xfId="10301" xr:uid="{49326E0A-B54A-4956-8ABF-E6FBF4921DEC}"/>
    <cellStyle name="Notas 2 5 7" xfId="5670" xr:uid="{00000000-0005-0000-0000-000026160000}"/>
    <cellStyle name="Notas 2 5 7 2" xfId="5671" xr:uid="{00000000-0005-0000-0000-000027160000}"/>
    <cellStyle name="Notas 2 5 7 2 2" xfId="10307" xr:uid="{4E82FB90-B199-4027-B7AD-122C682129FE}"/>
    <cellStyle name="Notas 2 5 7 3" xfId="5672" xr:uid="{00000000-0005-0000-0000-000028160000}"/>
    <cellStyle name="Notas 2 5 7 3 2" xfId="10308" xr:uid="{CD796185-61DC-4854-B2AC-61DF31940C5D}"/>
    <cellStyle name="Notas 2 5 7 4" xfId="5673" xr:uid="{00000000-0005-0000-0000-000029160000}"/>
    <cellStyle name="Notas 2 5 7 4 2" xfId="10309" xr:uid="{D61E8059-61D0-4294-B5CA-555A10951270}"/>
    <cellStyle name="Notas 2 5 7 5" xfId="5674" xr:uid="{00000000-0005-0000-0000-00002A160000}"/>
    <cellStyle name="Notas 2 5 7 5 2" xfId="10310" xr:uid="{3AE24929-6AA1-4D5F-B0B2-7306EF0BEA4F}"/>
    <cellStyle name="Notas 2 5 7 6" xfId="10306" xr:uid="{1AA2B7E9-BE33-4494-82C4-A6BAD192FA15}"/>
    <cellStyle name="Notas 2 5 8" xfId="8942" xr:uid="{7BFF7B0E-98D7-4C23-B777-4FDB6D44CB86}"/>
    <cellStyle name="Notas 2 6" xfId="3716" xr:uid="{00000000-0005-0000-0000-0000840E0000}"/>
    <cellStyle name="Notas 2 6 2" xfId="3717" xr:uid="{00000000-0005-0000-0000-0000850E0000}"/>
    <cellStyle name="Notas 2 6 2 2" xfId="5675" xr:uid="{00000000-0005-0000-0000-00002B160000}"/>
    <cellStyle name="Notas 2 6 2 2 2" xfId="5676" xr:uid="{00000000-0005-0000-0000-00002C160000}"/>
    <cellStyle name="Notas 2 6 2 2 2 2" xfId="10312" xr:uid="{1DCF714C-04D8-47DD-8DD0-28EE1C355651}"/>
    <cellStyle name="Notas 2 6 2 2 3" xfId="10311" xr:uid="{A9E609F2-568F-4282-9603-0794A3B9D0CE}"/>
    <cellStyle name="Notas 2 6 2 3" xfId="5677" xr:uid="{00000000-0005-0000-0000-00002D160000}"/>
    <cellStyle name="Notas 2 6 2 3 2" xfId="5678" xr:uid="{00000000-0005-0000-0000-00002E160000}"/>
    <cellStyle name="Notas 2 6 2 3 2 2" xfId="10314" xr:uid="{150C58D4-2F1A-47FB-9AA1-4A318B3C5CBE}"/>
    <cellStyle name="Notas 2 6 2 3 3" xfId="10313" xr:uid="{AAF9A983-D0F7-4369-AD30-FA9D9CEBB7B6}"/>
    <cellStyle name="Notas 2 6 2 4" xfId="5679" xr:uid="{00000000-0005-0000-0000-00002F160000}"/>
    <cellStyle name="Notas 2 6 2 4 2" xfId="10315" xr:uid="{DDC36C55-2A77-48EE-AADE-1BCFEAA0968A}"/>
    <cellStyle name="Notas 2 6 2 5" xfId="5680" xr:uid="{00000000-0005-0000-0000-000030160000}"/>
    <cellStyle name="Notas 2 6 2 5 2" xfId="10316" xr:uid="{14D37D0B-CE25-426A-9943-1C9621BB4B46}"/>
    <cellStyle name="Notas 2 6 2 6" xfId="5681" xr:uid="{00000000-0005-0000-0000-000031160000}"/>
    <cellStyle name="Notas 2 6 2 6 2" xfId="10317" xr:uid="{2A3D3DB9-E7BC-45D9-803A-7992621D1DF1}"/>
    <cellStyle name="Notas 2 6 2 7" xfId="8946" xr:uid="{A6B4F3D0-5B51-4FB2-817B-1E6C1F3644B7}"/>
    <cellStyle name="Notas 2 6 3" xfId="3718" xr:uid="{00000000-0005-0000-0000-0000860E0000}"/>
    <cellStyle name="Notas 2 6 3 2" xfId="5682" xr:uid="{00000000-0005-0000-0000-000032160000}"/>
    <cellStyle name="Notas 2 6 3 2 2" xfId="10318" xr:uid="{D60A5F4E-E2EF-4429-96B4-620C385839BA}"/>
    <cellStyle name="Notas 2 6 3 3" xfId="5683" xr:uid="{00000000-0005-0000-0000-000033160000}"/>
    <cellStyle name="Notas 2 6 3 3 2" xfId="10319" xr:uid="{C4EA25CC-B41B-45E0-BDD0-1E13487C4A95}"/>
    <cellStyle name="Notas 2 6 3 4" xfId="5684" xr:uid="{00000000-0005-0000-0000-000034160000}"/>
    <cellStyle name="Notas 2 6 3 4 2" xfId="10320" xr:uid="{E873C7C8-C539-49A9-ACF2-50F58838A927}"/>
    <cellStyle name="Notas 2 6 3 5" xfId="5685" xr:uid="{00000000-0005-0000-0000-000035160000}"/>
    <cellStyle name="Notas 2 6 3 5 2" xfId="10321" xr:uid="{8B193BB2-54F8-47CD-8C83-617341B91392}"/>
    <cellStyle name="Notas 2 6 3 6" xfId="5686" xr:uid="{00000000-0005-0000-0000-000036160000}"/>
    <cellStyle name="Notas 2 6 3 6 2" xfId="10322" xr:uid="{C69CA799-517F-4B63-A290-002DB2D284FA}"/>
    <cellStyle name="Notas 2 6 3 7" xfId="8947" xr:uid="{28559916-8BD3-428D-81CB-15E9A8D5D2CF}"/>
    <cellStyle name="Notas 2 6 4" xfId="5687" xr:uid="{00000000-0005-0000-0000-000037160000}"/>
    <cellStyle name="Notas 2 6 4 2" xfId="5688" xr:uid="{00000000-0005-0000-0000-000038160000}"/>
    <cellStyle name="Notas 2 6 4 2 2" xfId="10324" xr:uid="{8473318E-41BD-479F-AB64-952140C60249}"/>
    <cellStyle name="Notas 2 6 4 3" xfId="5689" xr:uid="{00000000-0005-0000-0000-000039160000}"/>
    <cellStyle name="Notas 2 6 4 3 2" xfId="10325" xr:uid="{279785DD-BE34-421F-860D-8618D21A5C8B}"/>
    <cellStyle name="Notas 2 6 4 4" xfId="5690" xr:uid="{00000000-0005-0000-0000-00003A160000}"/>
    <cellStyle name="Notas 2 6 4 4 2" xfId="10326" xr:uid="{288F58C0-3862-4FD7-B5BD-030E37CDB7B8}"/>
    <cellStyle name="Notas 2 6 4 5" xfId="5691" xr:uid="{00000000-0005-0000-0000-00003B160000}"/>
    <cellStyle name="Notas 2 6 4 5 2" xfId="10327" xr:uid="{5D389B29-47BD-4F76-B1AF-4B8930531A76}"/>
    <cellStyle name="Notas 2 6 4 6" xfId="10323" xr:uid="{64F0AA7C-033C-45D6-8698-45A18AC75E1C}"/>
    <cellStyle name="Notas 2 6 5" xfId="5692" xr:uid="{00000000-0005-0000-0000-00003C160000}"/>
    <cellStyle name="Notas 2 6 5 2" xfId="5693" xr:uid="{00000000-0005-0000-0000-00003D160000}"/>
    <cellStyle name="Notas 2 6 5 2 2" xfId="10329" xr:uid="{5D626283-D055-4D15-8F67-174CFB11BFCC}"/>
    <cellStyle name="Notas 2 6 5 3" xfId="5694" xr:uid="{00000000-0005-0000-0000-00003E160000}"/>
    <cellStyle name="Notas 2 6 5 3 2" xfId="10330" xr:uid="{DEA1FB6D-874B-4600-B5E8-FC9892B8F634}"/>
    <cellStyle name="Notas 2 6 5 4" xfId="5695" xr:uid="{00000000-0005-0000-0000-00003F160000}"/>
    <cellStyle name="Notas 2 6 5 4 2" xfId="10331" xr:uid="{C0E431EA-CBD7-427F-9556-9D0FE0764ABA}"/>
    <cellStyle name="Notas 2 6 5 5" xfId="5696" xr:uid="{00000000-0005-0000-0000-000040160000}"/>
    <cellStyle name="Notas 2 6 5 5 2" xfId="10332" xr:uid="{19EA1A5D-02F8-400C-B3B0-FB6418D2EBF4}"/>
    <cellStyle name="Notas 2 6 5 6" xfId="10328" xr:uid="{B80AE73C-33CD-4636-8060-B92E4A0080ED}"/>
    <cellStyle name="Notas 2 6 6" xfId="5697" xr:uid="{00000000-0005-0000-0000-000041160000}"/>
    <cellStyle name="Notas 2 6 6 2" xfId="5698" xr:uid="{00000000-0005-0000-0000-000042160000}"/>
    <cellStyle name="Notas 2 6 6 2 2" xfId="10334" xr:uid="{1C9867A9-017F-473C-85FB-1BBD2DE0DED8}"/>
    <cellStyle name="Notas 2 6 6 3" xfId="5699" xr:uid="{00000000-0005-0000-0000-000043160000}"/>
    <cellStyle name="Notas 2 6 6 3 2" xfId="10335" xr:uid="{53D5FA26-CC25-4359-89DB-2A048B65F651}"/>
    <cellStyle name="Notas 2 6 6 4" xfId="5700" xr:uid="{00000000-0005-0000-0000-000044160000}"/>
    <cellStyle name="Notas 2 6 6 4 2" xfId="10336" xr:uid="{3290B20D-193A-480F-8FFA-200BB9BE6FFE}"/>
    <cellStyle name="Notas 2 6 6 5" xfId="5701" xr:uid="{00000000-0005-0000-0000-000045160000}"/>
    <cellStyle name="Notas 2 6 6 5 2" xfId="10337" xr:uid="{BD722DD0-F73B-4811-A207-0F8DA027308B}"/>
    <cellStyle name="Notas 2 6 6 6" xfId="10333" xr:uid="{AE4789FD-FBE1-4C4D-98C7-BB0951F5FD5B}"/>
    <cellStyle name="Notas 2 6 7" xfId="5702" xr:uid="{00000000-0005-0000-0000-000046160000}"/>
    <cellStyle name="Notas 2 6 7 2" xfId="5703" xr:uid="{00000000-0005-0000-0000-000047160000}"/>
    <cellStyle name="Notas 2 6 7 2 2" xfId="10339" xr:uid="{BB5E4CA5-E1AF-4898-87C8-4242F42ABC76}"/>
    <cellStyle name="Notas 2 6 7 3" xfId="5704" xr:uid="{00000000-0005-0000-0000-000048160000}"/>
    <cellStyle name="Notas 2 6 7 3 2" xfId="10340" xr:uid="{812BDAE2-3339-4F5F-B0E2-50E745F1DA35}"/>
    <cellStyle name="Notas 2 6 7 4" xfId="5705" xr:uid="{00000000-0005-0000-0000-000049160000}"/>
    <cellStyle name="Notas 2 6 7 4 2" xfId="10341" xr:uid="{9D3B46A0-3367-4565-9DE1-17494C44D1BB}"/>
    <cellStyle name="Notas 2 6 7 5" xfId="5706" xr:uid="{00000000-0005-0000-0000-00004A160000}"/>
    <cellStyle name="Notas 2 6 7 5 2" xfId="10342" xr:uid="{6A542A45-CD70-49BE-91D4-F4A0215E51A3}"/>
    <cellStyle name="Notas 2 6 7 6" xfId="10338" xr:uid="{7BF3FB20-B137-49DE-9554-0B2E8D54D65B}"/>
    <cellStyle name="Notas 2 6 8" xfId="8945" xr:uid="{C28B52AB-3E1A-4FA4-83B4-50BFE2383478}"/>
    <cellStyle name="Notas 2 7" xfId="3719" xr:uid="{00000000-0005-0000-0000-0000870E0000}"/>
    <cellStyle name="Notas 2 7 2" xfId="3720" xr:uid="{00000000-0005-0000-0000-0000880E0000}"/>
    <cellStyle name="Notas 2 7 2 2" xfId="5707" xr:uid="{00000000-0005-0000-0000-00004B160000}"/>
    <cellStyle name="Notas 2 7 2 2 2" xfId="5708" xr:uid="{00000000-0005-0000-0000-00004C160000}"/>
    <cellStyle name="Notas 2 7 2 2 2 2" xfId="10344" xr:uid="{2DCAC102-3BD6-4F9E-8DF7-4102C9A4020A}"/>
    <cellStyle name="Notas 2 7 2 2 3" xfId="10343" xr:uid="{D20036B8-599D-4EFD-86D3-E6875D9BFACE}"/>
    <cellStyle name="Notas 2 7 2 3" xfId="5709" xr:uid="{00000000-0005-0000-0000-00004D160000}"/>
    <cellStyle name="Notas 2 7 2 3 2" xfId="5710" xr:uid="{00000000-0005-0000-0000-00004E160000}"/>
    <cellStyle name="Notas 2 7 2 3 2 2" xfId="10346" xr:uid="{3EBC2800-BAC0-4970-AD3E-A7742033A944}"/>
    <cellStyle name="Notas 2 7 2 3 3" xfId="10345" xr:uid="{447BD662-8425-45C8-B711-63F0FC23816B}"/>
    <cellStyle name="Notas 2 7 2 4" xfId="5711" xr:uid="{00000000-0005-0000-0000-00004F160000}"/>
    <cellStyle name="Notas 2 7 2 4 2" xfId="10347" xr:uid="{5CB6AE2A-5791-424C-8AB4-1E4AE77B0F71}"/>
    <cellStyle name="Notas 2 7 2 5" xfId="5712" xr:uid="{00000000-0005-0000-0000-000050160000}"/>
    <cellStyle name="Notas 2 7 2 5 2" xfId="10348" xr:uid="{AEE8ADB4-1BA9-4F65-ADA3-1B511119D0AA}"/>
    <cellStyle name="Notas 2 7 2 6" xfId="5713" xr:uid="{00000000-0005-0000-0000-000051160000}"/>
    <cellStyle name="Notas 2 7 2 6 2" xfId="10349" xr:uid="{D2966D2D-6CBC-49EC-8D00-081B45C3AA6B}"/>
    <cellStyle name="Notas 2 7 2 7" xfId="8949" xr:uid="{5BD0D1CF-1EEC-4410-BD58-31E313931B51}"/>
    <cellStyle name="Notas 2 7 3" xfId="3721" xr:uid="{00000000-0005-0000-0000-0000890E0000}"/>
    <cellStyle name="Notas 2 7 3 2" xfId="5714" xr:uid="{00000000-0005-0000-0000-000052160000}"/>
    <cellStyle name="Notas 2 7 3 2 2" xfId="10350" xr:uid="{39A3524F-0603-41DD-AF0A-2BC4FEE5BD77}"/>
    <cellStyle name="Notas 2 7 3 3" xfId="5715" xr:uid="{00000000-0005-0000-0000-000053160000}"/>
    <cellStyle name="Notas 2 7 3 3 2" xfId="10351" xr:uid="{9B5329E4-E7A9-4550-A74F-F18A912257AD}"/>
    <cellStyle name="Notas 2 7 3 4" xfId="5716" xr:uid="{00000000-0005-0000-0000-000054160000}"/>
    <cellStyle name="Notas 2 7 3 4 2" xfId="10352" xr:uid="{DE492075-E782-4FB5-9958-7F2B916B77CB}"/>
    <cellStyle name="Notas 2 7 3 5" xfId="5717" xr:uid="{00000000-0005-0000-0000-000055160000}"/>
    <cellStyle name="Notas 2 7 3 5 2" xfId="10353" xr:uid="{445D56A4-F1D3-4BC1-94A4-CBD2A4445970}"/>
    <cellStyle name="Notas 2 7 3 6" xfId="5718" xr:uid="{00000000-0005-0000-0000-000056160000}"/>
    <cellStyle name="Notas 2 7 3 6 2" xfId="10354" xr:uid="{EFC2B27B-43C5-4087-B5A0-8BF6D4786155}"/>
    <cellStyle name="Notas 2 7 3 7" xfId="8950" xr:uid="{02B0F5C1-21AE-4C49-8581-F772A04DFC72}"/>
    <cellStyle name="Notas 2 7 4" xfId="5719" xr:uid="{00000000-0005-0000-0000-000057160000}"/>
    <cellStyle name="Notas 2 7 4 2" xfId="5720" xr:uid="{00000000-0005-0000-0000-000058160000}"/>
    <cellStyle name="Notas 2 7 4 2 2" xfId="10356" xr:uid="{A33E90ED-7F25-4A26-ABC3-5EEF072E74C4}"/>
    <cellStyle name="Notas 2 7 4 3" xfId="5721" xr:uid="{00000000-0005-0000-0000-000059160000}"/>
    <cellStyle name="Notas 2 7 4 3 2" xfId="10357" xr:uid="{217304BD-1534-40B0-83DB-EB7CF7CCF8C8}"/>
    <cellStyle name="Notas 2 7 4 4" xfId="5722" xr:uid="{00000000-0005-0000-0000-00005A160000}"/>
    <cellStyle name="Notas 2 7 4 4 2" xfId="10358" xr:uid="{FA0D0F79-5F19-46E1-A5E8-FDF9909D39D8}"/>
    <cellStyle name="Notas 2 7 4 5" xfId="5723" xr:uid="{00000000-0005-0000-0000-00005B160000}"/>
    <cellStyle name="Notas 2 7 4 5 2" xfId="10359" xr:uid="{0DF7880C-F549-4134-8708-14A4F64A356C}"/>
    <cellStyle name="Notas 2 7 4 6" xfId="10355" xr:uid="{9466F1A8-2B49-4FFB-AB3C-9867F2D01BB1}"/>
    <cellStyle name="Notas 2 7 5" xfId="5724" xr:uid="{00000000-0005-0000-0000-00005C160000}"/>
    <cellStyle name="Notas 2 7 5 2" xfId="5725" xr:uid="{00000000-0005-0000-0000-00005D160000}"/>
    <cellStyle name="Notas 2 7 5 2 2" xfId="10361" xr:uid="{E9737167-8CE1-4F96-98E5-79B50CADD318}"/>
    <cellStyle name="Notas 2 7 5 3" xfId="5726" xr:uid="{00000000-0005-0000-0000-00005E160000}"/>
    <cellStyle name="Notas 2 7 5 3 2" xfId="10362" xr:uid="{EED70C77-3319-473D-A38C-11BC9A783DD7}"/>
    <cellStyle name="Notas 2 7 5 4" xfId="5727" xr:uid="{00000000-0005-0000-0000-00005F160000}"/>
    <cellStyle name="Notas 2 7 5 4 2" xfId="10363" xr:uid="{E1D41367-2F49-4F1A-97DB-4E666606D385}"/>
    <cellStyle name="Notas 2 7 5 5" xfId="5728" xr:uid="{00000000-0005-0000-0000-000060160000}"/>
    <cellStyle name="Notas 2 7 5 5 2" xfId="10364" xr:uid="{4A8435DB-0165-43A8-9EF5-16A8A6375B24}"/>
    <cellStyle name="Notas 2 7 5 6" xfId="10360" xr:uid="{5C9A01C3-F939-4C33-BD2D-FB370F6F17AE}"/>
    <cellStyle name="Notas 2 7 6" xfId="5729" xr:uid="{00000000-0005-0000-0000-000061160000}"/>
    <cellStyle name="Notas 2 7 6 2" xfId="5730" xr:uid="{00000000-0005-0000-0000-000062160000}"/>
    <cellStyle name="Notas 2 7 6 2 2" xfId="10366" xr:uid="{DE190194-3989-4DF3-BE17-C22F6140D744}"/>
    <cellStyle name="Notas 2 7 6 3" xfId="5731" xr:uid="{00000000-0005-0000-0000-000063160000}"/>
    <cellStyle name="Notas 2 7 6 3 2" xfId="10367" xr:uid="{8B63647C-870A-4BE6-93D0-1A5A0CE6C797}"/>
    <cellStyle name="Notas 2 7 6 4" xfId="5732" xr:uid="{00000000-0005-0000-0000-000064160000}"/>
    <cellStyle name="Notas 2 7 6 4 2" xfId="10368" xr:uid="{33AAA050-7813-4AB0-8075-5C130226433D}"/>
    <cellStyle name="Notas 2 7 6 5" xfId="5733" xr:uid="{00000000-0005-0000-0000-000065160000}"/>
    <cellStyle name="Notas 2 7 6 5 2" xfId="10369" xr:uid="{E0F6D358-6EE9-4B41-A918-63F1FC4865D9}"/>
    <cellStyle name="Notas 2 7 6 6" xfId="10365" xr:uid="{AC81F02C-C0E0-4F6A-B955-090CA7B99B09}"/>
    <cellStyle name="Notas 2 7 7" xfId="5734" xr:uid="{00000000-0005-0000-0000-000066160000}"/>
    <cellStyle name="Notas 2 7 7 2" xfId="5735" xr:uid="{00000000-0005-0000-0000-000067160000}"/>
    <cellStyle name="Notas 2 7 7 2 2" xfId="10371" xr:uid="{708907A7-8FB2-4E41-9F9F-EA61215B0C42}"/>
    <cellStyle name="Notas 2 7 7 3" xfId="5736" xr:uid="{00000000-0005-0000-0000-000068160000}"/>
    <cellStyle name="Notas 2 7 7 3 2" xfId="10372" xr:uid="{900069EA-0528-446C-BDC1-CAB4075841CB}"/>
    <cellStyle name="Notas 2 7 7 4" xfId="5737" xr:uid="{00000000-0005-0000-0000-000069160000}"/>
    <cellStyle name="Notas 2 7 7 4 2" xfId="10373" xr:uid="{C8ABCF98-2530-4D62-834A-09424D40DF56}"/>
    <cellStyle name="Notas 2 7 7 5" xfId="5738" xr:uid="{00000000-0005-0000-0000-00006A160000}"/>
    <cellStyle name="Notas 2 7 7 5 2" xfId="10374" xr:uid="{D83D9FE3-A216-490E-B73C-961C28DA2C56}"/>
    <cellStyle name="Notas 2 7 7 6" xfId="10370" xr:uid="{A059D5F4-0083-4DAA-B7C6-AFD24B74AF80}"/>
    <cellStyle name="Notas 2 7 8" xfId="8948" xr:uid="{253FF571-9B45-4051-A0A4-02FDB6EED1C5}"/>
    <cellStyle name="Notas 2 8" xfId="3722" xr:uid="{00000000-0005-0000-0000-00008A0E0000}"/>
    <cellStyle name="Notas 2 8 2" xfId="3723" xr:uid="{00000000-0005-0000-0000-00008B0E0000}"/>
    <cellStyle name="Notas 2 8 2 2" xfId="5739" xr:uid="{00000000-0005-0000-0000-00006B160000}"/>
    <cellStyle name="Notas 2 8 2 2 2" xfId="5740" xr:uid="{00000000-0005-0000-0000-00006C160000}"/>
    <cellStyle name="Notas 2 8 2 2 2 2" xfId="10376" xr:uid="{90B003A0-53C5-4D1D-A8FC-0D5AECCAF47A}"/>
    <cellStyle name="Notas 2 8 2 2 3" xfId="10375" xr:uid="{C3143ABE-FB0A-4A9C-AC72-25501039F663}"/>
    <cellStyle name="Notas 2 8 2 3" xfId="5741" xr:uid="{00000000-0005-0000-0000-00006D160000}"/>
    <cellStyle name="Notas 2 8 2 3 2" xfId="5742" xr:uid="{00000000-0005-0000-0000-00006E160000}"/>
    <cellStyle name="Notas 2 8 2 3 2 2" xfId="10378" xr:uid="{B90EAF69-BF81-4CCA-B862-C04D9D54A3E9}"/>
    <cellStyle name="Notas 2 8 2 3 3" xfId="10377" xr:uid="{1D53AFE5-6DB7-45B4-BA69-10F58345F632}"/>
    <cellStyle name="Notas 2 8 2 4" xfId="5743" xr:uid="{00000000-0005-0000-0000-00006F160000}"/>
    <cellStyle name="Notas 2 8 2 4 2" xfId="10379" xr:uid="{D0DFD50F-DA8F-4280-A1CB-6D3CD19E1DAA}"/>
    <cellStyle name="Notas 2 8 2 5" xfId="5744" xr:uid="{00000000-0005-0000-0000-000070160000}"/>
    <cellStyle name="Notas 2 8 2 5 2" xfId="10380" xr:uid="{FE78730A-42AC-47E6-8672-3A62D2B5120C}"/>
    <cellStyle name="Notas 2 8 2 6" xfId="5745" xr:uid="{00000000-0005-0000-0000-000071160000}"/>
    <cellStyle name="Notas 2 8 2 6 2" xfId="10381" xr:uid="{BB2C8A4F-A240-441F-BF2D-CEF4B9694D8E}"/>
    <cellStyle name="Notas 2 8 2 7" xfId="8952" xr:uid="{E0B967FA-35CC-4AB0-B34F-B886B2E8A14D}"/>
    <cellStyle name="Notas 2 8 3" xfId="3724" xr:uid="{00000000-0005-0000-0000-00008C0E0000}"/>
    <cellStyle name="Notas 2 8 3 2" xfId="5746" xr:uid="{00000000-0005-0000-0000-000072160000}"/>
    <cellStyle name="Notas 2 8 3 2 2" xfId="10382" xr:uid="{125E60BA-DB8A-4CAC-9FD4-2FBBC1B76F25}"/>
    <cellStyle name="Notas 2 8 3 3" xfId="5747" xr:uid="{00000000-0005-0000-0000-000073160000}"/>
    <cellStyle name="Notas 2 8 3 3 2" xfId="10383" xr:uid="{EAD9EE57-ED28-44ED-A533-0DEF95AD08CF}"/>
    <cellStyle name="Notas 2 8 3 4" xfId="5748" xr:uid="{00000000-0005-0000-0000-000074160000}"/>
    <cellStyle name="Notas 2 8 3 4 2" xfId="10384" xr:uid="{0F1AB846-A3EC-4936-BA9B-2A5C978710A8}"/>
    <cellStyle name="Notas 2 8 3 5" xfId="5749" xr:uid="{00000000-0005-0000-0000-000075160000}"/>
    <cellStyle name="Notas 2 8 3 5 2" xfId="10385" xr:uid="{13FF77C6-054C-488E-B2F1-F13FE4C7E3D6}"/>
    <cellStyle name="Notas 2 8 3 6" xfId="5750" xr:uid="{00000000-0005-0000-0000-000076160000}"/>
    <cellStyle name="Notas 2 8 3 6 2" xfId="10386" xr:uid="{DBC5890C-C017-4550-8C7B-06AAC48E30C4}"/>
    <cellStyle name="Notas 2 8 3 7" xfId="8953" xr:uid="{E4E0FE60-CFE1-4EEE-BD13-1BCD585871E3}"/>
    <cellStyle name="Notas 2 8 4" xfId="5751" xr:uid="{00000000-0005-0000-0000-000077160000}"/>
    <cellStyle name="Notas 2 8 4 2" xfId="5752" xr:uid="{00000000-0005-0000-0000-000078160000}"/>
    <cellStyle name="Notas 2 8 4 2 2" xfId="10388" xr:uid="{0EF455F7-F1B2-4E66-B510-C11A9E49F28A}"/>
    <cellStyle name="Notas 2 8 4 3" xfId="5753" xr:uid="{00000000-0005-0000-0000-000079160000}"/>
    <cellStyle name="Notas 2 8 4 3 2" xfId="10389" xr:uid="{DC9F247C-761A-4BF5-ADD4-FD6196597516}"/>
    <cellStyle name="Notas 2 8 4 4" xfId="5754" xr:uid="{00000000-0005-0000-0000-00007A160000}"/>
    <cellStyle name="Notas 2 8 4 4 2" xfId="10390" xr:uid="{577BEB0C-839C-412A-B112-ABDF9B2135F4}"/>
    <cellStyle name="Notas 2 8 4 5" xfId="5755" xr:uid="{00000000-0005-0000-0000-00007B160000}"/>
    <cellStyle name="Notas 2 8 4 5 2" xfId="10391" xr:uid="{84CFE09B-81CE-4B32-BAB2-BECEB92E96A9}"/>
    <cellStyle name="Notas 2 8 4 6" xfId="10387" xr:uid="{BA4BABE8-7D9F-471A-8356-9C7E96D7A74F}"/>
    <cellStyle name="Notas 2 8 5" xfId="5756" xr:uid="{00000000-0005-0000-0000-00007C160000}"/>
    <cellStyle name="Notas 2 8 5 2" xfId="5757" xr:uid="{00000000-0005-0000-0000-00007D160000}"/>
    <cellStyle name="Notas 2 8 5 2 2" xfId="10393" xr:uid="{433841D7-0A44-4403-B850-F7D85E980DBE}"/>
    <cellStyle name="Notas 2 8 5 3" xfId="5758" xr:uid="{00000000-0005-0000-0000-00007E160000}"/>
    <cellStyle name="Notas 2 8 5 3 2" xfId="10394" xr:uid="{06A98D0A-1E3A-4B93-9AF6-00980BD6B889}"/>
    <cellStyle name="Notas 2 8 5 4" xfId="5759" xr:uid="{00000000-0005-0000-0000-00007F160000}"/>
    <cellStyle name="Notas 2 8 5 4 2" xfId="10395" xr:uid="{8AC7E25C-9815-44DE-A8A7-020128DD089A}"/>
    <cellStyle name="Notas 2 8 5 5" xfId="5760" xr:uid="{00000000-0005-0000-0000-000080160000}"/>
    <cellStyle name="Notas 2 8 5 5 2" xfId="10396" xr:uid="{5C25AA89-22DC-4049-9FAC-2A8881E96AE4}"/>
    <cellStyle name="Notas 2 8 5 6" xfId="10392" xr:uid="{3477DA93-47AE-40B6-92A3-E171028BD046}"/>
    <cellStyle name="Notas 2 8 6" xfId="5761" xr:uid="{00000000-0005-0000-0000-000081160000}"/>
    <cellStyle name="Notas 2 8 6 2" xfId="5762" xr:uid="{00000000-0005-0000-0000-000082160000}"/>
    <cellStyle name="Notas 2 8 6 2 2" xfId="10398" xr:uid="{3949A5C4-FD2B-462E-AD44-281FCD526179}"/>
    <cellStyle name="Notas 2 8 6 3" xfId="5763" xr:uid="{00000000-0005-0000-0000-000083160000}"/>
    <cellStyle name="Notas 2 8 6 3 2" xfId="10399" xr:uid="{2005B1B6-402C-4E31-9DA3-71ADEC4078DE}"/>
    <cellStyle name="Notas 2 8 6 4" xfId="5764" xr:uid="{00000000-0005-0000-0000-000084160000}"/>
    <cellStyle name="Notas 2 8 6 4 2" xfId="10400" xr:uid="{83C2BBED-613E-43CF-BACF-5CBC459D2945}"/>
    <cellStyle name="Notas 2 8 6 5" xfId="5765" xr:uid="{00000000-0005-0000-0000-000085160000}"/>
    <cellStyle name="Notas 2 8 6 5 2" xfId="10401" xr:uid="{FD0CDB48-1C54-4FCA-9C6C-D78A1ADC0E6A}"/>
    <cellStyle name="Notas 2 8 6 6" xfId="10397" xr:uid="{205517C0-2FE7-4434-BE5F-6E19052CE54D}"/>
    <cellStyle name="Notas 2 8 7" xfId="5766" xr:uid="{00000000-0005-0000-0000-000086160000}"/>
    <cellStyle name="Notas 2 8 7 2" xfId="5767" xr:uid="{00000000-0005-0000-0000-000087160000}"/>
    <cellStyle name="Notas 2 8 7 2 2" xfId="10403" xr:uid="{17C713F5-9549-468A-89D7-446F2E4ED3B7}"/>
    <cellStyle name="Notas 2 8 7 3" xfId="5768" xr:uid="{00000000-0005-0000-0000-000088160000}"/>
    <cellStyle name="Notas 2 8 7 3 2" xfId="10404" xr:uid="{A9298AAB-11E1-4448-B2B0-0F7C9179DB39}"/>
    <cellStyle name="Notas 2 8 7 4" xfId="5769" xr:uid="{00000000-0005-0000-0000-000089160000}"/>
    <cellStyle name="Notas 2 8 7 4 2" xfId="10405" xr:uid="{45085549-0631-487E-9ACC-7D5157BC22F9}"/>
    <cellStyle name="Notas 2 8 7 5" xfId="5770" xr:uid="{00000000-0005-0000-0000-00008A160000}"/>
    <cellStyle name="Notas 2 8 7 5 2" xfId="10406" xr:uid="{835D66B2-58C1-469D-B26E-FEB9BE22DB27}"/>
    <cellStyle name="Notas 2 8 7 6" xfId="10402" xr:uid="{0781F12E-C292-4E4C-AC4A-4DF9F773A799}"/>
    <cellStyle name="Notas 2 8 8" xfId="8951" xr:uid="{981F37DE-2C93-48CC-BF6B-F871A8F4456C}"/>
    <cellStyle name="Notas 2 9" xfId="3725" xr:uid="{00000000-0005-0000-0000-00008D0E0000}"/>
    <cellStyle name="Notas 2 9 2" xfId="3726" xr:uid="{00000000-0005-0000-0000-00008E0E0000}"/>
    <cellStyle name="Notas 2 9 2 2" xfId="5771" xr:uid="{00000000-0005-0000-0000-00008B160000}"/>
    <cellStyle name="Notas 2 9 2 2 2" xfId="5772" xr:uid="{00000000-0005-0000-0000-00008C160000}"/>
    <cellStyle name="Notas 2 9 2 2 2 2" xfId="10408" xr:uid="{085BFBE2-D87D-467F-996E-28BFE9259637}"/>
    <cellStyle name="Notas 2 9 2 2 3" xfId="10407" xr:uid="{E34B1F57-319C-4790-8CAB-1CB7ABDD8103}"/>
    <cellStyle name="Notas 2 9 2 3" xfId="5773" xr:uid="{00000000-0005-0000-0000-00008D160000}"/>
    <cellStyle name="Notas 2 9 2 3 2" xfId="5774" xr:uid="{00000000-0005-0000-0000-00008E160000}"/>
    <cellStyle name="Notas 2 9 2 3 2 2" xfId="10410" xr:uid="{62E5F8B1-B588-41E2-ADAC-5E434D4B7DE6}"/>
    <cellStyle name="Notas 2 9 2 3 3" xfId="10409" xr:uid="{97606480-65A9-4B7C-96F6-DC54C681C640}"/>
    <cellStyle name="Notas 2 9 2 4" xfId="5775" xr:uid="{00000000-0005-0000-0000-00008F160000}"/>
    <cellStyle name="Notas 2 9 2 4 2" xfId="10411" xr:uid="{EAD33F80-495D-43F7-9D46-E5BAA2A1F62F}"/>
    <cellStyle name="Notas 2 9 2 5" xfId="5776" xr:uid="{00000000-0005-0000-0000-000090160000}"/>
    <cellStyle name="Notas 2 9 2 5 2" xfId="10412" xr:uid="{FA01754D-C654-4FE3-B7B8-7768ADB8A90D}"/>
    <cellStyle name="Notas 2 9 2 6" xfId="5777" xr:uid="{00000000-0005-0000-0000-000091160000}"/>
    <cellStyle name="Notas 2 9 2 6 2" xfId="10413" xr:uid="{2419F670-77EA-4BD7-B8BA-3A03C4CA3CA4}"/>
    <cellStyle name="Notas 2 9 2 7" xfId="8955" xr:uid="{5CAEF52D-D4A8-4963-A3EA-BFE8A665D0D4}"/>
    <cellStyle name="Notas 2 9 3" xfId="3727" xr:uid="{00000000-0005-0000-0000-00008F0E0000}"/>
    <cellStyle name="Notas 2 9 3 2" xfId="5778" xr:uid="{00000000-0005-0000-0000-000092160000}"/>
    <cellStyle name="Notas 2 9 3 2 2" xfId="10414" xr:uid="{8F79D086-9A35-4B04-BB2F-0B926474519A}"/>
    <cellStyle name="Notas 2 9 3 3" xfId="5779" xr:uid="{00000000-0005-0000-0000-000093160000}"/>
    <cellStyle name="Notas 2 9 3 3 2" xfId="10415" xr:uid="{A4FE10B7-21E8-42C5-9097-4A1BAEB9B81C}"/>
    <cellStyle name="Notas 2 9 3 4" xfId="5780" xr:uid="{00000000-0005-0000-0000-000094160000}"/>
    <cellStyle name="Notas 2 9 3 4 2" xfId="10416" xr:uid="{3E42C837-5BF1-437E-8EE4-71E7CCAD3D6B}"/>
    <cellStyle name="Notas 2 9 3 5" xfId="5781" xr:uid="{00000000-0005-0000-0000-000095160000}"/>
    <cellStyle name="Notas 2 9 3 5 2" xfId="10417" xr:uid="{A6666BF1-687F-4A0A-9DC2-E8358E753A16}"/>
    <cellStyle name="Notas 2 9 3 6" xfId="5782" xr:uid="{00000000-0005-0000-0000-000096160000}"/>
    <cellStyle name="Notas 2 9 3 6 2" xfId="10418" xr:uid="{CE83CE79-058A-4A25-95C8-9178C11706EC}"/>
    <cellStyle name="Notas 2 9 3 7" xfId="8956" xr:uid="{295CBD4C-EA00-43E3-919D-19C78158EC76}"/>
    <cellStyle name="Notas 2 9 4" xfId="5783" xr:uid="{00000000-0005-0000-0000-000097160000}"/>
    <cellStyle name="Notas 2 9 4 2" xfId="5784" xr:uid="{00000000-0005-0000-0000-000098160000}"/>
    <cellStyle name="Notas 2 9 4 2 2" xfId="10420" xr:uid="{3D4FF8B4-C23E-46A1-9405-A5AB74BB86F7}"/>
    <cellStyle name="Notas 2 9 4 3" xfId="5785" xr:uid="{00000000-0005-0000-0000-000099160000}"/>
    <cellStyle name="Notas 2 9 4 3 2" xfId="10421" xr:uid="{7E587062-2150-44F1-A062-99EBDF5AF4DE}"/>
    <cellStyle name="Notas 2 9 4 4" xfId="5786" xr:uid="{00000000-0005-0000-0000-00009A160000}"/>
    <cellStyle name="Notas 2 9 4 4 2" xfId="10422" xr:uid="{915E8263-0204-4580-9DB5-47BA617BBE4C}"/>
    <cellStyle name="Notas 2 9 4 5" xfId="5787" xr:uid="{00000000-0005-0000-0000-00009B160000}"/>
    <cellStyle name="Notas 2 9 4 5 2" xfId="10423" xr:uid="{8A4917F0-A319-4702-BC0F-885B699D44B4}"/>
    <cellStyle name="Notas 2 9 4 6" xfId="10419" xr:uid="{0D20930B-3D73-4E28-AE74-E3A973903462}"/>
    <cellStyle name="Notas 2 9 5" xfId="5788" xr:uid="{00000000-0005-0000-0000-00009C160000}"/>
    <cellStyle name="Notas 2 9 5 2" xfId="5789" xr:uid="{00000000-0005-0000-0000-00009D160000}"/>
    <cellStyle name="Notas 2 9 5 2 2" xfId="10425" xr:uid="{F026A311-2BCE-4ED3-8337-3D7CC76DB8C7}"/>
    <cellStyle name="Notas 2 9 5 3" xfId="5790" xr:uid="{00000000-0005-0000-0000-00009E160000}"/>
    <cellStyle name="Notas 2 9 5 3 2" xfId="10426" xr:uid="{F1E840AC-C8BD-457F-A215-D50279FD001C}"/>
    <cellStyle name="Notas 2 9 5 4" xfId="5791" xr:uid="{00000000-0005-0000-0000-00009F160000}"/>
    <cellStyle name="Notas 2 9 5 4 2" xfId="10427" xr:uid="{D03F98EF-F1C7-41AC-9575-E16E84265B15}"/>
    <cellStyle name="Notas 2 9 5 5" xfId="5792" xr:uid="{00000000-0005-0000-0000-0000A0160000}"/>
    <cellStyle name="Notas 2 9 5 5 2" xfId="10428" xr:uid="{3DB62413-0AC9-4F96-934D-C76D7DBFCC71}"/>
    <cellStyle name="Notas 2 9 5 6" xfId="10424" xr:uid="{66712178-2F96-457B-B152-48F63D04018A}"/>
    <cellStyle name="Notas 2 9 6" xfId="5793" xr:uid="{00000000-0005-0000-0000-0000A1160000}"/>
    <cellStyle name="Notas 2 9 6 2" xfId="5794" xr:uid="{00000000-0005-0000-0000-0000A2160000}"/>
    <cellStyle name="Notas 2 9 6 2 2" xfId="10430" xr:uid="{6C947715-0AF9-467E-B121-EC135B3B8468}"/>
    <cellStyle name="Notas 2 9 6 3" xfId="5795" xr:uid="{00000000-0005-0000-0000-0000A3160000}"/>
    <cellStyle name="Notas 2 9 6 3 2" xfId="10431" xr:uid="{69CFAEC5-BCEB-4EEC-B4D6-06B453855ACE}"/>
    <cellStyle name="Notas 2 9 6 4" xfId="5796" xr:uid="{00000000-0005-0000-0000-0000A4160000}"/>
    <cellStyle name="Notas 2 9 6 4 2" xfId="10432" xr:uid="{444AF278-00A4-47A3-9EB5-35E86B496E73}"/>
    <cellStyle name="Notas 2 9 6 5" xfId="5797" xr:uid="{00000000-0005-0000-0000-0000A5160000}"/>
    <cellStyle name="Notas 2 9 6 5 2" xfId="10433" xr:uid="{3A34CDAC-3142-4D61-8518-1B863AB0CA2D}"/>
    <cellStyle name="Notas 2 9 6 6" xfId="10429" xr:uid="{53EE3AB2-D21F-45BF-834E-2C6A4A674BA1}"/>
    <cellStyle name="Notas 2 9 7" xfId="5798" xr:uid="{00000000-0005-0000-0000-0000A6160000}"/>
    <cellStyle name="Notas 2 9 7 2" xfId="5799" xr:uid="{00000000-0005-0000-0000-0000A7160000}"/>
    <cellStyle name="Notas 2 9 7 2 2" xfId="10435" xr:uid="{72C3BE7C-8CBC-4C62-B166-650C09F5BF45}"/>
    <cellStyle name="Notas 2 9 7 3" xfId="5800" xr:uid="{00000000-0005-0000-0000-0000A8160000}"/>
    <cellStyle name="Notas 2 9 7 3 2" xfId="10436" xr:uid="{D1C7B42B-B4E9-4AC6-95E1-12CD05F48956}"/>
    <cellStyle name="Notas 2 9 7 4" xfId="5801" xr:uid="{00000000-0005-0000-0000-0000A9160000}"/>
    <cellStyle name="Notas 2 9 7 4 2" xfId="10437" xr:uid="{01A63514-6B0B-4113-849C-C6739CD9314F}"/>
    <cellStyle name="Notas 2 9 7 5" xfId="5802" xr:uid="{00000000-0005-0000-0000-0000AA160000}"/>
    <cellStyle name="Notas 2 9 7 5 2" xfId="10438" xr:uid="{397D6CCF-33C1-4D1B-B488-B72B557D4EF8}"/>
    <cellStyle name="Notas 2 9 7 6" xfId="10434" xr:uid="{326D02A4-B058-4DA5-ACAF-14682658CF73}"/>
    <cellStyle name="Notas 2 9 8" xfId="8954" xr:uid="{E8CFB162-84E2-4BB8-9605-532A17B34D8B}"/>
    <cellStyle name="Notas 2_Deuda septiembre_marcos" xfId="2140" xr:uid="{00000000-0005-0000-0000-00005C080000}"/>
    <cellStyle name="Notas 3" xfId="3445" xr:uid="{00000000-0005-0000-0000-0000750D0000}"/>
    <cellStyle name="Notas 3 2" xfId="5803" xr:uid="{00000000-0005-0000-0000-0000AB160000}"/>
    <cellStyle name="Notas 3 2 2" xfId="10439" xr:uid="{91722223-A944-4A48-819F-648A3FC8E08A}"/>
    <cellStyle name="Notas 3 3" xfId="5804" xr:uid="{00000000-0005-0000-0000-0000AC160000}"/>
    <cellStyle name="Notas 3 3 2" xfId="10440" xr:uid="{27EE5886-8282-44E0-97BF-4F1A404B9BAE}"/>
    <cellStyle name="Notas 3 4" xfId="8820" xr:uid="{046C2312-A120-4D64-8559-7DD0504419F7}"/>
    <cellStyle name="Notas 4" xfId="3446" xr:uid="{00000000-0005-0000-0000-0000760D0000}"/>
    <cellStyle name="Notas 4 2" xfId="5805" xr:uid="{00000000-0005-0000-0000-0000AD160000}"/>
    <cellStyle name="Notas 4 2 2" xfId="10441" xr:uid="{7D42EEDD-936A-465C-8F04-C4BF90BF0345}"/>
    <cellStyle name="Notas 4 3" xfId="5806" xr:uid="{00000000-0005-0000-0000-0000AE160000}"/>
    <cellStyle name="Notas 4 3 2" xfId="10442" xr:uid="{17FB93AC-9DDA-42B5-9386-5E76D43A585D}"/>
    <cellStyle name="Notas 4 4" xfId="8821" xr:uid="{AFEC4746-D8E0-421D-AA2D-04C2DD60653B}"/>
    <cellStyle name="Notas 5" xfId="3447" xr:uid="{00000000-0005-0000-0000-0000770D0000}"/>
    <cellStyle name="Notas 5 2" xfId="8822" xr:uid="{7435B904-7813-47D4-A0E2-CEB269B10900}"/>
    <cellStyle name="Notas 6" xfId="3448" xr:uid="{00000000-0005-0000-0000-0000780D0000}"/>
    <cellStyle name="Notas 6 2" xfId="8823" xr:uid="{079BCD42-05A0-4809-8A6C-23362AF97173}"/>
    <cellStyle name="Notas 7" xfId="3449" xr:uid="{00000000-0005-0000-0000-0000790D0000}"/>
    <cellStyle name="Notas 7 2" xfId="8824" xr:uid="{1667B913-30A5-4431-9917-2AA00FB0CC8A}"/>
    <cellStyle name="Notas 8" xfId="3450" xr:uid="{00000000-0005-0000-0000-00007A0D0000}"/>
    <cellStyle name="Notas 8 2" xfId="8825" xr:uid="{EB5DBD9D-D9D6-472B-A0C0-B753501BC4E7}"/>
    <cellStyle name="Notas 9" xfId="3451" xr:uid="{00000000-0005-0000-0000-00007B0D0000}"/>
    <cellStyle name="Notas 9 2" xfId="8826" xr:uid="{26BFE3C8-5DDD-4AC3-8B58-666A79420931}"/>
    <cellStyle name="Percent" xfId="1" xr:uid="{00000000-0005-0000-0000-000001000000}"/>
    <cellStyle name="Percent (0)" xfId="2141" xr:uid="{00000000-0005-0000-0000-00005D080000}"/>
    <cellStyle name="Percent (0) 10" xfId="3452" xr:uid="{00000000-0005-0000-0000-00007C0D0000}"/>
    <cellStyle name="Percent (0) 10 2" xfId="8827" xr:uid="{56D7A8C3-E71D-4145-BB53-65FC2997F89F}"/>
    <cellStyle name="Percent (0) 11" xfId="8548" xr:uid="{309AC2F9-8CCC-4BEC-B6CC-D2F6FCAA5B47}"/>
    <cellStyle name="Percent (0) 2" xfId="2142" xr:uid="{00000000-0005-0000-0000-00005E080000}"/>
    <cellStyle name="Percent (0) 2 2" xfId="2143" xr:uid="{00000000-0005-0000-0000-00005F080000}"/>
    <cellStyle name="Percent (0) 2 2 2" xfId="2144" xr:uid="{00000000-0005-0000-0000-000060080000}"/>
    <cellStyle name="Percent (0) 2 2 2 2" xfId="2145" xr:uid="{00000000-0005-0000-0000-000061080000}"/>
    <cellStyle name="Percent (0) 2 2 2 2 2" xfId="8552" xr:uid="{5E42AC12-D5A1-4322-ADFA-F3D904E0EEB0}"/>
    <cellStyle name="Percent (0) 2 2 2 3" xfId="2146" xr:uid="{00000000-0005-0000-0000-000062080000}"/>
    <cellStyle name="Percent (0) 2 2 2 3 2" xfId="8553" xr:uid="{76BAD8C0-78F0-405A-B685-BD70FB1593C0}"/>
    <cellStyle name="Percent (0) 2 2 2 4" xfId="8551" xr:uid="{BAB40EF3-A92B-4FDA-B071-B79F53E35A9A}"/>
    <cellStyle name="Percent (0) 2 2 3" xfId="2147" xr:uid="{00000000-0005-0000-0000-000063080000}"/>
    <cellStyle name="Percent (0) 2 2 3 2" xfId="8554" xr:uid="{D2011B66-8EF9-4DC2-ACBE-5FEE6E607DDA}"/>
    <cellStyle name="Percent (0) 2 2 4" xfId="2148" xr:uid="{00000000-0005-0000-0000-000064080000}"/>
    <cellStyle name="Percent (0) 2 2 4 2" xfId="8555" xr:uid="{0E4E9A00-C497-4921-8241-784094D387DC}"/>
    <cellStyle name="Percent (0) 2 2 5" xfId="8550" xr:uid="{CA3CBD3D-0E2D-4D48-BC11-1DDF25FF4689}"/>
    <cellStyle name="Percent (0) 2 3" xfId="2149" xr:uid="{00000000-0005-0000-0000-000065080000}"/>
    <cellStyle name="Percent (0) 2 3 2" xfId="2150" xr:uid="{00000000-0005-0000-0000-000066080000}"/>
    <cellStyle name="Percent (0) 2 3 2 2" xfId="2151" xr:uid="{00000000-0005-0000-0000-000067080000}"/>
    <cellStyle name="Percent (0) 2 3 2 2 2" xfId="8558" xr:uid="{3AAA7ADF-4753-475C-8040-8985E9031805}"/>
    <cellStyle name="Percent (0) 2 3 2 3" xfId="2152" xr:uid="{00000000-0005-0000-0000-000068080000}"/>
    <cellStyle name="Percent (0) 2 3 2 3 2" xfId="8559" xr:uid="{41BA14B8-0BBD-41DB-AA06-C608938B0378}"/>
    <cellStyle name="Percent (0) 2 3 2 4" xfId="8557" xr:uid="{AE331CF1-CE74-4415-B1F8-87EC5BD545E4}"/>
    <cellStyle name="Percent (0) 2 3 3" xfId="2153" xr:uid="{00000000-0005-0000-0000-000069080000}"/>
    <cellStyle name="Percent (0) 2 3 3 2" xfId="8560" xr:uid="{E4DE49A6-2F74-4D73-AE1A-C6B4BF6EA8A8}"/>
    <cellStyle name="Percent (0) 2 3 4" xfId="2154" xr:uid="{00000000-0005-0000-0000-00006A080000}"/>
    <cellStyle name="Percent (0) 2 3 4 2" xfId="8561" xr:uid="{3BCAF543-7EC4-4021-A896-8AF5D755F12E}"/>
    <cellStyle name="Percent (0) 2 3 5" xfId="8556" xr:uid="{0AACCD10-1E09-4B19-BD60-9CD10F53BD9B}"/>
    <cellStyle name="Percent (0) 2 4" xfId="2155" xr:uid="{00000000-0005-0000-0000-00006B080000}"/>
    <cellStyle name="Percent (0) 2 4 2" xfId="2156" xr:uid="{00000000-0005-0000-0000-00006C080000}"/>
    <cellStyle name="Percent (0) 2 4 2 2" xfId="2157" xr:uid="{00000000-0005-0000-0000-00006D080000}"/>
    <cellStyle name="Percent (0) 2 4 2 2 2" xfId="8564" xr:uid="{C014DE09-CB5F-4923-847D-EA558EB1C1B8}"/>
    <cellStyle name="Percent (0) 2 4 2 3" xfId="2158" xr:uid="{00000000-0005-0000-0000-00006E080000}"/>
    <cellStyle name="Percent (0) 2 4 2 3 2" xfId="8565" xr:uid="{952D58B7-8101-4E60-BD9C-22E2F2DBF6E2}"/>
    <cellStyle name="Percent (0) 2 4 2 4" xfId="8563" xr:uid="{ED211477-3A03-4966-A263-E274CF439EA2}"/>
    <cellStyle name="Percent (0) 2 4 3" xfId="2159" xr:uid="{00000000-0005-0000-0000-00006F080000}"/>
    <cellStyle name="Percent (0) 2 4 3 2" xfId="8566" xr:uid="{9D95B8E6-E2BA-4CA1-981B-05FC684202E7}"/>
    <cellStyle name="Percent (0) 2 4 4" xfId="2160" xr:uid="{00000000-0005-0000-0000-000070080000}"/>
    <cellStyle name="Percent (0) 2 4 4 2" xfId="8567" xr:uid="{9534C294-CFC7-4876-B4E5-12353B622D2D}"/>
    <cellStyle name="Percent (0) 2 4 5" xfId="8562" xr:uid="{84EE58A9-C189-42A8-B58A-76CFCDC634A0}"/>
    <cellStyle name="Percent (0) 2 5" xfId="2161" xr:uid="{00000000-0005-0000-0000-000071080000}"/>
    <cellStyle name="Percent (0) 2 5 2" xfId="2162" xr:uid="{00000000-0005-0000-0000-000072080000}"/>
    <cellStyle name="Percent (0) 2 5 2 2" xfId="8569" xr:uid="{5A97512D-4783-496D-8015-07E533D28771}"/>
    <cellStyle name="Percent (0) 2 5 3" xfId="2163" xr:uid="{00000000-0005-0000-0000-000073080000}"/>
    <cellStyle name="Percent (0) 2 5 3 2" xfId="8570" xr:uid="{107AEC6B-5EC6-43ED-B709-97A2DA7D545C}"/>
    <cellStyle name="Percent (0) 2 5 4" xfId="8568" xr:uid="{DA720D84-00F5-4569-889A-627BAEF3D54E}"/>
    <cellStyle name="Percent (0) 2 6" xfId="2164" xr:uid="{00000000-0005-0000-0000-000074080000}"/>
    <cellStyle name="Percent (0) 2 6 2" xfId="2165" xr:uid="{00000000-0005-0000-0000-000075080000}"/>
    <cellStyle name="Percent (0) 2 6 2 2" xfId="8572" xr:uid="{59CD93BE-25EB-4A2A-BF64-E4EAC03E70BA}"/>
    <cellStyle name="Percent (0) 2 6 3" xfId="2166" xr:uid="{00000000-0005-0000-0000-000076080000}"/>
    <cellStyle name="Percent (0) 2 6 3 2" xfId="8573" xr:uid="{8D5D53F6-E881-4C49-8F49-1D09E80EB223}"/>
    <cellStyle name="Percent (0) 2 6 4" xfId="8571" xr:uid="{B837AB18-B285-4E65-B578-2CD5E9B1E75B}"/>
    <cellStyle name="Percent (0) 2 7" xfId="2167" xr:uid="{00000000-0005-0000-0000-000077080000}"/>
    <cellStyle name="Percent (0) 2 7 2" xfId="8574" xr:uid="{0BDA52A5-3C32-4699-BA49-6C99E99749A2}"/>
    <cellStyle name="Percent (0) 2 8" xfId="2168" xr:uid="{00000000-0005-0000-0000-000078080000}"/>
    <cellStyle name="Percent (0) 2 8 2" xfId="8575" xr:uid="{E112BE2E-2BBB-482B-99DB-ACBA6FE11031}"/>
    <cellStyle name="Percent (0) 2 9" xfId="8549" xr:uid="{2D7D5B6F-0415-4EE1-9512-EA9000658F64}"/>
    <cellStyle name="Percent (0) 2_ActiFijos" xfId="2169" xr:uid="{00000000-0005-0000-0000-000079080000}"/>
    <cellStyle name="Percent (0) 3" xfId="2170" xr:uid="{00000000-0005-0000-0000-00007A080000}"/>
    <cellStyle name="Percent (0) 3 2" xfId="2171" xr:uid="{00000000-0005-0000-0000-00007B080000}"/>
    <cellStyle name="Percent (0) 3 2 2" xfId="2172" xr:uid="{00000000-0005-0000-0000-00007C080000}"/>
    <cellStyle name="Percent (0) 3 2 2 2" xfId="2173" xr:uid="{00000000-0005-0000-0000-00007D080000}"/>
    <cellStyle name="Percent (0) 3 2 2 2 2" xfId="8579" xr:uid="{2E8359F4-3F55-4737-9566-82BA2B1449E3}"/>
    <cellStyle name="Percent (0) 3 2 2 3" xfId="2174" xr:uid="{00000000-0005-0000-0000-00007E080000}"/>
    <cellStyle name="Percent (0) 3 2 2 3 2" xfId="8580" xr:uid="{A922FF25-9C70-4DA7-B41A-83F7C5C1AD96}"/>
    <cellStyle name="Percent (0) 3 2 2 4" xfId="8578" xr:uid="{39A8CCC3-03C9-488C-8908-EDCF1B527281}"/>
    <cellStyle name="Percent (0) 3 2 3" xfId="2175" xr:uid="{00000000-0005-0000-0000-00007F080000}"/>
    <cellStyle name="Percent (0) 3 2 3 2" xfId="8581" xr:uid="{F4845517-9677-45CC-B9D5-55C7EFAA6D2E}"/>
    <cellStyle name="Percent (0) 3 2 4" xfId="2176" xr:uid="{00000000-0005-0000-0000-000080080000}"/>
    <cellStyle name="Percent (0) 3 2 4 2" xfId="8582" xr:uid="{92B84940-CEE5-406A-9B04-538F7C633DEC}"/>
    <cellStyle name="Percent (0) 3 2 5" xfId="8577" xr:uid="{126537FE-B7DE-41AF-94D2-B407B657B1CF}"/>
    <cellStyle name="Percent (0) 3 3" xfId="2177" xr:uid="{00000000-0005-0000-0000-000081080000}"/>
    <cellStyle name="Percent (0) 3 3 2" xfId="2178" xr:uid="{00000000-0005-0000-0000-000082080000}"/>
    <cellStyle name="Percent (0) 3 3 2 2" xfId="2179" xr:uid="{00000000-0005-0000-0000-000083080000}"/>
    <cellStyle name="Percent (0) 3 3 2 2 2" xfId="8585" xr:uid="{AC0560EE-65FE-4442-85A6-127FCBF57640}"/>
    <cellStyle name="Percent (0) 3 3 2 3" xfId="2180" xr:uid="{00000000-0005-0000-0000-000084080000}"/>
    <cellStyle name="Percent (0) 3 3 2 3 2" xfId="8586" xr:uid="{3614CF3F-0502-4081-8AA3-4010E375EA98}"/>
    <cellStyle name="Percent (0) 3 3 2 4" xfId="8584" xr:uid="{055F3DE7-2584-4BA9-AE6C-477F66C7591D}"/>
    <cellStyle name="Percent (0) 3 3 3" xfId="2181" xr:uid="{00000000-0005-0000-0000-000085080000}"/>
    <cellStyle name="Percent (0) 3 3 3 2" xfId="8587" xr:uid="{0003F3D8-652F-4A04-8137-B240B13D6148}"/>
    <cellStyle name="Percent (0) 3 3 4" xfId="2182" xr:uid="{00000000-0005-0000-0000-000086080000}"/>
    <cellStyle name="Percent (0) 3 3 4 2" xfId="8588" xr:uid="{EE1EC625-CB7B-4131-AC0B-186C0BAC9C46}"/>
    <cellStyle name="Percent (0) 3 3 5" xfId="8583" xr:uid="{33D76E89-E0FB-47D3-AF85-F14FF752B8C7}"/>
    <cellStyle name="Percent (0) 3 4" xfId="2183" xr:uid="{00000000-0005-0000-0000-000087080000}"/>
    <cellStyle name="Percent (0) 3 4 2" xfId="2184" xr:uid="{00000000-0005-0000-0000-000088080000}"/>
    <cellStyle name="Percent (0) 3 4 2 2" xfId="2185" xr:uid="{00000000-0005-0000-0000-000089080000}"/>
    <cellStyle name="Percent (0) 3 4 2 2 2" xfId="8591" xr:uid="{82E305E2-2703-4070-AF9B-EDF5B1419047}"/>
    <cellStyle name="Percent (0) 3 4 2 3" xfId="2186" xr:uid="{00000000-0005-0000-0000-00008A080000}"/>
    <cellStyle name="Percent (0) 3 4 2 3 2" xfId="8592" xr:uid="{DEA58FE9-7423-40C4-BC42-75BBFB158723}"/>
    <cellStyle name="Percent (0) 3 4 2 4" xfId="8590" xr:uid="{87D9180D-FB73-465D-BD59-03FAB236C130}"/>
    <cellStyle name="Percent (0) 3 4 3" xfId="2187" xr:uid="{00000000-0005-0000-0000-00008B080000}"/>
    <cellStyle name="Percent (0) 3 4 3 2" xfId="8593" xr:uid="{8AE28F58-3B26-4776-B322-96488C3EDEAC}"/>
    <cellStyle name="Percent (0) 3 4 4" xfId="2188" xr:uid="{00000000-0005-0000-0000-00008C080000}"/>
    <cellStyle name="Percent (0) 3 4 4 2" xfId="8594" xr:uid="{2EA5A17D-C401-4690-AD88-5B4F5F19E86C}"/>
    <cellStyle name="Percent (0) 3 4 5" xfId="8589" xr:uid="{462DBDC3-0BDF-4E25-94EE-2CE978118A4F}"/>
    <cellStyle name="Percent (0) 3 5" xfId="2189" xr:uid="{00000000-0005-0000-0000-00008D080000}"/>
    <cellStyle name="Percent (0) 3 5 2" xfId="2190" xr:uid="{00000000-0005-0000-0000-00008E080000}"/>
    <cellStyle name="Percent (0) 3 5 2 2" xfId="8596" xr:uid="{FB29FEE2-49CD-4AB1-90AA-9096E3FFF585}"/>
    <cellStyle name="Percent (0) 3 5 3" xfId="2191" xr:uid="{00000000-0005-0000-0000-00008F080000}"/>
    <cellStyle name="Percent (0) 3 5 3 2" xfId="8597" xr:uid="{8A92A661-EBCF-4289-A4A8-C173DC47CE5D}"/>
    <cellStyle name="Percent (0) 3 5 4" xfId="8595" xr:uid="{67030F78-FFC8-48DE-8A88-423AB84966BA}"/>
    <cellStyle name="Percent (0) 3 6" xfId="2192" xr:uid="{00000000-0005-0000-0000-000090080000}"/>
    <cellStyle name="Percent (0) 3 6 2" xfId="2193" xr:uid="{00000000-0005-0000-0000-000091080000}"/>
    <cellStyle name="Percent (0) 3 6 2 2" xfId="8599" xr:uid="{167C6C5D-850F-49B7-AEE0-D274F046FF1E}"/>
    <cellStyle name="Percent (0) 3 6 3" xfId="2194" xr:uid="{00000000-0005-0000-0000-000092080000}"/>
    <cellStyle name="Percent (0) 3 6 3 2" xfId="8600" xr:uid="{CF7EDE4C-D0D4-4103-B259-A08B55FE543E}"/>
    <cellStyle name="Percent (0) 3 6 4" xfId="8598" xr:uid="{D7EC4B73-0945-49A0-8AEB-89268F1087D4}"/>
    <cellStyle name="Percent (0) 3 7" xfId="2195" xr:uid="{00000000-0005-0000-0000-000093080000}"/>
    <cellStyle name="Percent (0) 3 7 2" xfId="8601" xr:uid="{BF4966B1-7680-4098-ADDB-DAB3DAAE6F9C}"/>
    <cellStyle name="Percent (0) 3 8" xfId="2196" xr:uid="{00000000-0005-0000-0000-000094080000}"/>
    <cellStyle name="Percent (0) 3 8 2" xfId="8602" xr:uid="{C36A3A8A-56C7-456C-B4E0-802E3EA33B8F}"/>
    <cellStyle name="Percent (0) 3 9" xfId="8576" xr:uid="{37A29043-9C85-4014-B74A-8D56728FD822}"/>
    <cellStyle name="Percent (0) 3_ActiFijos" xfId="2197" xr:uid="{00000000-0005-0000-0000-000095080000}"/>
    <cellStyle name="Percent (0) 4" xfId="2198" xr:uid="{00000000-0005-0000-0000-000096080000}"/>
    <cellStyle name="Percent (0) 4 2" xfId="2199" xr:uid="{00000000-0005-0000-0000-000097080000}"/>
    <cellStyle name="Percent (0) 4 2 2" xfId="2200" xr:uid="{00000000-0005-0000-0000-000098080000}"/>
    <cellStyle name="Percent (0) 4 2 2 2" xfId="2201" xr:uid="{00000000-0005-0000-0000-000099080000}"/>
    <cellStyle name="Percent (0) 4 2 2 2 2" xfId="8606" xr:uid="{E29F42FD-B693-4D44-8F13-9AB9850A8D5F}"/>
    <cellStyle name="Percent (0) 4 2 2 3" xfId="2202" xr:uid="{00000000-0005-0000-0000-00009A080000}"/>
    <cellStyle name="Percent (0) 4 2 2 3 2" xfId="8607" xr:uid="{8B1AD0AF-CA73-4308-9C32-CD5E12FD7DD4}"/>
    <cellStyle name="Percent (0) 4 2 2 4" xfId="8605" xr:uid="{3DB811B8-A6CE-4A82-A806-9C6BC7315008}"/>
    <cellStyle name="Percent (0) 4 2 3" xfId="2203" xr:uid="{00000000-0005-0000-0000-00009B080000}"/>
    <cellStyle name="Percent (0) 4 2 3 2" xfId="8608" xr:uid="{1462C513-2757-4974-9698-04E67E04B98B}"/>
    <cellStyle name="Percent (0) 4 2 4" xfId="2204" xr:uid="{00000000-0005-0000-0000-00009C080000}"/>
    <cellStyle name="Percent (0) 4 2 4 2" xfId="8609" xr:uid="{22D304E2-4A85-45DA-95D8-15507163D33D}"/>
    <cellStyle name="Percent (0) 4 2 5" xfId="8604" xr:uid="{CF329DF7-8A44-4D6E-A8B9-26CCB18BE79D}"/>
    <cellStyle name="Percent (0) 4 3" xfId="2205" xr:uid="{00000000-0005-0000-0000-00009D080000}"/>
    <cellStyle name="Percent (0) 4 3 2" xfId="2206" xr:uid="{00000000-0005-0000-0000-00009E080000}"/>
    <cellStyle name="Percent (0) 4 3 2 2" xfId="3453" xr:uid="{00000000-0005-0000-0000-00007D0D0000}"/>
    <cellStyle name="Percent (0) 4 3 2 2 2" xfId="8828" xr:uid="{F78EC5AE-30D8-46D7-A10B-FD9363082731}"/>
    <cellStyle name="Percent (0) 4 3 2 3" xfId="3454" xr:uid="{00000000-0005-0000-0000-00007E0D0000}"/>
    <cellStyle name="Percent (0) 4 3 2 3 2" xfId="8829" xr:uid="{588851FA-B5B9-45CB-82F8-63BE2C72C758}"/>
    <cellStyle name="Percent (0) 4 3 2 4" xfId="8611" xr:uid="{8A30ABE7-D4AF-466D-83E8-FBED0572CC6C}"/>
    <cellStyle name="Percent (0) 4 3 3" xfId="3455" xr:uid="{00000000-0005-0000-0000-00007F0D0000}"/>
    <cellStyle name="Percent (0) 4 3 3 2" xfId="8830" xr:uid="{C3184925-3170-4F3D-B88F-F785E931A849}"/>
    <cellStyle name="Percent (0) 4 3 4" xfId="3456" xr:uid="{00000000-0005-0000-0000-0000800D0000}"/>
    <cellStyle name="Percent (0) 4 3 4 2" xfId="8831" xr:uid="{64A01B66-4C53-455E-B830-FDDCC80620C3}"/>
    <cellStyle name="Percent (0) 4 3 5" xfId="8610" xr:uid="{C70E6DB8-8313-49BF-9481-580E3360FB13}"/>
    <cellStyle name="Percent (0) 4 4" xfId="2207" xr:uid="{00000000-0005-0000-0000-00009F080000}"/>
    <cellStyle name="Percent (0) 4 4 2" xfId="2208" xr:uid="{00000000-0005-0000-0000-0000A0080000}"/>
    <cellStyle name="Percent (0) 4 4 2 2" xfId="3457" xr:uid="{00000000-0005-0000-0000-0000810D0000}"/>
    <cellStyle name="Percent (0) 4 4 2 2 2" xfId="8832" xr:uid="{A4CE5D6B-8121-433A-AE06-3721E54F2073}"/>
    <cellStyle name="Percent (0) 4 4 2 3" xfId="3458" xr:uid="{00000000-0005-0000-0000-0000820D0000}"/>
    <cellStyle name="Percent (0) 4 4 2 3 2" xfId="8833" xr:uid="{8CD309B4-66DA-47E2-90FA-3215CEAB011B}"/>
    <cellStyle name="Percent (0) 4 4 2 4" xfId="8613" xr:uid="{8E0859D9-6468-4101-A25A-DC482AC40945}"/>
    <cellStyle name="Percent (0) 4 4 3" xfId="3459" xr:uid="{00000000-0005-0000-0000-0000830D0000}"/>
    <cellStyle name="Percent (0) 4 4 3 2" xfId="8834" xr:uid="{58E0DFD1-B039-4347-A5EB-9D87A1A75B09}"/>
    <cellStyle name="Percent (0) 4 4 4" xfId="3460" xr:uid="{00000000-0005-0000-0000-0000840D0000}"/>
    <cellStyle name="Percent (0) 4 4 4 2" xfId="8835" xr:uid="{41DA1A67-501E-4F23-969A-4C5E67133D02}"/>
    <cellStyle name="Percent (0) 4 4 5" xfId="8612" xr:uid="{F44FF1AD-1A3A-4BEF-978B-53C5696F010C}"/>
    <cellStyle name="Percent (0) 4 5" xfId="2209" xr:uid="{00000000-0005-0000-0000-0000A1080000}"/>
    <cellStyle name="Percent (0) 4 5 2" xfId="3461" xr:uid="{00000000-0005-0000-0000-0000850D0000}"/>
    <cellStyle name="Percent (0) 4 5 2 2" xfId="8836" xr:uid="{7019322F-CCE2-41F8-AD06-5D4338C36EA1}"/>
    <cellStyle name="Percent (0) 4 5 3" xfId="3462" xr:uid="{00000000-0005-0000-0000-0000860D0000}"/>
    <cellStyle name="Percent (0) 4 5 3 2" xfId="8837" xr:uid="{BFB45A7B-7222-431D-95A3-06A11F3CDBAB}"/>
    <cellStyle name="Percent (0) 4 5 4" xfId="8614" xr:uid="{2EFC934E-5634-460D-812E-B6522B236C12}"/>
    <cellStyle name="Percent (0) 4 6" xfId="2210" xr:uid="{00000000-0005-0000-0000-0000A2080000}"/>
    <cellStyle name="Percent (0) 4 6 2" xfId="3463" xr:uid="{00000000-0005-0000-0000-0000870D0000}"/>
    <cellStyle name="Percent (0) 4 6 2 2" xfId="8838" xr:uid="{6E417B2B-B257-430D-AD94-4EFD82142D1D}"/>
    <cellStyle name="Percent (0) 4 6 3" xfId="3464" xr:uid="{00000000-0005-0000-0000-0000880D0000}"/>
    <cellStyle name="Percent (0) 4 6 3 2" xfId="8839" xr:uid="{A6555BB2-1DB1-4F2A-BB7B-FDDCEFEFB2C8}"/>
    <cellStyle name="Percent (0) 4 6 4" xfId="8615" xr:uid="{51900BC8-62B8-42A6-ADE7-2BEF5B46104C}"/>
    <cellStyle name="Percent (0) 4 7" xfId="3465" xr:uid="{00000000-0005-0000-0000-0000890D0000}"/>
    <cellStyle name="Percent (0) 4 7 2" xfId="8840" xr:uid="{73705493-E7B4-4C5D-9D1F-E78C35D6114E}"/>
    <cellStyle name="Percent (0) 4 8" xfId="3466" xr:uid="{00000000-0005-0000-0000-00008A0D0000}"/>
    <cellStyle name="Percent (0) 4 8 2" xfId="8841" xr:uid="{E206677B-C229-4816-B369-7C254E7B712C}"/>
    <cellStyle name="Percent (0) 4 9" xfId="8603" xr:uid="{D3E0D942-3CF5-45A5-920E-8081FEC0F9FB}"/>
    <cellStyle name="Percent (0) 4_ActiFijos" xfId="2211" xr:uid="{00000000-0005-0000-0000-0000A3080000}"/>
    <cellStyle name="Percent (0) 5" xfId="2212" xr:uid="{00000000-0005-0000-0000-0000A4080000}"/>
    <cellStyle name="Percent (0) 5 2" xfId="3467" xr:uid="{00000000-0005-0000-0000-00008B0D0000}"/>
    <cellStyle name="Percent (0) 5 2 2" xfId="8842" xr:uid="{E259CBEE-9E46-4CF9-B1D8-6781B35FCF0F}"/>
    <cellStyle name="Percent (0) 5 3" xfId="3468" xr:uid="{00000000-0005-0000-0000-00008C0D0000}"/>
    <cellStyle name="Percent (0) 5 3 2" xfId="8843" xr:uid="{829B7AC4-F0D2-4503-B5B3-50DA9B9AF4C0}"/>
    <cellStyle name="Percent (0) 5 4" xfId="8616" xr:uid="{9D4BD792-7BFD-4370-A625-E2E4CC05F398}"/>
    <cellStyle name="Percent (0) 6" xfId="2213" xr:uid="{00000000-0005-0000-0000-0000A5080000}"/>
    <cellStyle name="Percent (0) 6 2" xfId="3469" xr:uid="{00000000-0005-0000-0000-00008D0D0000}"/>
    <cellStyle name="Percent (0) 6 2 2" xfId="8844" xr:uid="{8E1BEAFD-8C98-497F-BFD4-339AB33052AF}"/>
    <cellStyle name="Percent (0) 6 3" xfId="8617" xr:uid="{46990D49-D4F2-43CA-8290-B17897C833D3}"/>
    <cellStyle name="Percent (0) 7" xfId="2214" xr:uid="{00000000-0005-0000-0000-0000A6080000}"/>
    <cellStyle name="Percent (0) 7 2" xfId="8618" xr:uid="{1286D71D-FE25-41C0-B142-61A4610C5464}"/>
    <cellStyle name="Percent (0) 8" xfId="3470" xr:uid="{00000000-0005-0000-0000-00008E0D0000}"/>
    <cellStyle name="Percent (0) 8 2" xfId="8845" xr:uid="{FE0C332C-75D2-4939-9916-1A2E0673FF09}"/>
    <cellStyle name="Percent (0) 9" xfId="3471" xr:uid="{00000000-0005-0000-0000-00008F0D0000}"/>
    <cellStyle name="Percent (0) 9 2" xfId="8846" xr:uid="{108D68A6-CC3A-47AE-992C-A097E63116F8}"/>
    <cellStyle name="Percent (0)_Bases_Generales" xfId="2215" xr:uid="{00000000-0005-0000-0000-0000A7080000}"/>
    <cellStyle name="Percent [2]" xfId="2216" xr:uid="{00000000-0005-0000-0000-0000A8080000}"/>
    <cellStyle name="Percent [2] 2" xfId="2217" xr:uid="{00000000-0005-0000-0000-0000A9080000}"/>
    <cellStyle name="Percent [2] 2 2" xfId="2218" xr:uid="{00000000-0005-0000-0000-0000AA080000}"/>
    <cellStyle name="Percent [2] 2 2 2" xfId="5807" xr:uid="{00000000-0005-0000-0000-0000AF160000}"/>
    <cellStyle name="Percent [2] 2 3" xfId="2219" xr:uid="{00000000-0005-0000-0000-0000AB080000}"/>
    <cellStyle name="Percent [2] 2 3 2" xfId="5808" xr:uid="{00000000-0005-0000-0000-0000B0160000}"/>
    <cellStyle name="Percent [2] 2 4" xfId="2220" xr:uid="{00000000-0005-0000-0000-0000AC080000}"/>
    <cellStyle name="Percent [2] 2 4 2" xfId="5809" xr:uid="{00000000-0005-0000-0000-0000B1160000}"/>
    <cellStyle name="Percent [2] 2 5" xfId="2221" xr:uid="{00000000-0005-0000-0000-0000AD080000}"/>
    <cellStyle name="Percent [2] 2 5 2" xfId="5810" xr:uid="{00000000-0005-0000-0000-0000B2160000}"/>
    <cellStyle name="Percent [2] 2 6" xfId="2222" xr:uid="{00000000-0005-0000-0000-0000AE080000}"/>
    <cellStyle name="Percent [2] 2 6 2" xfId="5811" xr:uid="{00000000-0005-0000-0000-0000B3160000}"/>
    <cellStyle name="Percent [2] 2 7" xfId="3472" xr:uid="{00000000-0005-0000-0000-0000900D0000}"/>
    <cellStyle name="Percent [2] 2 8" xfId="3473" xr:uid="{00000000-0005-0000-0000-0000910D0000}"/>
    <cellStyle name="Percent [2] 3" xfId="2223" xr:uid="{00000000-0005-0000-0000-0000AF080000}"/>
    <cellStyle name="Percent [2] 3 2" xfId="2224" xr:uid="{00000000-0005-0000-0000-0000B0080000}"/>
    <cellStyle name="Percent [2] 3 2 2" xfId="5812" xr:uid="{00000000-0005-0000-0000-0000B4160000}"/>
    <cellStyle name="Percent [2] 3 3" xfId="2225" xr:uid="{00000000-0005-0000-0000-0000B1080000}"/>
    <cellStyle name="Percent [2] 3 3 2" xfId="5813" xr:uid="{00000000-0005-0000-0000-0000B5160000}"/>
    <cellStyle name="Percent [2] 3 4" xfId="2226" xr:uid="{00000000-0005-0000-0000-0000B2080000}"/>
    <cellStyle name="Percent [2] 3 4 2" xfId="5814" xr:uid="{00000000-0005-0000-0000-0000B6160000}"/>
    <cellStyle name="Percent [2] 3 5" xfId="2227" xr:uid="{00000000-0005-0000-0000-0000B3080000}"/>
    <cellStyle name="Percent [2] 3 5 2" xfId="5815" xr:uid="{00000000-0005-0000-0000-0000B7160000}"/>
    <cellStyle name="Percent [2] 3 6" xfId="2228" xr:uid="{00000000-0005-0000-0000-0000B4080000}"/>
    <cellStyle name="Percent [2] 3 6 2" xfId="5816" xr:uid="{00000000-0005-0000-0000-0000B8160000}"/>
    <cellStyle name="Percent [2] 3 7" xfId="3474" xr:uid="{00000000-0005-0000-0000-0000920D0000}"/>
    <cellStyle name="Percent [2] 3 8" xfId="3475" xr:uid="{00000000-0005-0000-0000-0000930D0000}"/>
    <cellStyle name="Percent [2] 4" xfId="2229" xr:uid="{00000000-0005-0000-0000-0000B5080000}"/>
    <cellStyle name="Percent [2] 4 2" xfId="2230" xr:uid="{00000000-0005-0000-0000-0000B6080000}"/>
    <cellStyle name="Percent [2] 4 2 2" xfId="5817" xr:uid="{00000000-0005-0000-0000-0000B9160000}"/>
    <cellStyle name="Percent [2] 4 3" xfId="2231" xr:uid="{00000000-0005-0000-0000-0000B7080000}"/>
    <cellStyle name="Percent [2] 4 3 2" xfId="5818" xr:uid="{00000000-0005-0000-0000-0000BA160000}"/>
    <cellStyle name="Percent [2] 4 4" xfId="2232" xr:uid="{00000000-0005-0000-0000-0000B8080000}"/>
    <cellStyle name="Percent [2] 4 4 2" xfId="5819" xr:uid="{00000000-0005-0000-0000-0000BB160000}"/>
    <cellStyle name="Percent [2] 4 5" xfId="2233" xr:uid="{00000000-0005-0000-0000-0000B9080000}"/>
    <cellStyle name="Percent [2] 4 5 2" xfId="5820" xr:uid="{00000000-0005-0000-0000-0000BC160000}"/>
    <cellStyle name="Percent [2] 4 6" xfId="2234" xr:uid="{00000000-0005-0000-0000-0000BA080000}"/>
    <cellStyle name="Percent [2] 4 6 2" xfId="5821" xr:uid="{00000000-0005-0000-0000-0000BD160000}"/>
    <cellStyle name="Percent [2] 4 7" xfId="3476" xr:uid="{00000000-0005-0000-0000-0000940D0000}"/>
    <cellStyle name="Percent [2] 4 8" xfId="3477" xr:uid="{00000000-0005-0000-0000-0000950D0000}"/>
    <cellStyle name="Percent [2] 5" xfId="5822" xr:uid="{00000000-0005-0000-0000-0000BE160000}"/>
    <cellStyle name="Percent 2" xfId="2235" xr:uid="{00000000-0005-0000-0000-0000BB080000}"/>
    <cellStyle name="Percent 2 2" xfId="2236" xr:uid="{00000000-0005-0000-0000-0000BC080000}"/>
    <cellStyle name="Percent 2 3" xfId="2237" xr:uid="{00000000-0005-0000-0000-0000BD080000}"/>
    <cellStyle name="Percent 2 4" xfId="2238" xr:uid="{00000000-0005-0000-0000-0000BE080000}"/>
    <cellStyle name="Percent 2 5" xfId="2239" xr:uid="{00000000-0005-0000-0000-0000BF080000}"/>
    <cellStyle name="Percent 2 6" xfId="2240" xr:uid="{00000000-0005-0000-0000-0000C0080000}"/>
    <cellStyle name="Percent 2 7" xfId="3478" xr:uid="{00000000-0005-0000-0000-0000960D0000}"/>
    <cellStyle name="Percent 2 8" xfId="3479" xr:uid="{00000000-0005-0000-0000-0000970D0000}"/>
    <cellStyle name="Percent 2_ActiFijos" xfId="2241" xr:uid="{00000000-0005-0000-0000-0000C1080000}"/>
    <cellStyle name="Percent 3" xfId="2242" xr:uid="{00000000-0005-0000-0000-0000C2080000}"/>
    <cellStyle name="Percent 3 2" xfId="2243" xr:uid="{00000000-0005-0000-0000-0000C3080000}"/>
    <cellStyle name="Percent 3 3" xfId="2244" xr:uid="{00000000-0005-0000-0000-0000C4080000}"/>
    <cellStyle name="Percent 3 4" xfId="2245" xr:uid="{00000000-0005-0000-0000-0000C5080000}"/>
    <cellStyle name="Percent 3 5" xfId="2246" xr:uid="{00000000-0005-0000-0000-0000C6080000}"/>
    <cellStyle name="Percent 3 6" xfId="2247" xr:uid="{00000000-0005-0000-0000-0000C7080000}"/>
    <cellStyle name="Percent 3 7" xfId="3480" xr:uid="{00000000-0005-0000-0000-0000980D0000}"/>
    <cellStyle name="Percent 3 8" xfId="3481" xr:uid="{00000000-0005-0000-0000-0000990D0000}"/>
    <cellStyle name="Percent 3_ActiFijos" xfId="2248" xr:uid="{00000000-0005-0000-0000-0000C8080000}"/>
    <cellStyle name="Percent 4" xfId="2249" xr:uid="{00000000-0005-0000-0000-0000C9080000}"/>
    <cellStyle name="Percent 4 2" xfId="2250" xr:uid="{00000000-0005-0000-0000-0000CA080000}"/>
    <cellStyle name="Percent 4 3" xfId="2251" xr:uid="{00000000-0005-0000-0000-0000CB080000}"/>
    <cellStyle name="Percent 4 4" xfId="2252" xr:uid="{00000000-0005-0000-0000-0000CC080000}"/>
    <cellStyle name="Percent 4 5" xfId="2253" xr:uid="{00000000-0005-0000-0000-0000CD080000}"/>
    <cellStyle name="Percent 4 6" xfId="2254" xr:uid="{00000000-0005-0000-0000-0000CE080000}"/>
    <cellStyle name="Percent 4 7" xfId="3482" xr:uid="{00000000-0005-0000-0000-00009A0D0000}"/>
    <cellStyle name="Percent 4 8" xfId="3483" xr:uid="{00000000-0005-0000-0000-00009B0D0000}"/>
    <cellStyle name="Percent 4_ActiFijos" xfId="2255" xr:uid="{00000000-0005-0000-0000-0000CF080000}"/>
    <cellStyle name="Percent(0)" xfId="2256" xr:uid="{00000000-0005-0000-0000-0000D0080000}"/>
    <cellStyle name="Percent(0) 10" xfId="3484" xr:uid="{00000000-0005-0000-0000-00009C0D0000}"/>
    <cellStyle name="Percent(0) 10 2" xfId="8847" xr:uid="{163C3947-846C-433D-B615-957B81E19AF2}"/>
    <cellStyle name="Percent(0) 11" xfId="8619" xr:uid="{16F7E5F2-830D-44EF-A0AF-878CB024BFAD}"/>
    <cellStyle name="Percent(0) 2" xfId="2257" xr:uid="{00000000-0005-0000-0000-0000D1080000}"/>
    <cellStyle name="Percent(0) 2 2" xfId="2258" xr:uid="{00000000-0005-0000-0000-0000D2080000}"/>
    <cellStyle name="Percent(0) 2 2 2" xfId="2259" xr:uid="{00000000-0005-0000-0000-0000D3080000}"/>
    <cellStyle name="Percent(0) 2 2 2 2" xfId="3485" xr:uid="{00000000-0005-0000-0000-00009D0D0000}"/>
    <cellStyle name="Percent(0) 2 2 2 2 2" xfId="8848" xr:uid="{E6977F5C-45B5-41FF-B83E-9BE37B6506E1}"/>
    <cellStyle name="Percent(0) 2 2 2 3" xfId="3486" xr:uid="{00000000-0005-0000-0000-00009E0D0000}"/>
    <cellStyle name="Percent(0) 2 2 2 3 2" xfId="8849" xr:uid="{6EAE9D34-8294-4D63-B9A2-D5BA32B56CF5}"/>
    <cellStyle name="Percent(0) 2 2 2 4" xfId="8622" xr:uid="{43AA60D3-5325-40B5-8D57-8927EBFF1BEA}"/>
    <cellStyle name="Percent(0) 2 2 3" xfId="3487" xr:uid="{00000000-0005-0000-0000-00009F0D0000}"/>
    <cellStyle name="Percent(0) 2 2 3 2" xfId="8850" xr:uid="{2071461C-4747-46F7-B146-AAF25DF351C3}"/>
    <cellStyle name="Percent(0) 2 2 4" xfId="3488" xr:uid="{00000000-0005-0000-0000-0000A00D0000}"/>
    <cellStyle name="Percent(0) 2 2 4 2" xfId="8851" xr:uid="{CA187A26-6065-4777-AFFC-A6B2B17A80DE}"/>
    <cellStyle name="Percent(0) 2 2 5" xfId="8621" xr:uid="{CA9FDD38-9F13-4A28-A617-85CF326B38BF}"/>
    <cellStyle name="Percent(0) 2 3" xfId="2260" xr:uid="{00000000-0005-0000-0000-0000D4080000}"/>
    <cellStyle name="Percent(0) 2 3 2" xfId="2261" xr:uid="{00000000-0005-0000-0000-0000D5080000}"/>
    <cellStyle name="Percent(0) 2 3 2 2" xfId="3489" xr:uid="{00000000-0005-0000-0000-0000A10D0000}"/>
    <cellStyle name="Percent(0) 2 3 2 2 2" xfId="8852" xr:uid="{F5CF1F4B-6472-4971-A6D8-AB3A42B5566F}"/>
    <cellStyle name="Percent(0) 2 3 2 3" xfId="3490" xr:uid="{00000000-0005-0000-0000-0000A20D0000}"/>
    <cellStyle name="Percent(0) 2 3 2 3 2" xfId="8853" xr:uid="{99A50688-AC66-4E03-9243-A8967F1EBA89}"/>
    <cellStyle name="Percent(0) 2 3 2 4" xfId="8624" xr:uid="{6AB0B57E-0FDE-4479-91F4-55A69928E34E}"/>
    <cellStyle name="Percent(0) 2 3 3" xfId="3491" xr:uid="{00000000-0005-0000-0000-0000A30D0000}"/>
    <cellStyle name="Percent(0) 2 3 3 2" xfId="8854" xr:uid="{8338B18E-FB14-40B9-8D02-361C103093F4}"/>
    <cellStyle name="Percent(0) 2 3 4" xfId="3492" xr:uid="{00000000-0005-0000-0000-0000A40D0000}"/>
    <cellStyle name="Percent(0) 2 3 4 2" xfId="8855" xr:uid="{C499ED43-B24C-4296-B3CB-ECDF6032CF74}"/>
    <cellStyle name="Percent(0) 2 3 5" xfId="8623" xr:uid="{7BDEED4F-6170-4A25-BF94-5EC7526BD890}"/>
    <cellStyle name="Percent(0) 2 4" xfId="2262" xr:uid="{00000000-0005-0000-0000-0000D6080000}"/>
    <cellStyle name="Percent(0) 2 4 2" xfId="2263" xr:uid="{00000000-0005-0000-0000-0000D7080000}"/>
    <cellStyle name="Percent(0) 2 4 2 2" xfId="3493" xr:uid="{00000000-0005-0000-0000-0000A50D0000}"/>
    <cellStyle name="Percent(0) 2 4 2 2 2" xfId="8856" xr:uid="{F93CB1CD-5DEA-494C-AD53-19DE1BF4C534}"/>
    <cellStyle name="Percent(0) 2 4 2 3" xfId="3494" xr:uid="{00000000-0005-0000-0000-0000A60D0000}"/>
    <cellStyle name="Percent(0) 2 4 2 3 2" xfId="8857" xr:uid="{1CDA63BF-2A7F-4EBB-AE30-5A9723559888}"/>
    <cellStyle name="Percent(0) 2 4 2 4" xfId="8626" xr:uid="{9F6946D3-1068-4C70-A62B-65D0B7308924}"/>
    <cellStyle name="Percent(0) 2 4 3" xfId="3495" xr:uid="{00000000-0005-0000-0000-0000A70D0000}"/>
    <cellStyle name="Percent(0) 2 4 3 2" xfId="8858" xr:uid="{E12D40C0-0616-4E35-BF27-89EBE10C4D03}"/>
    <cellStyle name="Percent(0) 2 4 4" xfId="3496" xr:uid="{00000000-0005-0000-0000-0000A80D0000}"/>
    <cellStyle name="Percent(0) 2 4 4 2" xfId="8859" xr:uid="{4D9694EC-D13C-4763-BDFB-6CD244C1D28C}"/>
    <cellStyle name="Percent(0) 2 4 5" xfId="8625" xr:uid="{23B7AB87-1F85-4FF6-9783-EC0C02E1626A}"/>
    <cellStyle name="Percent(0) 2 5" xfId="2264" xr:uid="{00000000-0005-0000-0000-0000D8080000}"/>
    <cellStyle name="Percent(0) 2 5 2" xfId="3497" xr:uid="{00000000-0005-0000-0000-0000A90D0000}"/>
    <cellStyle name="Percent(0) 2 5 2 2" xfId="8860" xr:uid="{E2CD29C9-CE5E-41DB-AD8A-AB08A1EDC7F0}"/>
    <cellStyle name="Percent(0) 2 5 3" xfId="3498" xr:uid="{00000000-0005-0000-0000-0000AA0D0000}"/>
    <cellStyle name="Percent(0) 2 5 3 2" xfId="8861" xr:uid="{553B3B87-6795-4FD5-89CC-FE4F747E420F}"/>
    <cellStyle name="Percent(0) 2 5 4" xfId="8627" xr:uid="{3D3D6407-326F-4671-B216-DED52D24C7FD}"/>
    <cellStyle name="Percent(0) 2 6" xfId="2265" xr:uid="{00000000-0005-0000-0000-0000D9080000}"/>
    <cellStyle name="Percent(0) 2 6 2" xfId="3499" xr:uid="{00000000-0005-0000-0000-0000AB0D0000}"/>
    <cellStyle name="Percent(0) 2 6 2 2" xfId="8862" xr:uid="{163C8196-EFB9-475C-B8A3-7C4B3A6F8CC0}"/>
    <cellStyle name="Percent(0) 2 6 3" xfId="3500" xr:uid="{00000000-0005-0000-0000-0000AC0D0000}"/>
    <cellStyle name="Percent(0) 2 6 3 2" xfId="8863" xr:uid="{AB13288D-BB59-4AC6-90AE-7819FB88522B}"/>
    <cellStyle name="Percent(0) 2 6 4" xfId="8628" xr:uid="{DB1FA04A-2D37-45B7-9B41-2ED160CE51D7}"/>
    <cellStyle name="Percent(0) 2 7" xfId="3501" xr:uid="{00000000-0005-0000-0000-0000AD0D0000}"/>
    <cellStyle name="Percent(0) 2 7 2" xfId="8864" xr:uid="{98245C17-7A85-43B5-B6CC-5F691FECAD30}"/>
    <cellStyle name="Percent(0) 2 8" xfId="3502" xr:uid="{00000000-0005-0000-0000-0000AE0D0000}"/>
    <cellStyle name="Percent(0) 2 8 2" xfId="8865" xr:uid="{D05E8720-72F6-4847-820F-A858593F5463}"/>
    <cellStyle name="Percent(0) 2 9" xfId="8620" xr:uid="{83A5E289-D199-4AD7-86C1-FF80B4C4B820}"/>
    <cellStyle name="Percent(0) 2_ActiFijos" xfId="2266" xr:uid="{00000000-0005-0000-0000-0000DA080000}"/>
    <cellStyle name="Percent(0) 3" xfId="2267" xr:uid="{00000000-0005-0000-0000-0000DB080000}"/>
    <cellStyle name="Percent(0) 3 2" xfId="2268" xr:uid="{00000000-0005-0000-0000-0000DC080000}"/>
    <cellStyle name="Percent(0) 3 2 2" xfId="2269" xr:uid="{00000000-0005-0000-0000-0000DD080000}"/>
    <cellStyle name="Percent(0) 3 2 2 2" xfId="3503" xr:uid="{00000000-0005-0000-0000-0000AF0D0000}"/>
    <cellStyle name="Percent(0) 3 2 2 2 2" xfId="8866" xr:uid="{D0052031-7EFB-4580-AD54-336606631831}"/>
    <cellStyle name="Percent(0) 3 2 2 3" xfId="3504" xr:uid="{00000000-0005-0000-0000-0000B00D0000}"/>
    <cellStyle name="Percent(0) 3 2 2 3 2" xfId="8867" xr:uid="{422AAFD1-0433-47DA-A581-0127A1CAC6D3}"/>
    <cellStyle name="Percent(0) 3 2 2 4" xfId="8631" xr:uid="{330A4870-6CFA-4875-A3B5-3210DA9B4AAC}"/>
    <cellStyle name="Percent(0) 3 2 3" xfId="3505" xr:uid="{00000000-0005-0000-0000-0000B10D0000}"/>
    <cellStyle name="Percent(0) 3 2 3 2" xfId="8868" xr:uid="{D39CC4F8-E61C-4AD8-9456-4AB363BB4E63}"/>
    <cellStyle name="Percent(0) 3 2 4" xfId="3506" xr:uid="{00000000-0005-0000-0000-0000B20D0000}"/>
    <cellStyle name="Percent(0) 3 2 4 2" xfId="8869" xr:uid="{90DFFDD9-3C20-4A7B-8949-14FB32AF4559}"/>
    <cellStyle name="Percent(0) 3 2 5" xfId="8630" xr:uid="{C4089CFA-A0E3-4AD6-8FA5-EB8495BC69F3}"/>
    <cellStyle name="Percent(0) 3 3" xfId="2270" xr:uid="{00000000-0005-0000-0000-0000DE080000}"/>
    <cellStyle name="Percent(0) 3 3 2" xfId="2271" xr:uid="{00000000-0005-0000-0000-0000DF080000}"/>
    <cellStyle name="Percent(0) 3 3 2 2" xfId="3507" xr:uid="{00000000-0005-0000-0000-0000B30D0000}"/>
    <cellStyle name="Percent(0) 3 3 2 2 2" xfId="8870" xr:uid="{9D5716CD-2E9C-488D-A482-BA730C158309}"/>
    <cellStyle name="Percent(0) 3 3 2 3" xfId="3508" xr:uid="{00000000-0005-0000-0000-0000B40D0000}"/>
    <cellStyle name="Percent(0) 3 3 2 3 2" xfId="8871" xr:uid="{652C2199-18C5-4C76-888F-1276DFC81480}"/>
    <cellStyle name="Percent(0) 3 3 2 4" xfId="8633" xr:uid="{5004FF6B-7017-4BBC-8681-57955C8F224E}"/>
    <cellStyle name="Percent(0) 3 3 3" xfId="3509" xr:uid="{00000000-0005-0000-0000-0000B50D0000}"/>
    <cellStyle name="Percent(0) 3 3 3 2" xfId="8872" xr:uid="{DB4CE2F4-1AED-44B7-8276-4CC3C04A3DEF}"/>
    <cellStyle name="Percent(0) 3 3 4" xfId="3510" xr:uid="{00000000-0005-0000-0000-0000B60D0000}"/>
    <cellStyle name="Percent(0) 3 3 4 2" xfId="8873" xr:uid="{CAC4D89B-3929-4E1C-8FD4-FF4BDD5151C5}"/>
    <cellStyle name="Percent(0) 3 3 5" xfId="8632" xr:uid="{91BD89B4-D87D-47A4-8110-2E8DB6829ED5}"/>
    <cellStyle name="Percent(0) 3 4" xfId="2272" xr:uid="{00000000-0005-0000-0000-0000E0080000}"/>
    <cellStyle name="Percent(0) 3 4 2" xfId="2273" xr:uid="{00000000-0005-0000-0000-0000E1080000}"/>
    <cellStyle name="Percent(0) 3 4 2 2" xfId="3511" xr:uid="{00000000-0005-0000-0000-0000B70D0000}"/>
    <cellStyle name="Percent(0) 3 4 2 2 2" xfId="8874" xr:uid="{8BB62718-4131-4496-918D-E72DE1BEF1F1}"/>
    <cellStyle name="Percent(0) 3 4 2 3" xfId="3512" xr:uid="{00000000-0005-0000-0000-0000B80D0000}"/>
    <cellStyle name="Percent(0) 3 4 2 3 2" xfId="8875" xr:uid="{154B793A-F6B9-48E1-A8C0-4276123FEB5A}"/>
    <cellStyle name="Percent(0) 3 4 2 4" xfId="8635" xr:uid="{9DCC66D6-27CB-4573-ADCA-F9641A461D42}"/>
    <cellStyle name="Percent(0) 3 4 3" xfId="3513" xr:uid="{00000000-0005-0000-0000-0000B90D0000}"/>
    <cellStyle name="Percent(0) 3 4 3 2" xfId="8876" xr:uid="{FCF84B40-A41F-4C97-AE45-5105B954BA8C}"/>
    <cellStyle name="Percent(0) 3 4 4" xfId="3514" xr:uid="{00000000-0005-0000-0000-0000BA0D0000}"/>
    <cellStyle name="Percent(0) 3 4 4 2" xfId="8877" xr:uid="{AC54EBFD-2964-4338-A662-B640FAF9C005}"/>
    <cellStyle name="Percent(0) 3 4 5" xfId="8634" xr:uid="{1A082161-73CA-4CDA-AC4F-392C59714001}"/>
    <cellStyle name="Percent(0) 3 5" xfId="2274" xr:uid="{00000000-0005-0000-0000-0000E2080000}"/>
    <cellStyle name="Percent(0) 3 5 2" xfId="3515" xr:uid="{00000000-0005-0000-0000-0000BB0D0000}"/>
    <cellStyle name="Percent(0) 3 5 2 2" xfId="8878" xr:uid="{8731718D-7C80-4073-A199-D94CFD523DD5}"/>
    <cellStyle name="Percent(0) 3 5 3" xfId="3516" xr:uid="{00000000-0005-0000-0000-0000BC0D0000}"/>
    <cellStyle name="Percent(0) 3 5 3 2" xfId="8879" xr:uid="{0F89E87D-A61A-4B46-B787-976BE9238300}"/>
    <cellStyle name="Percent(0) 3 5 4" xfId="8636" xr:uid="{24847B31-1D19-48DB-9B39-2CEE6C794364}"/>
    <cellStyle name="Percent(0) 3 6" xfId="2275" xr:uid="{00000000-0005-0000-0000-0000E3080000}"/>
    <cellStyle name="Percent(0) 3 6 2" xfId="3517" xr:uid="{00000000-0005-0000-0000-0000BD0D0000}"/>
    <cellStyle name="Percent(0) 3 6 2 2" xfId="8880" xr:uid="{ED522784-1220-4E3B-AE2F-9ADE64E679AA}"/>
    <cellStyle name="Percent(0) 3 6 3" xfId="3518" xr:uid="{00000000-0005-0000-0000-0000BE0D0000}"/>
    <cellStyle name="Percent(0) 3 6 3 2" xfId="8881" xr:uid="{640FCF27-A33A-49D4-86EE-7A43E2E2467B}"/>
    <cellStyle name="Percent(0) 3 6 4" xfId="8637" xr:uid="{B3484ACC-F275-4F85-9099-19814B45B571}"/>
    <cellStyle name="Percent(0) 3 7" xfId="3519" xr:uid="{00000000-0005-0000-0000-0000BF0D0000}"/>
    <cellStyle name="Percent(0) 3 7 2" xfId="8882" xr:uid="{6623D6B6-24AF-4A2F-BB6F-775B6F7184F4}"/>
    <cellStyle name="Percent(0) 3 8" xfId="3520" xr:uid="{00000000-0005-0000-0000-0000C00D0000}"/>
    <cellStyle name="Percent(0) 3 8 2" xfId="8883" xr:uid="{3E3FD258-28E1-41E8-BF1D-AFB3C78DFF00}"/>
    <cellStyle name="Percent(0) 3 9" xfId="8629" xr:uid="{C59181D5-69CC-4532-BDFC-4B7DDE743993}"/>
    <cellStyle name="Percent(0) 3_ActiFijos" xfId="2276" xr:uid="{00000000-0005-0000-0000-0000E4080000}"/>
    <cellStyle name="Percent(0) 4" xfId="2277" xr:uid="{00000000-0005-0000-0000-0000E5080000}"/>
    <cellStyle name="Percent(0) 4 2" xfId="2278" xr:uid="{00000000-0005-0000-0000-0000E6080000}"/>
    <cellStyle name="Percent(0) 4 2 2" xfId="2279" xr:uid="{00000000-0005-0000-0000-0000E7080000}"/>
    <cellStyle name="Percent(0) 4 2 2 2" xfId="3521" xr:uid="{00000000-0005-0000-0000-0000C10D0000}"/>
    <cellStyle name="Percent(0) 4 2 2 2 2" xfId="8884" xr:uid="{D2DAE27F-6D99-4A77-9930-652C581B33B8}"/>
    <cellStyle name="Percent(0) 4 2 2 3" xfId="3522" xr:uid="{00000000-0005-0000-0000-0000C20D0000}"/>
    <cellStyle name="Percent(0) 4 2 2 3 2" xfId="8885" xr:uid="{B71938AE-47B4-493F-9220-E2A7A20BB98E}"/>
    <cellStyle name="Percent(0) 4 2 2 4" xfId="8640" xr:uid="{6F76333E-841F-4A2C-8A02-E6D7AD2079FF}"/>
    <cellStyle name="Percent(0) 4 2 3" xfId="3523" xr:uid="{00000000-0005-0000-0000-0000C30D0000}"/>
    <cellStyle name="Percent(0) 4 2 3 2" xfId="8886" xr:uid="{910B53B3-269A-4127-BAB6-A506CA71166D}"/>
    <cellStyle name="Percent(0) 4 2 4" xfId="3524" xr:uid="{00000000-0005-0000-0000-0000C40D0000}"/>
    <cellStyle name="Percent(0) 4 2 4 2" xfId="8887" xr:uid="{953304AF-4C58-4CB6-AAB5-7FEAD2796CC7}"/>
    <cellStyle name="Percent(0) 4 2 5" xfId="8639" xr:uid="{4701A8EC-B9E1-4E1E-8672-3C0E1F9A1749}"/>
    <cellStyle name="Percent(0) 4 3" xfId="2280" xr:uid="{00000000-0005-0000-0000-0000E8080000}"/>
    <cellStyle name="Percent(0) 4 3 2" xfId="2281" xr:uid="{00000000-0005-0000-0000-0000E9080000}"/>
    <cellStyle name="Percent(0) 4 3 2 2" xfId="3525" xr:uid="{00000000-0005-0000-0000-0000C50D0000}"/>
    <cellStyle name="Percent(0) 4 3 2 2 2" xfId="8888" xr:uid="{A230D1AE-A7B8-4DAC-9B4C-15CD65C1FBEB}"/>
    <cellStyle name="Percent(0) 4 3 2 3" xfId="3526" xr:uid="{00000000-0005-0000-0000-0000C60D0000}"/>
    <cellStyle name="Percent(0) 4 3 2 3 2" xfId="8889" xr:uid="{9D06DC1F-9277-4F1C-8FBB-92E9E276D2AD}"/>
    <cellStyle name="Percent(0) 4 3 2 4" xfId="8642" xr:uid="{1FDB1B5D-56A5-426F-B828-B7CA9FBA2DD6}"/>
    <cellStyle name="Percent(0) 4 3 3" xfId="3527" xr:uid="{00000000-0005-0000-0000-0000C70D0000}"/>
    <cellStyle name="Percent(0) 4 3 3 2" xfId="8890" xr:uid="{D52BA6C3-259C-4349-B4E7-A0FCD906E898}"/>
    <cellStyle name="Percent(0) 4 3 4" xfId="3528" xr:uid="{00000000-0005-0000-0000-0000C80D0000}"/>
    <cellStyle name="Percent(0) 4 3 4 2" xfId="8891" xr:uid="{E60D5457-94AB-43CB-8306-25C350D7711E}"/>
    <cellStyle name="Percent(0) 4 3 5" xfId="8641" xr:uid="{855FA1D1-2203-4F90-82FE-B5E9C1468649}"/>
    <cellStyle name="Percent(0) 4 4" xfId="2282" xr:uid="{00000000-0005-0000-0000-0000EA080000}"/>
    <cellStyle name="Percent(0) 4 4 2" xfId="2283" xr:uid="{00000000-0005-0000-0000-0000EB080000}"/>
    <cellStyle name="Percent(0) 4 4 2 2" xfId="3529" xr:uid="{00000000-0005-0000-0000-0000C90D0000}"/>
    <cellStyle name="Percent(0) 4 4 2 2 2" xfId="8892" xr:uid="{B448773B-A906-4346-94EE-57F72E42F340}"/>
    <cellStyle name="Percent(0) 4 4 2 3" xfId="3530" xr:uid="{00000000-0005-0000-0000-0000CA0D0000}"/>
    <cellStyle name="Percent(0) 4 4 2 3 2" xfId="8893" xr:uid="{E82C8FA0-03D8-4B1F-8873-2D3F291379B1}"/>
    <cellStyle name="Percent(0) 4 4 2 4" xfId="8644" xr:uid="{00028CC1-1624-4E35-99E3-010CF309C705}"/>
    <cellStyle name="Percent(0) 4 4 3" xfId="3531" xr:uid="{00000000-0005-0000-0000-0000CB0D0000}"/>
    <cellStyle name="Percent(0) 4 4 3 2" xfId="8894" xr:uid="{966E1D89-8569-4481-86B9-D91767F101DC}"/>
    <cellStyle name="Percent(0) 4 4 4" xfId="3532" xr:uid="{00000000-0005-0000-0000-0000CC0D0000}"/>
    <cellStyle name="Percent(0) 4 4 4 2" xfId="8895" xr:uid="{9FB5B4C0-D789-4684-9F27-E7D087888FA7}"/>
    <cellStyle name="Percent(0) 4 4 5" xfId="8643" xr:uid="{8A6477DB-D03E-44B8-A266-42D555B974CD}"/>
    <cellStyle name="Percent(0) 4 5" xfId="2284" xr:uid="{00000000-0005-0000-0000-0000EC080000}"/>
    <cellStyle name="Percent(0) 4 5 2" xfId="3533" xr:uid="{00000000-0005-0000-0000-0000CD0D0000}"/>
    <cellStyle name="Percent(0) 4 5 2 2" xfId="8896" xr:uid="{568CC06F-ED33-4BC8-9582-0D6DD1C66086}"/>
    <cellStyle name="Percent(0) 4 5 3" xfId="3534" xr:uid="{00000000-0005-0000-0000-0000CE0D0000}"/>
    <cellStyle name="Percent(0) 4 5 3 2" xfId="8897" xr:uid="{8FEFB2EA-FDDC-44E6-8E81-DCC59D5AB479}"/>
    <cellStyle name="Percent(0) 4 5 4" xfId="8645" xr:uid="{BB2DE250-3B02-4A1C-99D8-F6A7F900DCBB}"/>
    <cellStyle name="Percent(0) 4 6" xfId="2285" xr:uid="{00000000-0005-0000-0000-0000ED080000}"/>
    <cellStyle name="Percent(0) 4 6 2" xfId="3535" xr:uid="{00000000-0005-0000-0000-0000CF0D0000}"/>
    <cellStyle name="Percent(0) 4 6 2 2" xfId="8898" xr:uid="{ACC0BD80-05F1-4376-8ED8-87A2E4FEAEE2}"/>
    <cellStyle name="Percent(0) 4 6 3" xfId="3536" xr:uid="{00000000-0005-0000-0000-0000D00D0000}"/>
    <cellStyle name="Percent(0) 4 6 3 2" xfId="8899" xr:uid="{E47D6B65-788B-4284-A42A-EDA89D7AB195}"/>
    <cellStyle name="Percent(0) 4 6 4" xfId="8646" xr:uid="{427AC649-91D8-4434-A03C-A72C3A2C23FC}"/>
    <cellStyle name="Percent(0) 4 7" xfId="3537" xr:uid="{00000000-0005-0000-0000-0000D10D0000}"/>
    <cellStyle name="Percent(0) 4 7 2" xfId="8900" xr:uid="{4C7F67D4-12EC-40FA-B105-D71B1E7C7714}"/>
    <cellStyle name="Percent(0) 4 8" xfId="3538" xr:uid="{00000000-0005-0000-0000-0000D20D0000}"/>
    <cellStyle name="Percent(0) 4 8 2" xfId="8901" xr:uid="{6F9B2A64-EEC8-4419-8A3E-0D9D0600316D}"/>
    <cellStyle name="Percent(0) 4 9" xfId="8638" xr:uid="{7F5CECFE-0F61-48A3-AA24-C784151205C5}"/>
    <cellStyle name="Percent(0) 4_ActiFijos" xfId="2286" xr:uid="{00000000-0005-0000-0000-0000EE080000}"/>
    <cellStyle name="Percent(0) 5" xfId="2287" xr:uid="{00000000-0005-0000-0000-0000EF080000}"/>
    <cellStyle name="Percent(0) 5 2" xfId="3539" xr:uid="{00000000-0005-0000-0000-0000D30D0000}"/>
    <cellStyle name="Percent(0) 5 2 2" xfId="8902" xr:uid="{79B8E1F0-F067-4FE8-BAC8-3CF22ED4441C}"/>
    <cellStyle name="Percent(0) 5 3" xfId="3540" xr:uid="{00000000-0005-0000-0000-0000D40D0000}"/>
    <cellStyle name="Percent(0) 5 3 2" xfId="8903" xr:uid="{FD2CF5A7-96E4-44F3-9E0F-072BE0CDBB77}"/>
    <cellStyle name="Percent(0) 5 4" xfId="8647" xr:uid="{25CEEB8B-F0C9-48D6-A513-96E3E0AB3AB5}"/>
    <cellStyle name="Percent(0) 6" xfId="2288" xr:uid="{00000000-0005-0000-0000-0000F0080000}"/>
    <cellStyle name="Percent(0) 6 2" xfId="3541" xr:uid="{00000000-0005-0000-0000-0000D50D0000}"/>
    <cellStyle name="Percent(0) 6 2 2" xfId="8904" xr:uid="{F5DADA78-8666-4BFC-A632-DE2914AD4257}"/>
    <cellStyle name="Percent(0) 6 3" xfId="8648" xr:uid="{E9AC2A88-DD74-4F0E-8546-8C14312CF845}"/>
    <cellStyle name="Percent(0) 7" xfId="2289" xr:uid="{00000000-0005-0000-0000-0000F1080000}"/>
    <cellStyle name="Percent(0) 7 2" xfId="8649" xr:uid="{B8FA71D2-1C89-404C-AE7C-8AF69C416687}"/>
    <cellStyle name="Percent(0) 8" xfId="3542" xr:uid="{00000000-0005-0000-0000-0000D60D0000}"/>
    <cellStyle name="Percent(0) 8 2" xfId="8905" xr:uid="{D6187417-98A1-4E74-840E-A6E0A99D5855}"/>
    <cellStyle name="Percent(0) 9" xfId="3543" xr:uid="{00000000-0005-0000-0000-0000D70D0000}"/>
    <cellStyle name="Percent(0) 9 2" xfId="8906" xr:uid="{6EB44BDB-A935-4DD9-A5AC-2A3BC904EA90}"/>
    <cellStyle name="Percent(0)_Bases_Generales" xfId="2290" xr:uid="{00000000-0005-0000-0000-0000F2080000}"/>
    <cellStyle name="Percent_Balanc" xfId="2291" xr:uid="{00000000-0005-0000-0000-0000F3080000}"/>
    <cellStyle name="Porcentaje" xfId="7873" builtinId="5"/>
    <cellStyle name="Porcentaje 2" xfId="91" xr:uid="{00000000-0005-0000-0000-00005B000000}"/>
    <cellStyle name="Porcentaje 2 2" xfId="3729" xr:uid="{00000000-0005-0000-0000-0000910E0000}"/>
    <cellStyle name="Porcentaje 3" xfId="3730" xr:uid="{00000000-0005-0000-0000-0000920E0000}"/>
    <cellStyle name="Porcentaje 4" xfId="71" xr:uid="{00000000-0005-0000-0000-000047000000}"/>
    <cellStyle name="Porcentaje 7" xfId="24" xr:uid="{00000000-0005-0000-0000-000018000000}"/>
    <cellStyle name="Porcentaje 7 4" xfId="7872" xr:uid="{3E1C8BDC-6553-4815-A3E8-3949245F4281}"/>
    <cellStyle name="Porcentual 2" xfId="2292" xr:uid="{00000000-0005-0000-0000-0000F4080000}"/>
    <cellStyle name="Porcentual 2 2" xfId="2293" xr:uid="{00000000-0005-0000-0000-0000F5080000}"/>
    <cellStyle name="Porcentual 2 2 2" xfId="5823" xr:uid="{00000000-0005-0000-0000-0000BF160000}"/>
    <cellStyle name="Porcentual 2 2 3" xfId="5824" xr:uid="{00000000-0005-0000-0000-0000C0160000}"/>
    <cellStyle name="Porcentual 2 2 4" xfId="5825" xr:uid="{00000000-0005-0000-0000-0000C1160000}"/>
    <cellStyle name="Porcentual 2 2 4 2" xfId="5826" xr:uid="{00000000-0005-0000-0000-0000C2160000}"/>
    <cellStyle name="Porcentual 2 2 5" xfId="5827" xr:uid="{00000000-0005-0000-0000-0000C3160000}"/>
    <cellStyle name="Porcentual 2 3" xfId="3728" xr:uid="{00000000-0005-0000-0000-0000900E0000}"/>
    <cellStyle name="Porcentual 2 3 2" xfId="5828" xr:uid="{00000000-0005-0000-0000-0000C4160000}"/>
    <cellStyle name="Porcentual 2 3 3" xfId="5829" xr:uid="{00000000-0005-0000-0000-0000C5160000}"/>
    <cellStyle name="Porcentual 2 4" xfId="5830" xr:uid="{00000000-0005-0000-0000-0000C6160000}"/>
    <cellStyle name="Porcentual 2 4 2" xfId="5831" xr:uid="{00000000-0005-0000-0000-0000C7160000}"/>
    <cellStyle name="Porcentual 2 4 3" xfId="5832" xr:uid="{00000000-0005-0000-0000-0000C8160000}"/>
    <cellStyle name="Porcentual 2 5" xfId="5833" xr:uid="{00000000-0005-0000-0000-0000C9160000}"/>
    <cellStyle name="Porcentual 2 6" xfId="5834" xr:uid="{00000000-0005-0000-0000-0000CA160000}"/>
    <cellStyle name="Porcentual 23" xfId="5835" xr:uid="{00000000-0005-0000-0000-0000CB160000}"/>
    <cellStyle name="Porcentual 23 2" xfId="5836" xr:uid="{00000000-0005-0000-0000-0000CC160000}"/>
    <cellStyle name="Porcentual 3" xfId="2294" xr:uid="{00000000-0005-0000-0000-0000F6080000}"/>
    <cellStyle name="Porcentual 3 2" xfId="2295" xr:uid="{00000000-0005-0000-0000-0000F7080000}"/>
    <cellStyle name="Porcentual 3 2 2" xfId="5837" xr:uid="{00000000-0005-0000-0000-0000CD160000}"/>
    <cellStyle name="Porcentual 3 2 3" xfId="5838" xr:uid="{00000000-0005-0000-0000-0000CE160000}"/>
    <cellStyle name="Porcentual 3 3" xfId="2296" xr:uid="{00000000-0005-0000-0000-0000F8080000}"/>
    <cellStyle name="Porcentual 3 3 2" xfId="5839" xr:uid="{00000000-0005-0000-0000-0000CF160000}"/>
    <cellStyle name="Porcentual 3 4" xfId="2297" xr:uid="{00000000-0005-0000-0000-0000F9080000}"/>
    <cellStyle name="Porcentual 3 4 2" xfId="5840" xr:uid="{00000000-0005-0000-0000-0000D0160000}"/>
    <cellStyle name="Porcentual 3 5" xfId="2298" xr:uid="{00000000-0005-0000-0000-0000FA080000}"/>
    <cellStyle name="Porcentual 3 5 2" xfId="5841" xr:uid="{00000000-0005-0000-0000-0000D1160000}"/>
    <cellStyle name="Porcentual 3 6" xfId="2299" xr:uid="{00000000-0005-0000-0000-0000FB080000}"/>
    <cellStyle name="Porcentual 3 6 2" xfId="5842" xr:uid="{00000000-0005-0000-0000-0000D2160000}"/>
    <cellStyle name="Porcentual 3 7" xfId="3544" xr:uid="{00000000-0005-0000-0000-0000D80D0000}"/>
    <cellStyle name="Porcentual 3 8" xfId="3545" xr:uid="{00000000-0005-0000-0000-0000D90D0000}"/>
    <cellStyle name="Porcentual 4" xfId="2300" xr:uid="{00000000-0005-0000-0000-0000FC080000}"/>
    <cellStyle name="Porcentual 4 2" xfId="5843" xr:uid="{00000000-0005-0000-0000-0000D3160000}"/>
    <cellStyle name="Porcentual 4 3" xfId="5844" xr:uid="{00000000-0005-0000-0000-0000D4160000}"/>
    <cellStyle name="Porcentual 5" xfId="2301" xr:uid="{00000000-0005-0000-0000-0000FD080000}"/>
    <cellStyle name="Porcentual 5 2" xfId="5845" xr:uid="{00000000-0005-0000-0000-0000D5160000}"/>
    <cellStyle name="Porcentual 5 3" xfId="5846" xr:uid="{00000000-0005-0000-0000-0000D6160000}"/>
    <cellStyle name="Porcentual 6" xfId="2302" xr:uid="{00000000-0005-0000-0000-0000FE080000}"/>
    <cellStyle name="Porcentual 6 2" xfId="94" xr:uid="{00000000-0005-0000-0000-00005E000000}"/>
    <cellStyle name="Porcentual 7" xfId="5847" xr:uid="{00000000-0005-0000-0000-0000D7160000}"/>
    <cellStyle name="Porcentual 7 2" xfId="5848" xr:uid="{00000000-0005-0000-0000-0000D8160000}"/>
    <cellStyle name="Porcentual 8" xfId="5849" xr:uid="{00000000-0005-0000-0000-0000D9160000}"/>
    <cellStyle name="Porcentual 8 2" xfId="5850" xr:uid="{00000000-0005-0000-0000-0000DA160000}"/>
    <cellStyle name="Porcentual 9" xfId="5851" xr:uid="{00000000-0005-0000-0000-0000DB160000}"/>
    <cellStyle name="propio" xfId="2303" xr:uid="{00000000-0005-0000-0000-0000FF080000}"/>
    <cellStyle name="propio 10" xfId="3546" xr:uid="{00000000-0005-0000-0000-0000DA0D0000}"/>
    <cellStyle name="propio 10 2" xfId="8758" xr:uid="{CDF3DA7B-4CF7-406E-B078-A2F54FFD568A}"/>
    <cellStyle name="propio 11" xfId="8376" xr:uid="{0303AE6A-4EA5-48C7-86FA-8C0BF414B252}"/>
    <cellStyle name="propio 2" xfId="2304" xr:uid="{00000000-0005-0000-0000-000000090000}"/>
    <cellStyle name="propio 2 2" xfId="2305" xr:uid="{00000000-0005-0000-0000-000001090000}"/>
    <cellStyle name="propio 2 2 2" xfId="8374" xr:uid="{E0F5F2A7-3684-4914-8DA8-7BA1E3D51ACB}"/>
    <cellStyle name="propio 2 3" xfId="2306" xr:uid="{00000000-0005-0000-0000-000002090000}"/>
    <cellStyle name="propio 2 3 2" xfId="8373" xr:uid="{DECDEFF1-9F95-4026-BF8E-1112382A1E24}"/>
    <cellStyle name="propio 2 4" xfId="2307" xr:uid="{00000000-0005-0000-0000-000003090000}"/>
    <cellStyle name="propio 2 4 2" xfId="8309" xr:uid="{03B77F43-35C7-4729-AFB2-19361C579A3F}"/>
    <cellStyle name="propio 2 5" xfId="2308" xr:uid="{00000000-0005-0000-0000-000004090000}"/>
    <cellStyle name="propio 2 5 2" xfId="8814" xr:uid="{C71750F7-C99E-469A-AB54-300881A6AAC6}"/>
    <cellStyle name="propio 2 6" xfId="2309" xr:uid="{00000000-0005-0000-0000-000005090000}"/>
    <cellStyle name="propio 2 6 2" xfId="8813" xr:uid="{B5C1CB1C-CE80-4B57-90A8-02DB41B07587}"/>
    <cellStyle name="propio 2 7" xfId="3547" xr:uid="{00000000-0005-0000-0000-0000DB0D0000}"/>
    <cellStyle name="propio 2 7 2" xfId="7947" xr:uid="{3AFA19D3-1849-483E-8B7E-0A61862904E9}"/>
    <cellStyle name="propio 2 8" xfId="3548" xr:uid="{00000000-0005-0000-0000-0000DC0D0000}"/>
    <cellStyle name="propio 2 8 2" xfId="8757" xr:uid="{A7FC238E-677D-4299-9DF7-27EC23A8CED3}"/>
    <cellStyle name="propio 2 9" xfId="8375" xr:uid="{C70B1680-9934-4D69-94F5-F31DB26CC558}"/>
    <cellStyle name="propio 2_ActiFijos" xfId="2310" xr:uid="{00000000-0005-0000-0000-000006090000}"/>
    <cellStyle name="propio 3" xfId="2311" xr:uid="{00000000-0005-0000-0000-000007090000}"/>
    <cellStyle name="propio 3 2" xfId="2312" xr:uid="{00000000-0005-0000-0000-000008090000}"/>
    <cellStyle name="propio 3 2 2" xfId="8811" xr:uid="{B9693533-B0D5-485B-9940-D69ADC94C07D}"/>
    <cellStyle name="propio 3 3" xfId="2313" xr:uid="{00000000-0005-0000-0000-000009090000}"/>
    <cellStyle name="propio 3 3 2" xfId="8308" xr:uid="{12299391-C2B9-4DB2-8249-EE3EA79AECFF}"/>
    <cellStyle name="propio 3 4" xfId="2314" xr:uid="{00000000-0005-0000-0000-00000A090000}"/>
    <cellStyle name="propio 3 4 2" xfId="8307" xr:uid="{55C36BA9-9AA7-4094-AB82-644E71D68533}"/>
    <cellStyle name="propio 3 5" xfId="2315" xr:uid="{00000000-0005-0000-0000-00000B090000}"/>
    <cellStyle name="propio 3 5 2" xfId="8306" xr:uid="{30352CEA-AC49-4CA8-800E-ED7F44464C20}"/>
    <cellStyle name="propio 3 6" xfId="2316" xr:uid="{00000000-0005-0000-0000-00000C090000}"/>
    <cellStyle name="propio 3 6 2" xfId="8305" xr:uid="{EBA3F126-54EF-403C-9732-AB9D9524DE80}"/>
    <cellStyle name="propio 3 7" xfId="3549" xr:uid="{00000000-0005-0000-0000-0000DD0D0000}"/>
    <cellStyle name="propio 3 7 2" xfId="8998" xr:uid="{1BFD030A-C4BD-4797-92A1-9BDC2B934B9E}"/>
    <cellStyle name="propio 3 8" xfId="3550" xr:uid="{00000000-0005-0000-0000-0000DE0D0000}"/>
    <cellStyle name="propio 3 8 2" xfId="7946" xr:uid="{017D1DA0-D4A4-4963-A1F7-0899F3D492AE}"/>
    <cellStyle name="propio 3 9" xfId="8812" xr:uid="{1214E9F6-E20A-493B-9B13-ABF0C89A997B}"/>
    <cellStyle name="propio 3_ActiFijos" xfId="2317" xr:uid="{00000000-0005-0000-0000-00000D090000}"/>
    <cellStyle name="propio 4" xfId="2318" xr:uid="{00000000-0005-0000-0000-00000E090000}"/>
    <cellStyle name="propio 4 2" xfId="2319" xr:uid="{00000000-0005-0000-0000-00000F090000}"/>
    <cellStyle name="propio 4 2 2" xfId="8303" xr:uid="{BDE976EE-6DA4-401F-9B93-3502AB5E3DF9}"/>
    <cellStyle name="propio 4 3" xfId="2320" xr:uid="{00000000-0005-0000-0000-000010090000}"/>
    <cellStyle name="propio 4 3 2" xfId="8302" xr:uid="{29D00C39-7680-4389-A31F-AE1B3F9B31FB}"/>
    <cellStyle name="propio 4 4" xfId="2321" xr:uid="{00000000-0005-0000-0000-000011090000}"/>
    <cellStyle name="propio 4 4 2" xfId="8301" xr:uid="{C0648B45-3EEF-4F1D-89B3-E7B0F914BAF8}"/>
    <cellStyle name="propio 4 5" xfId="2322" xr:uid="{00000000-0005-0000-0000-000012090000}"/>
    <cellStyle name="propio 4 5 2" xfId="8300" xr:uid="{28BA29DD-8024-4CD2-9DB0-9986F80A5222}"/>
    <cellStyle name="propio 4 6" xfId="2323" xr:uid="{00000000-0005-0000-0000-000013090000}"/>
    <cellStyle name="propio 4 6 2" xfId="8299" xr:uid="{0DF2EF3F-3488-4252-B99D-999F787A62FE}"/>
    <cellStyle name="propio 4 7" xfId="3551" xr:uid="{00000000-0005-0000-0000-0000DF0D0000}"/>
    <cellStyle name="propio 4 7 2" xfId="8997" xr:uid="{A233A41E-C12E-43B5-B82C-6A4748947A63}"/>
    <cellStyle name="propio 4 8" xfId="3552" xr:uid="{00000000-0005-0000-0000-0000E00D0000}"/>
    <cellStyle name="propio 4 8 2" xfId="7945" xr:uid="{34FACE4C-F17E-480D-B0A2-D59B1DD61212}"/>
    <cellStyle name="propio 4 9" xfId="8304" xr:uid="{E227F306-A5A8-4FC7-8E2D-934498922014}"/>
    <cellStyle name="propio 4_ActiFijos" xfId="2324" xr:uid="{00000000-0005-0000-0000-000014090000}"/>
    <cellStyle name="propio 5" xfId="3553" xr:uid="{00000000-0005-0000-0000-0000E10D0000}"/>
    <cellStyle name="propio 5 2" xfId="7944" xr:uid="{D2622F93-1DDC-4E2F-A4AC-CD8E05709462}"/>
    <cellStyle name="propio 6" xfId="3554" xr:uid="{00000000-0005-0000-0000-0000E20D0000}"/>
    <cellStyle name="propio 6 2" xfId="8996" xr:uid="{8659619C-C2FF-4C0F-B61E-E670F8C94681}"/>
    <cellStyle name="propio 7" xfId="3555" xr:uid="{00000000-0005-0000-0000-0000E30D0000}"/>
    <cellStyle name="propio 7 2" xfId="7943" xr:uid="{823E359B-4D4A-403E-B4C4-3DAB543F06E2}"/>
    <cellStyle name="propio 8" xfId="3556" xr:uid="{00000000-0005-0000-0000-0000E40D0000}"/>
    <cellStyle name="propio 8 2" xfId="8995" xr:uid="{63379043-EF40-4009-B55D-4BCEDA74ED91}"/>
    <cellStyle name="propio 9" xfId="3557" xr:uid="{00000000-0005-0000-0000-0000E50D0000}"/>
    <cellStyle name="propio 9 2" xfId="7942" xr:uid="{ED5AAA1A-964E-4359-BC5C-7450B54C3AE7}"/>
    <cellStyle name="propio_Bases_Generales" xfId="2325" xr:uid="{00000000-0005-0000-0000-000015090000}"/>
    <cellStyle name="PSChar" xfId="2326" xr:uid="{00000000-0005-0000-0000-000016090000}"/>
    <cellStyle name="PSChar 2" xfId="2327" xr:uid="{00000000-0005-0000-0000-000017090000}"/>
    <cellStyle name="PSChar 2 2" xfId="2328" xr:uid="{00000000-0005-0000-0000-000018090000}"/>
    <cellStyle name="PSChar 2 2 2" xfId="8652" xr:uid="{A3E8B270-C729-4A5F-B542-E604D7DB266C}"/>
    <cellStyle name="PSChar 2 3" xfId="2329" xr:uid="{00000000-0005-0000-0000-000019090000}"/>
    <cellStyle name="PSChar 2 3 2" xfId="8653" xr:uid="{5FC6B5B3-5F12-4C1E-95E1-5439C7F414DB}"/>
    <cellStyle name="PSChar 2 4" xfId="2330" xr:uid="{00000000-0005-0000-0000-00001A090000}"/>
    <cellStyle name="PSChar 2 4 2" xfId="8654" xr:uid="{5B193BE4-F2BD-4B54-BEA3-3754592EEBED}"/>
    <cellStyle name="PSChar 2 5" xfId="2331" xr:uid="{00000000-0005-0000-0000-00001B090000}"/>
    <cellStyle name="PSChar 2 5 2" xfId="8655" xr:uid="{49B86857-661B-4BBD-855F-B816315928CC}"/>
    <cellStyle name="PSChar 2 6" xfId="2332" xr:uid="{00000000-0005-0000-0000-00001C090000}"/>
    <cellStyle name="PSChar 2 6 2" xfId="8656" xr:uid="{249A8731-94D4-4A4E-B855-2E51B592B6FF}"/>
    <cellStyle name="PSChar 2 7" xfId="3558" xr:uid="{00000000-0005-0000-0000-0000E60D0000}"/>
    <cellStyle name="PSChar 2 7 2" xfId="8907" xr:uid="{D5AB97A7-C4CE-4866-AD1A-08F5E74F6178}"/>
    <cellStyle name="PSChar 2 8" xfId="3559" xr:uid="{00000000-0005-0000-0000-0000E70D0000}"/>
    <cellStyle name="PSChar 2 8 2" xfId="8908" xr:uid="{9B77F29F-789D-4A1E-A670-F8330092A719}"/>
    <cellStyle name="PSChar 2 9" xfId="8651" xr:uid="{1932B8B1-CBE6-4EF6-8AF0-EF8B79E863D6}"/>
    <cellStyle name="PSChar 3" xfId="2333" xr:uid="{00000000-0005-0000-0000-00001D090000}"/>
    <cellStyle name="PSChar 3 2" xfId="2334" xr:uid="{00000000-0005-0000-0000-00001E090000}"/>
    <cellStyle name="PSChar 3 2 2" xfId="8658" xr:uid="{A80241BF-5866-4413-8466-FF4B585D5E42}"/>
    <cellStyle name="PSChar 3 3" xfId="2335" xr:uid="{00000000-0005-0000-0000-00001F090000}"/>
    <cellStyle name="PSChar 3 3 2" xfId="8659" xr:uid="{E4F271A9-0CC9-4D41-A87E-B062BE00DFB2}"/>
    <cellStyle name="PSChar 3 4" xfId="2336" xr:uid="{00000000-0005-0000-0000-000020090000}"/>
    <cellStyle name="PSChar 3 4 2" xfId="8660" xr:uid="{8DDB2CE4-4F0B-4B93-A35D-F871AD0F8472}"/>
    <cellStyle name="PSChar 3 5" xfId="2337" xr:uid="{00000000-0005-0000-0000-000021090000}"/>
    <cellStyle name="PSChar 3 5 2" xfId="8661" xr:uid="{05FE130D-0409-4338-A539-F0314F4C43D9}"/>
    <cellStyle name="PSChar 3 6" xfId="2338" xr:uid="{00000000-0005-0000-0000-000022090000}"/>
    <cellStyle name="PSChar 3 6 2" xfId="8662" xr:uid="{B7428E7A-D489-47A1-9B07-4C5B63FA2A9A}"/>
    <cellStyle name="PSChar 3 7" xfId="3560" xr:uid="{00000000-0005-0000-0000-0000E80D0000}"/>
    <cellStyle name="PSChar 3 7 2" xfId="8909" xr:uid="{22F80BBB-1FF1-426C-AC37-7F51EFC9A2C3}"/>
    <cellStyle name="PSChar 3 8" xfId="3561" xr:uid="{00000000-0005-0000-0000-0000E90D0000}"/>
    <cellStyle name="PSChar 3 8 2" xfId="8910" xr:uid="{F75B1BE3-B6F8-4D71-977F-24AE5E59EC79}"/>
    <cellStyle name="PSChar 3 9" xfId="8657" xr:uid="{AB316B21-5E09-411B-AEA3-413B84DDBBED}"/>
    <cellStyle name="PSChar 4" xfId="2339" xr:uid="{00000000-0005-0000-0000-000023090000}"/>
    <cellStyle name="PSChar 4 2" xfId="2340" xr:uid="{00000000-0005-0000-0000-000024090000}"/>
    <cellStyle name="PSChar 4 2 2" xfId="8664" xr:uid="{657427BC-6EB2-44AC-BF32-999289C5685C}"/>
    <cellStyle name="PSChar 4 3" xfId="2341" xr:uid="{00000000-0005-0000-0000-000025090000}"/>
    <cellStyle name="PSChar 4 3 2" xfId="8665" xr:uid="{8D9A4E13-0C9C-465D-ACC5-005C21BB72A5}"/>
    <cellStyle name="PSChar 4 4" xfId="2342" xr:uid="{00000000-0005-0000-0000-000026090000}"/>
    <cellStyle name="PSChar 4 4 2" xfId="8666" xr:uid="{339F8308-D323-4656-BAC1-36DA3E73ACEA}"/>
    <cellStyle name="PSChar 4 5" xfId="2343" xr:uid="{00000000-0005-0000-0000-000027090000}"/>
    <cellStyle name="PSChar 4 5 2" xfId="8667" xr:uid="{7C480DEE-EBCB-41FF-B5D9-B912FB64C22F}"/>
    <cellStyle name="PSChar 4 6" xfId="2344" xr:uid="{00000000-0005-0000-0000-000028090000}"/>
    <cellStyle name="PSChar 4 6 2" xfId="8668" xr:uid="{FD1D09C7-E363-417D-9650-20414E31F8F4}"/>
    <cellStyle name="PSChar 4 7" xfId="3562" xr:uid="{00000000-0005-0000-0000-0000EA0D0000}"/>
    <cellStyle name="PSChar 4 7 2" xfId="8911" xr:uid="{C355E62A-65C6-4F6E-99D0-0214250A779D}"/>
    <cellStyle name="PSChar 4 8" xfId="3563" xr:uid="{00000000-0005-0000-0000-0000EB0D0000}"/>
    <cellStyle name="PSChar 4 8 2" xfId="8912" xr:uid="{DF50FC16-C5B6-4627-8E1A-6BEF2AE1D911}"/>
    <cellStyle name="PSChar 4 9" xfId="8663" xr:uid="{402A9646-3FA5-4E42-8FC3-180F0712BC88}"/>
    <cellStyle name="PSChar 5" xfId="8650" xr:uid="{9503509E-EDD9-406B-96BD-42412D3D3655}"/>
    <cellStyle name="Punto0" xfId="3564" xr:uid="{00000000-0005-0000-0000-0000EC0D0000}"/>
    <cellStyle name="puntos" xfId="2345" xr:uid="{00000000-0005-0000-0000-000029090000}"/>
    <cellStyle name="puntos 2" xfId="2346" xr:uid="{00000000-0005-0000-0000-00002A090000}"/>
    <cellStyle name="puntos 2 2" xfId="2347" xr:uid="{00000000-0005-0000-0000-00002B090000}"/>
    <cellStyle name="puntos 2 2 2" xfId="5852" xr:uid="{00000000-0005-0000-0000-0000DC160000}"/>
    <cellStyle name="puntos 2 3" xfId="2348" xr:uid="{00000000-0005-0000-0000-00002C090000}"/>
    <cellStyle name="puntos 2 3 2" xfId="5853" xr:uid="{00000000-0005-0000-0000-0000DD160000}"/>
    <cellStyle name="puntos 2 4" xfId="2349" xr:uid="{00000000-0005-0000-0000-00002D090000}"/>
    <cellStyle name="puntos 2 4 2" xfId="5854" xr:uid="{00000000-0005-0000-0000-0000DE160000}"/>
    <cellStyle name="puntos 2 5" xfId="2350" xr:uid="{00000000-0005-0000-0000-00002E090000}"/>
    <cellStyle name="puntos 2 5 2" xfId="5855" xr:uid="{00000000-0005-0000-0000-0000DF160000}"/>
    <cellStyle name="puntos 2 6" xfId="2351" xr:uid="{00000000-0005-0000-0000-00002F090000}"/>
    <cellStyle name="puntos 2 6 2" xfId="5856" xr:uid="{00000000-0005-0000-0000-0000E0160000}"/>
    <cellStyle name="puntos 2 7" xfId="3565" xr:uid="{00000000-0005-0000-0000-0000ED0D0000}"/>
    <cellStyle name="puntos 2 8" xfId="3566" xr:uid="{00000000-0005-0000-0000-0000EE0D0000}"/>
    <cellStyle name="puntos 3" xfId="2352" xr:uid="{00000000-0005-0000-0000-000030090000}"/>
    <cellStyle name="puntos 3 2" xfId="2353" xr:uid="{00000000-0005-0000-0000-000031090000}"/>
    <cellStyle name="puntos 3 2 2" xfId="5857" xr:uid="{00000000-0005-0000-0000-0000E1160000}"/>
    <cellStyle name="puntos 3 3" xfId="2354" xr:uid="{00000000-0005-0000-0000-000032090000}"/>
    <cellStyle name="puntos 3 3 2" xfId="5858" xr:uid="{00000000-0005-0000-0000-0000E2160000}"/>
    <cellStyle name="puntos 3 4" xfId="2355" xr:uid="{00000000-0005-0000-0000-000033090000}"/>
    <cellStyle name="puntos 3 4 2" xfId="5859" xr:uid="{00000000-0005-0000-0000-0000E3160000}"/>
    <cellStyle name="puntos 3 5" xfId="2356" xr:uid="{00000000-0005-0000-0000-000034090000}"/>
    <cellStyle name="puntos 3 5 2" xfId="5860" xr:uid="{00000000-0005-0000-0000-0000E4160000}"/>
    <cellStyle name="puntos 3 6" xfId="2357" xr:uid="{00000000-0005-0000-0000-000035090000}"/>
    <cellStyle name="puntos 3 6 2" xfId="5861" xr:uid="{00000000-0005-0000-0000-0000E5160000}"/>
    <cellStyle name="puntos 3 7" xfId="3567" xr:uid="{00000000-0005-0000-0000-0000EF0D0000}"/>
    <cellStyle name="puntos 3 8" xfId="3568" xr:uid="{00000000-0005-0000-0000-0000F00D0000}"/>
    <cellStyle name="puntos 4" xfId="2358" xr:uid="{00000000-0005-0000-0000-000036090000}"/>
    <cellStyle name="puntos 4 2" xfId="2359" xr:uid="{00000000-0005-0000-0000-000037090000}"/>
    <cellStyle name="puntos 4 2 2" xfId="5862" xr:uid="{00000000-0005-0000-0000-0000E6160000}"/>
    <cellStyle name="puntos 4 3" xfId="2360" xr:uid="{00000000-0005-0000-0000-000038090000}"/>
    <cellStyle name="puntos 4 3 2" xfId="5863" xr:uid="{00000000-0005-0000-0000-0000E7160000}"/>
    <cellStyle name="puntos 4 4" xfId="2361" xr:uid="{00000000-0005-0000-0000-000039090000}"/>
    <cellStyle name="puntos 4 4 2" xfId="5864" xr:uid="{00000000-0005-0000-0000-0000E8160000}"/>
    <cellStyle name="puntos 4 5" xfId="2362" xr:uid="{00000000-0005-0000-0000-00003A090000}"/>
    <cellStyle name="puntos 4 5 2" xfId="5865" xr:uid="{00000000-0005-0000-0000-0000E9160000}"/>
    <cellStyle name="puntos 4 6" xfId="2363" xr:uid="{00000000-0005-0000-0000-00003B090000}"/>
    <cellStyle name="puntos 4 6 2" xfId="5866" xr:uid="{00000000-0005-0000-0000-0000EA160000}"/>
    <cellStyle name="puntos 4 7" xfId="3569" xr:uid="{00000000-0005-0000-0000-0000F10D0000}"/>
    <cellStyle name="puntos 4 8" xfId="3570" xr:uid="{00000000-0005-0000-0000-0000F20D0000}"/>
    <cellStyle name="puntos 5" xfId="5867" xr:uid="{00000000-0005-0000-0000-0000EB160000}"/>
    <cellStyle name="Resaltar" xfId="2364" xr:uid="{00000000-0005-0000-0000-00003C090000}"/>
    <cellStyle name="Resaltar 10" xfId="3571" xr:uid="{00000000-0005-0000-0000-0000F30D0000}"/>
    <cellStyle name="Resaltar 2" xfId="2365" xr:uid="{00000000-0005-0000-0000-00003D090000}"/>
    <cellStyle name="Resaltar 2 2" xfId="2366" xr:uid="{00000000-0005-0000-0000-00003E090000}"/>
    <cellStyle name="Resaltar 2 3" xfId="2367" xr:uid="{00000000-0005-0000-0000-00003F090000}"/>
    <cellStyle name="Resaltar 2 4" xfId="2368" xr:uid="{00000000-0005-0000-0000-000040090000}"/>
    <cellStyle name="Resaltar 2 5" xfId="2369" xr:uid="{00000000-0005-0000-0000-000041090000}"/>
    <cellStyle name="Resaltar 2 6" xfId="2370" xr:uid="{00000000-0005-0000-0000-000042090000}"/>
    <cellStyle name="Resaltar 2 7" xfId="3572" xr:uid="{00000000-0005-0000-0000-0000F40D0000}"/>
    <cellStyle name="Resaltar 2 8" xfId="3573" xr:uid="{00000000-0005-0000-0000-0000F50D0000}"/>
    <cellStyle name="Resaltar 2_ActiFijos" xfId="2371" xr:uid="{00000000-0005-0000-0000-000043090000}"/>
    <cellStyle name="Resaltar 3" xfId="2372" xr:uid="{00000000-0005-0000-0000-000044090000}"/>
    <cellStyle name="Resaltar 3 2" xfId="2373" xr:uid="{00000000-0005-0000-0000-000045090000}"/>
    <cellStyle name="Resaltar 3 3" xfId="2374" xr:uid="{00000000-0005-0000-0000-000046090000}"/>
    <cellStyle name="Resaltar 3 4" xfId="2375" xr:uid="{00000000-0005-0000-0000-000047090000}"/>
    <cellStyle name="Resaltar 3 5" xfId="2376" xr:uid="{00000000-0005-0000-0000-000048090000}"/>
    <cellStyle name="Resaltar 3 6" xfId="2377" xr:uid="{00000000-0005-0000-0000-000049090000}"/>
    <cellStyle name="Resaltar 3 7" xfId="3574" xr:uid="{00000000-0005-0000-0000-0000F60D0000}"/>
    <cellStyle name="Resaltar 3 8" xfId="3575" xr:uid="{00000000-0005-0000-0000-0000F70D0000}"/>
    <cellStyle name="Resaltar 3_ActiFijos" xfId="2378" xr:uid="{00000000-0005-0000-0000-00004A090000}"/>
    <cellStyle name="Resaltar 4" xfId="2379" xr:uid="{00000000-0005-0000-0000-00004B090000}"/>
    <cellStyle name="Resaltar 4 2" xfId="2380" xr:uid="{00000000-0005-0000-0000-00004C090000}"/>
    <cellStyle name="Resaltar 4 3" xfId="2381" xr:uid="{00000000-0005-0000-0000-00004D090000}"/>
    <cellStyle name="Resaltar 4 4" xfId="2382" xr:uid="{00000000-0005-0000-0000-00004E090000}"/>
    <cellStyle name="Resaltar 4 5" xfId="2383" xr:uid="{00000000-0005-0000-0000-00004F090000}"/>
    <cellStyle name="Resaltar 4 6" xfId="2384" xr:uid="{00000000-0005-0000-0000-000050090000}"/>
    <cellStyle name="Resaltar 4 7" xfId="3576" xr:uid="{00000000-0005-0000-0000-0000F80D0000}"/>
    <cellStyle name="Resaltar 4 8" xfId="3577" xr:uid="{00000000-0005-0000-0000-0000F90D0000}"/>
    <cellStyle name="Resaltar 4_ActiFijos" xfId="2385" xr:uid="{00000000-0005-0000-0000-000051090000}"/>
    <cellStyle name="Resaltar 5" xfId="3578" xr:uid="{00000000-0005-0000-0000-0000FA0D0000}"/>
    <cellStyle name="Resaltar 6" xfId="3579" xr:uid="{00000000-0005-0000-0000-0000FB0D0000}"/>
    <cellStyle name="Resaltar 7" xfId="3580" xr:uid="{00000000-0005-0000-0000-0000FC0D0000}"/>
    <cellStyle name="Resaltar 8" xfId="3581" xr:uid="{00000000-0005-0000-0000-0000FD0D0000}"/>
    <cellStyle name="Resaltar 9" xfId="3582" xr:uid="{00000000-0005-0000-0000-0000FE0D0000}"/>
    <cellStyle name="Resaltar_Bases_Generales" xfId="2386" xr:uid="{00000000-0005-0000-0000-000052090000}"/>
    <cellStyle name="Resaltar1" xfId="2387" xr:uid="{00000000-0005-0000-0000-000053090000}"/>
    <cellStyle name="Resaltar1 10" xfId="3583" xr:uid="{00000000-0005-0000-0000-0000FF0D0000}"/>
    <cellStyle name="Resaltar1 2" xfId="2388" xr:uid="{00000000-0005-0000-0000-000054090000}"/>
    <cellStyle name="Resaltar1 2 2" xfId="2389" xr:uid="{00000000-0005-0000-0000-000055090000}"/>
    <cellStyle name="Resaltar1 2 3" xfId="2390" xr:uid="{00000000-0005-0000-0000-000056090000}"/>
    <cellStyle name="Resaltar1 2 4" xfId="2391" xr:uid="{00000000-0005-0000-0000-000057090000}"/>
    <cellStyle name="Resaltar1 2 5" xfId="2392" xr:uid="{00000000-0005-0000-0000-000058090000}"/>
    <cellStyle name="Resaltar1 2 6" xfId="2393" xr:uid="{00000000-0005-0000-0000-000059090000}"/>
    <cellStyle name="Resaltar1 2 7" xfId="3584" xr:uid="{00000000-0005-0000-0000-0000000E0000}"/>
    <cellStyle name="Resaltar1 2 8" xfId="3585" xr:uid="{00000000-0005-0000-0000-0000010E0000}"/>
    <cellStyle name="Resaltar1 2_ActiFijos" xfId="2394" xr:uid="{00000000-0005-0000-0000-00005A090000}"/>
    <cellStyle name="Resaltar1 3" xfId="2395" xr:uid="{00000000-0005-0000-0000-00005B090000}"/>
    <cellStyle name="Resaltar1 3 2" xfId="2396" xr:uid="{00000000-0005-0000-0000-00005C090000}"/>
    <cellStyle name="Resaltar1 3 3" xfId="2397" xr:uid="{00000000-0005-0000-0000-00005D090000}"/>
    <cellStyle name="Resaltar1 3 4" xfId="2398" xr:uid="{00000000-0005-0000-0000-00005E090000}"/>
    <cellStyle name="Resaltar1 3 5" xfId="2399" xr:uid="{00000000-0005-0000-0000-00005F090000}"/>
    <cellStyle name="Resaltar1 3 6" xfId="2400" xr:uid="{00000000-0005-0000-0000-000060090000}"/>
    <cellStyle name="Resaltar1 3 7" xfId="3586" xr:uid="{00000000-0005-0000-0000-0000020E0000}"/>
    <cellStyle name="Resaltar1 3 8" xfId="3587" xr:uid="{00000000-0005-0000-0000-0000030E0000}"/>
    <cellStyle name="Resaltar1 3_ActiFijos" xfId="2401" xr:uid="{00000000-0005-0000-0000-000061090000}"/>
    <cellStyle name="Resaltar1 4" xfId="2402" xr:uid="{00000000-0005-0000-0000-000062090000}"/>
    <cellStyle name="Resaltar1 4 2" xfId="2403" xr:uid="{00000000-0005-0000-0000-000063090000}"/>
    <cellStyle name="Resaltar1 4 3" xfId="2404" xr:uid="{00000000-0005-0000-0000-000064090000}"/>
    <cellStyle name="Resaltar1 4 4" xfId="2405" xr:uid="{00000000-0005-0000-0000-000065090000}"/>
    <cellStyle name="Resaltar1 4 5" xfId="2406" xr:uid="{00000000-0005-0000-0000-000066090000}"/>
    <cellStyle name="Resaltar1 4 6" xfId="2407" xr:uid="{00000000-0005-0000-0000-000067090000}"/>
    <cellStyle name="Resaltar1 4 7" xfId="3588" xr:uid="{00000000-0005-0000-0000-0000040E0000}"/>
    <cellStyle name="Resaltar1 4 8" xfId="3589" xr:uid="{00000000-0005-0000-0000-0000050E0000}"/>
    <cellStyle name="Resaltar1 4_ActiFijos" xfId="2408" xr:uid="{00000000-0005-0000-0000-000068090000}"/>
    <cellStyle name="Resaltar1 5" xfId="3590" xr:uid="{00000000-0005-0000-0000-0000060E0000}"/>
    <cellStyle name="Resaltar1 6" xfId="3591" xr:uid="{00000000-0005-0000-0000-0000070E0000}"/>
    <cellStyle name="Resaltar1 7" xfId="3592" xr:uid="{00000000-0005-0000-0000-0000080E0000}"/>
    <cellStyle name="Resaltar1 8" xfId="3593" xr:uid="{00000000-0005-0000-0000-0000090E0000}"/>
    <cellStyle name="Resaltar1 9" xfId="3594" xr:uid="{00000000-0005-0000-0000-00000A0E0000}"/>
    <cellStyle name="Resaltar1_Bases_Generales" xfId="2409" xr:uid="{00000000-0005-0000-0000-000069090000}"/>
    <cellStyle name="RISKbigPercent" xfId="2410" xr:uid="{00000000-0005-0000-0000-00006A090000}"/>
    <cellStyle name="RISKbigPercent 2" xfId="2411" xr:uid="{00000000-0005-0000-0000-00006B090000}"/>
    <cellStyle name="RISKbigPercent 2 2" xfId="2412" xr:uid="{00000000-0005-0000-0000-00006C090000}"/>
    <cellStyle name="RISKbigPercent 2 2 2" xfId="5868" xr:uid="{00000000-0005-0000-0000-0000EC160000}"/>
    <cellStyle name="RISKbigPercent 2 3" xfId="2413" xr:uid="{00000000-0005-0000-0000-00006D090000}"/>
    <cellStyle name="RISKbigPercent 2 3 2" xfId="5869" xr:uid="{00000000-0005-0000-0000-0000ED160000}"/>
    <cellStyle name="RISKbigPercent 2 4" xfId="2414" xr:uid="{00000000-0005-0000-0000-00006E090000}"/>
    <cellStyle name="RISKbigPercent 2 4 2" xfId="5870" xr:uid="{00000000-0005-0000-0000-0000EE160000}"/>
    <cellStyle name="RISKbigPercent 2 5" xfId="2415" xr:uid="{00000000-0005-0000-0000-00006F090000}"/>
    <cellStyle name="RISKbigPercent 2 5 2" xfId="5871" xr:uid="{00000000-0005-0000-0000-0000EF160000}"/>
    <cellStyle name="RISKbigPercent 2 6" xfId="2416" xr:uid="{00000000-0005-0000-0000-000070090000}"/>
    <cellStyle name="RISKbigPercent 2 6 2" xfId="5872" xr:uid="{00000000-0005-0000-0000-0000F0160000}"/>
    <cellStyle name="RISKbigPercent 2 7" xfId="3595" xr:uid="{00000000-0005-0000-0000-00000B0E0000}"/>
    <cellStyle name="RISKbigPercent 2 8" xfId="3596" xr:uid="{00000000-0005-0000-0000-00000C0E0000}"/>
    <cellStyle name="RISKbigPercent 3" xfId="2417" xr:uid="{00000000-0005-0000-0000-000071090000}"/>
    <cellStyle name="RISKbigPercent 3 2" xfId="2418" xr:uid="{00000000-0005-0000-0000-000072090000}"/>
    <cellStyle name="RISKbigPercent 3 2 2" xfId="5873" xr:uid="{00000000-0005-0000-0000-0000F1160000}"/>
    <cellStyle name="RISKbigPercent 3 3" xfId="2419" xr:uid="{00000000-0005-0000-0000-000073090000}"/>
    <cellStyle name="RISKbigPercent 3 3 2" xfId="5874" xr:uid="{00000000-0005-0000-0000-0000F2160000}"/>
    <cellStyle name="RISKbigPercent 3 4" xfId="2420" xr:uid="{00000000-0005-0000-0000-000074090000}"/>
    <cellStyle name="RISKbigPercent 3 4 2" xfId="5875" xr:uid="{00000000-0005-0000-0000-0000F3160000}"/>
    <cellStyle name="RISKbigPercent 3 5" xfId="2421" xr:uid="{00000000-0005-0000-0000-000075090000}"/>
    <cellStyle name="RISKbigPercent 3 5 2" xfId="5876" xr:uid="{00000000-0005-0000-0000-0000F4160000}"/>
    <cellStyle name="RISKbigPercent 3 6" xfId="2422" xr:uid="{00000000-0005-0000-0000-000076090000}"/>
    <cellStyle name="RISKbigPercent 3 6 2" xfId="5877" xr:uid="{00000000-0005-0000-0000-0000F5160000}"/>
    <cellStyle name="RISKbigPercent 3 7" xfId="3597" xr:uid="{00000000-0005-0000-0000-00000D0E0000}"/>
    <cellStyle name="RISKbigPercent 3 8" xfId="3598" xr:uid="{00000000-0005-0000-0000-00000E0E0000}"/>
    <cellStyle name="RISKbigPercent 4" xfId="2423" xr:uid="{00000000-0005-0000-0000-000077090000}"/>
    <cellStyle name="RISKbigPercent 4 2" xfId="2424" xr:uid="{00000000-0005-0000-0000-000078090000}"/>
    <cellStyle name="RISKbigPercent 4 2 2" xfId="5878" xr:uid="{00000000-0005-0000-0000-0000F6160000}"/>
    <cellStyle name="RISKbigPercent 4 3" xfId="2425" xr:uid="{00000000-0005-0000-0000-000079090000}"/>
    <cellStyle name="RISKbigPercent 4 3 2" xfId="5879" xr:uid="{00000000-0005-0000-0000-0000F7160000}"/>
    <cellStyle name="RISKbigPercent 4 4" xfId="2426" xr:uid="{00000000-0005-0000-0000-00007A090000}"/>
    <cellStyle name="RISKbigPercent 4 4 2" xfId="5880" xr:uid="{00000000-0005-0000-0000-0000F8160000}"/>
    <cellStyle name="RISKbigPercent 4 5" xfId="2427" xr:uid="{00000000-0005-0000-0000-00007B090000}"/>
    <cellStyle name="RISKbigPercent 4 5 2" xfId="5881" xr:uid="{00000000-0005-0000-0000-0000F9160000}"/>
    <cellStyle name="RISKbigPercent 4 6" xfId="2428" xr:uid="{00000000-0005-0000-0000-00007C090000}"/>
    <cellStyle name="RISKbigPercent 4 6 2" xfId="5882" xr:uid="{00000000-0005-0000-0000-0000FA160000}"/>
    <cellStyle name="RISKbigPercent 4 7" xfId="3599" xr:uid="{00000000-0005-0000-0000-00000F0E0000}"/>
    <cellStyle name="RISKbigPercent 4 8" xfId="3600" xr:uid="{00000000-0005-0000-0000-0000100E0000}"/>
    <cellStyle name="RISKbigPercent 5" xfId="5883" xr:uid="{00000000-0005-0000-0000-0000FB160000}"/>
    <cellStyle name="RISKblandrEdge" xfId="2429" xr:uid="{00000000-0005-0000-0000-00007D090000}"/>
    <cellStyle name="RISKblandrEdge 2" xfId="2430" xr:uid="{00000000-0005-0000-0000-00007E090000}"/>
    <cellStyle name="RISKblandrEdge 2 2" xfId="2431" xr:uid="{00000000-0005-0000-0000-00007F090000}"/>
    <cellStyle name="RISKblandrEdge 2 2 2" xfId="5884" xr:uid="{00000000-0005-0000-0000-0000FC160000}"/>
    <cellStyle name="RISKblandrEdge 2 3" xfId="2432" xr:uid="{00000000-0005-0000-0000-000080090000}"/>
    <cellStyle name="RISKblandrEdge 2 3 2" xfId="5885" xr:uid="{00000000-0005-0000-0000-0000FD160000}"/>
    <cellStyle name="RISKblandrEdge 2 4" xfId="2433" xr:uid="{00000000-0005-0000-0000-000081090000}"/>
    <cellStyle name="RISKblandrEdge 2 4 2" xfId="5886" xr:uid="{00000000-0005-0000-0000-0000FE160000}"/>
    <cellStyle name="RISKblandrEdge 2 5" xfId="2434" xr:uid="{00000000-0005-0000-0000-000082090000}"/>
    <cellStyle name="RISKblandrEdge 2 5 2" xfId="5887" xr:uid="{00000000-0005-0000-0000-0000FF160000}"/>
    <cellStyle name="RISKblandrEdge 2 6" xfId="2435" xr:uid="{00000000-0005-0000-0000-000083090000}"/>
    <cellStyle name="RISKblandrEdge 2 6 2" xfId="5888" xr:uid="{00000000-0005-0000-0000-000000170000}"/>
    <cellStyle name="RISKblandrEdge 2 7" xfId="3601" xr:uid="{00000000-0005-0000-0000-0000110E0000}"/>
    <cellStyle name="RISKblandrEdge 2 8" xfId="3602" xr:uid="{00000000-0005-0000-0000-0000120E0000}"/>
    <cellStyle name="RISKblandrEdge 3" xfId="2436" xr:uid="{00000000-0005-0000-0000-000084090000}"/>
    <cellStyle name="RISKblandrEdge 3 2" xfId="2437" xr:uid="{00000000-0005-0000-0000-000085090000}"/>
    <cellStyle name="RISKblandrEdge 3 2 2" xfId="5889" xr:uid="{00000000-0005-0000-0000-000001170000}"/>
    <cellStyle name="RISKblandrEdge 3 3" xfId="2438" xr:uid="{00000000-0005-0000-0000-000086090000}"/>
    <cellStyle name="RISKblandrEdge 3 3 2" xfId="5890" xr:uid="{00000000-0005-0000-0000-000002170000}"/>
    <cellStyle name="RISKblandrEdge 3 4" xfId="2439" xr:uid="{00000000-0005-0000-0000-000087090000}"/>
    <cellStyle name="RISKblandrEdge 3 4 2" xfId="5891" xr:uid="{00000000-0005-0000-0000-000003170000}"/>
    <cellStyle name="RISKblandrEdge 3 5" xfId="2440" xr:uid="{00000000-0005-0000-0000-000088090000}"/>
    <cellStyle name="RISKblandrEdge 3 5 2" xfId="5892" xr:uid="{00000000-0005-0000-0000-000004170000}"/>
    <cellStyle name="RISKblandrEdge 3 6" xfId="2441" xr:uid="{00000000-0005-0000-0000-000089090000}"/>
    <cellStyle name="RISKblandrEdge 3 6 2" xfId="5893" xr:uid="{00000000-0005-0000-0000-000005170000}"/>
    <cellStyle name="RISKblandrEdge 3 7" xfId="3603" xr:uid="{00000000-0005-0000-0000-0000130E0000}"/>
    <cellStyle name="RISKblandrEdge 3 8" xfId="3604" xr:uid="{00000000-0005-0000-0000-0000140E0000}"/>
    <cellStyle name="RISKblandrEdge 4" xfId="2442" xr:uid="{00000000-0005-0000-0000-00008A090000}"/>
    <cellStyle name="RISKblandrEdge 4 2" xfId="2443" xr:uid="{00000000-0005-0000-0000-00008B090000}"/>
    <cellStyle name="RISKblandrEdge 4 2 2" xfId="5894" xr:uid="{00000000-0005-0000-0000-000006170000}"/>
    <cellStyle name="RISKblandrEdge 4 3" xfId="2444" xr:uid="{00000000-0005-0000-0000-00008C090000}"/>
    <cellStyle name="RISKblandrEdge 4 3 2" xfId="5895" xr:uid="{00000000-0005-0000-0000-000007170000}"/>
    <cellStyle name="RISKblandrEdge 4 4" xfId="2445" xr:uid="{00000000-0005-0000-0000-00008D090000}"/>
    <cellStyle name="RISKblandrEdge 4 4 2" xfId="5896" xr:uid="{00000000-0005-0000-0000-000008170000}"/>
    <cellStyle name="RISKblandrEdge 4 5" xfId="2446" xr:uid="{00000000-0005-0000-0000-00008E090000}"/>
    <cellStyle name="RISKblandrEdge 4 5 2" xfId="5897" xr:uid="{00000000-0005-0000-0000-000009170000}"/>
    <cellStyle name="RISKblandrEdge 4 6" xfId="2447" xr:uid="{00000000-0005-0000-0000-00008F090000}"/>
    <cellStyle name="RISKblandrEdge 4 6 2" xfId="5898" xr:uid="{00000000-0005-0000-0000-00000A170000}"/>
    <cellStyle name="RISKblandrEdge 4 7" xfId="3605" xr:uid="{00000000-0005-0000-0000-0000150E0000}"/>
    <cellStyle name="RISKblandrEdge 4 8" xfId="3606" xr:uid="{00000000-0005-0000-0000-0000160E0000}"/>
    <cellStyle name="RISKblandrEdge 5" xfId="5899" xr:uid="{00000000-0005-0000-0000-00000B170000}"/>
    <cellStyle name="RISKblCorner" xfId="2448" xr:uid="{00000000-0005-0000-0000-000090090000}"/>
    <cellStyle name="RISKblCorner 2" xfId="2449" xr:uid="{00000000-0005-0000-0000-000091090000}"/>
    <cellStyle name="RISKblCorner 2 2" xfId="2450" xr:uid="{00000000-0005-0000-0000-000092090000}"/>
    <cellStyle name="RISKblCorner 2 2 2" xfId="5900" xr:uid="{00000000-0005-0000-0000-00000C170000}"/>
    <cellStyle name="RISKblCorner 2 3" xfId="2451" xr:uid="{00000000-0005-0000-0000-000093090000}"/>
    <cellStyle name="RISKblCorner 2 3 2" xfId="5901" xr:uid="{00000000-0005-0000-0000-00000D170000}"/>
    <cellStyle name="RISKblCorner 2 4" xfId="2452" xr:uid="{00000000-0005-0000-0000-000094090000}"/>
    <cellStyle name="RISKblCorner 2 4 2" xfId="5902" xr:uid="{00000000-0005-0000-0000-00000E170000}"/>
    <cellStyle name="RISKblCorner 2 5" xfId="2453" xr:uid="{00000000-0005-0000-0000-000095090000}"/>
    <cellStyle name="RISKblCorner 2 5 2" xfId="5903" xr:uid="{00000000-0005-0000-0000-00000F170000}"/>
    <cellStyle name="RISKblCorner 2 6" xfId="2454" xr:uid="{00000000-0005-0000-0000-000096090000}"/>
    <cellStyle name="RISKblCorner 2 6 2" xfId="5904" xr:uid="{00000000-0005-0000-0000-000010170000}"/>
    <cellStyle name="RISKblCorner 2 7" xfId="3607" xr:uid="{00000000-0005-0000-0000-0000170E0000}"/>
    <cellStyle name="RISKblCorner 2 8" xfId="3608" xr:uid="{00000000-0005-0000-0000-0000180E0000}"/>
    <cellStyle name="RISKblCorner 3" xfId="2455" xr:uid="{00000000-0005-0000-0000-000097090000}"/>
    <cellStyle name="RISKblCorner 3 2" xfId="2456" xr:uid="{00000000-0005-0000-0000-000098090000}"/>
    <cellStyle name="RISKblCorner 3 2 2" xfId="5905" xr:uid="{00000000-0005-0000-0000-000011170000}"/>
    <cellStyle name="RISKblCorner 3 3" xfId="2457" xr:uid="{00000000-0005-0000-0000-000099090000}"/>
    <cellStyle name="RISKblCorner 3 3 2" xfId="5906" xr:uid="{00000000-0005-0000-0000-000012170000}"/>
    <cellStyle name="RISKblCorner 3 4" xfId="2458" xr:uid="{00000000-0005-0000-0000-00009A090000}"/>
    <cellStyle name="RISKblCorner 3 4 2" xfId="5907" xr:uid="{00000000-0005-0000-0000-000013170000}"/>
    <cellStyle name="RISKblCorner 3 5" xfId="2459" xr:uid="{00000000-0005-0000-0000-00009B090000}"/>
    <cellStyle name="RISKblCorner 3 5 2" xfId="5908" xr:uid="{00000000-0005-0000-0000-000014170000}"/>
    <cellStyle name="RISKblCorner 3 6" xfId="2460" xr:uid="{00000000-0005-0000-0000-00009C090000}"/>
    <cellStyle name="RISKblCorner 3 6 2" xfId="5909" xr:uid="{00000000-0005-0000-0000-000015170000}"/>
    <cellStyle name="RISKblCorner 3 7" xfId="3609" xr:uid="{00000000-0005-0000-0000-0000190E0000}"/>
    <cellStyle name="RISKblCorner 3 8" xfId="3610" xr:uid="{00000000-0005-0000-0000-00001A0E0000}"/>
    <cellStyle name="RISKblCorner 4" xfId="2461" xr:uid="{00000000-0005-0000-0000-00009D090000}"/>
    <cellStyle name="RISKblCorner 4 2" xfId="2462" xr:uid="{00000000-0005-0000-0000-00009E090000}"/>
    <cellStyle name="RISKblCorner 4 2 2" xfId="5910" xr:uid="{00000000-0005-0000-0000-000016170000}"/>
    <cellStyle name="RISKblCorner 4 3" xfId="2463" xr:uid="{00000000-0005-0000-0000-00009F090000}"/>
    <cellStyle name="RISKblCorner 4 3 2" xfId="5911" xr:uid="{00000000-0005-0000-0000-000017170000}"/>
    <cellStyle name="RISKblCorner 4 4" xfId="2464" xr:uid="{00000000-0005-0000-0000-0000A0090000}"/>
    <cellStyle name="RISKblCorner 4 4 2" xfId="5912" xr:uid="{00000000-0005-0000-0000-000018170000}"/>
    <cellStyle name="RISKblCorner 4 5" xfId="2465" xr:uid="{00000000-0005-0000-0000-0000A1090000}"/>
    <cellStyle name="RISKblCorner 4 5 2" xfId="5913" xr:uid="{00000000-0005-0000-0000-000019170000}"/>
    <cellStyle name="RISKblCorner 4 6" xfId="2466" xr:uid="{00000000-0005-0000-0000-0000A2090000}"/>
    <cellStyle name="RISKblCorner 4 6 2" xfId="5914" xr:uid="{00000000-0005-0000-0000-00001A170000}"/>
    <cellStyle name="RISKblCorner 4 7" xfId="3611" xr:uid="{00000000-0005-0000-0000-00001B0E0000}"/>
    <cellStyle name="RISKblCorner 4 8" xfId="3612" xr:uid="{00000000-0005-0000-0000-00001C0E0000}"/>
    <cellStyle name="RISKblCorner 5" xfId="5915" xr:uid="{00000000-0005-0000-0000-00001B170000}"/>
    <cellStyle name="RISKbottomEdge" xfId="2467" xr:uid="{00000000-0005-0000-0000-0000A3090000}"/>
    <cellStyle name="RISKbottomEdge 2" xfId="2468" xr:uid="{00000000-0005-0000-0000-0000A4090000}"/>
    <cellStyle name="RISKbottomEdge 2 2" xfId="2469" xr:uid="{00000000-0005-0000-0000-0000A5090000}"/>
    <cellStyle name="RISKbottomEdge 2 2 2" xfId="5916" xr:uid="{00000000-0005-0000-0000-00001C170000}"/>
    <cellStyle name="RISKbottomEdge 2 3" xfId="2470" xr:uid="{00000000-0005-0000-0000-0000A6090000}"/>
    <cellStyle name="RISKbottomEdge 2 3 2" xfId="5917" xr:uid="{00000000-0005-0000-0000-00001D170000}"/>
    <cellStyle name="RISKbottomEdge 2 4" xfId="2471" xr:uid="{00000000-0005-0000-0000-0000A7090000}"/>
    <cellStyle name="RISKbottomEdge 2 4 2" xfId="5918" xr:uid="{00000000-0005-0000-0000-00001E170000}"/>
    <cellStyle name="RISKbottomEdge 2 5" xfId="2472" xr:uid="{00000000-0005-0000-0000-0000A8090000}"/>
    <cellStyle name="RISKbottomEdge 2 5 2" xfId="5919" xr:uid="{00000000-0005-0000-0000-00001F170000}"/>
    <cellStyle name="RISKbottomEdge 2 6" xfId="2473" xr:uid="{00000000-0005-0000-0000-0000A9090000}"/>
    <cellStyle name="RISKbottomEdge 2 6 2" xfId="5920" xr:uid="{00000000-0005-0000-0000-000020170000}"/>
    <cellStyle name="RISKbottomEdge 2 7" xfId="3613" xr:uid="{00000000-0005-0000-0000-00001D0E0000}"/>
    <cellStyle name="RISKbottomEdge 2 8" xfId="3614" xr:uid="{00000000-0005-0000-0000-00001E0E0000}"/>
    <cellStyle name="RISKbottomEdge 3" xfId="2474" xr:uid="{00000000-0005-0000-0000-0000AA090000}"/>
    <cellStyle name="RISKbottomEdge 3 2" xfId="2475" xr:uid="{00000000-0005-0000-0000-0000AB090000}"/>
    <cellStyle name="RISKbottomEdge 3 2 2" xfId="5921" xr:uid="{00000000-0005-0000-0000-000021170000}"/>
    <cellStyle name="RISKbottomEdge 3 3" xfId="2476" xr:uid="{00000000-0005-0000-0000-0000AC090000}"/>
    <cellStyle name="RISKbottomEdge 3 3 2" xfId="5922" xr:uid="{00000000-0005-0000-0000-000022170000}"/>
    <cellStyle name="RISKbottomEdge 3 4" xfId="2477" xr:uid="{00000000-0005-0000-0000-0000AD090000}"/>
    <cellStyle name="RISKbottomEdge 3 4 2" xfId="5923" xr:uid="{00000000-0005-0000-0000-000023170000}"/>
    <cellStyle name="RISKbottomEdge 3 5" xfId="2478" xr:uid="{00000000-0005-0000-0000-0000AE090000}"/>
    <cellStyle name="RISKbottomEdge 3 5 2" xfId="5924" xr:uid="{00000000-0005-0000-0000-000024170000}"/>
    <cellStyle name="RISKbottomEdge 3 6" xfId="2479" xr:uid="{00000000-0005-0000-0000-0000AF090000}"/>
    <cellStyle name="RISKbottomEdge 3 6 2" xfId="5925" xr:uid="{00000000-0005-0000-0000-000025170000}"/>
    <cellStyle name="RISKbottomEdge 3 7" xfId="3615" xr:uid="{00000000-0005-0000-0000-00001F0E0000}"/>
    <cellStyle name="RISKbottomEdge 3 8" xfId="3616" xr:uid="{00000000-0005-0000-0000-0000200E0000}"/>
    <cellStyle name="RISKbottomEdge 4" xfId="2480" xr:uid="{00000000-0005-0000-0000-0000B0090000}"/>
    <cellStyle name="RISKbottomEdge 4 2" xfId="2481" xr:uid="{00000000-0005-0000-0000-0000B1090000}"/>
    <cellStyle name="RISKbottomEdge 4 2 2" xfId="5926" xr:uid="{00000000-0005-0000-0000-000026170000}"/>
    <cellStyle name="RISKbottomEdge 4 3" xfId="2482" xr:uid="{00000000-0005-0000-0000-0000B2090000}"/>
    <cellStyle name="RISKbottomEdge 4 3 2" xfId="5927" xr:uid="{00000000-0005-0000-0000-000027170000}"/>
    <cellStyle name="RISKbottomEdge 4 4" xfId="2483" xr:uid="{00000000-0005-0000-0000-0000B3090000}"/>
    <cellStyle name="RISKbottomEdge 4 4 2" xfId="5928" xr:uid="{00000000-0005-0000-0000-000028170000}"/>
    <cellStyle name="RISKbottomEdge 4 5" xfId="2484" xr:uid="{00000000-0005-0000-0000-0000B4090000}"/>
    <cellStyle name="RISKbottomEdge 4 5 2" xfId="5929" xr:uid="{00000000-0005-0000-0000-000029170000}"/>
    <cellStyle name="RISKbottomEdge 4 6" xfId="2485" xr:uid="{00000000-0005-0000-0000-0000B5090000}"/>
    <cellStyle name="RISKbottomEdge 4 6 2" xfId="5930" xr:uid="{00000000-0005-0000-0000-00002A170000}"/>
    <cellStyle name="RISKbottomEdge 4 7" xfId="3617" xr:uid="{00000000-0005-0000-0000-0000210E0000}"/>
    <cellStyle name="RISKbottomEdge 4 8" xfId="3618" xr:uid="{00000000-0005-0000-0000-0000220E0000}"/>
    <cellStyle name="RISKbottomEdge 5" xfId="5931" xr:uid="{00000000-0005-0000-0000-00002B170000}"/>
    <cellStyle name="RISKbrCorner" xfId="2486" xr:uid="{00000000-0005-0000-0000-0000B6090000}"/>
    <cellStyle name="RISKbrCorner 2" xfId="2487" xr:uid="{00000000-0005-0000-0000-0000B7090000}"/>
    <cellStyle name="RISKbrCorner 2 2" xfId="2488" xr:uid="{00000000-0005-0000-0000-0000B8090000}"/>
    <cellStyle name="RISKbrCorner 2 2 2" xfId="5932" xr:uid="{00000000-0005-0000-0000-00002C170000}"/>
    <cellStyle name="RISKbrCorner 2 3" xfId="2489" xr:uid="{00000000-0005-0000-0000-0000B9090000}"/>
    <cellStyle name="RISKbrCorner 2 3 2" xfId="5933" xr:uid="{00000000-0005-0000-0000-00002D170000}"/>
    <cellStyle name="RISKbrCorner 2 4" xfId="2490" xr:uid="{00000000-0005-0000-0000-0000BA090000}"/>
    <cellStyle name="RISKbrCorner 2 4 2" xfId="5934" xr:uid="{00000000-0005-0000-0000-00002E170000}"/>
    <cellStyle name="RISKbrCorner 2 5" xfId="2491" xr:uid="{00000000-0005-0000-0000-0000BB090000}"/>
    <cellStyle name="RISKbrCorner 2 5 2" xfId="5935" xr:uid="{00000000-0005-0000-0000-00002F170000}"/>
    <cellStyle name="RISKbrCorner 2 6" xfId="2492" xr:uid="{00000000-0005-0000-0000-0000BC090000}"/>
    <cellStyle name="RISKbrCorner 2 6 2" xfId="5936" xr:uid="{00000000-0005-0000-0000-000030170000}"/>
    <cellStyle name="RISKbrCorner 2 7" xfId="3619" xr:uid="{00000000-0005-0000-0000-0000230E0000}"/>
    <cellStyle name="RISKbrCorner 2 8" xfId="3620" xr:uid="{00000000-0005-0000-0000-0000240E0000}"/>
    <cellStyle name="RISKbrCorner 3" xfId="2493" xr:uid="{00000000-0005-0000-0000-0000BD090000}"/>
    <cellStyle name="RISKbrCorner 3 2" xfId="2494" xr:uid="{00000000-0005-0000-0000-0000BE090000}"/>
    <cellStyle name="RISKbrCorner 3 2 2" xfId="5937" xr:uid="{00000000-0005-0000-0000-000031170000}"/>
    <cellStyle name="RISKbrCorner 3 3" xfId="2495" xr:uid="{00000000-0005-0000-0000-0000BF090000}"/>
    <cellStyle name="RISKbrCorner 3 3 2" xfId="5938" xr:uid="{00000000-0005-0000-0000-000032170000}"/>
    <cellStyle name="RISKbrCorner 3 4" xfId="2496" xr:uid="{00000000-0005-0000-0000-0000C0090000}"/>
    <cellStyle name="RISKbrCorner 3 4 2" xfId="5939" xr:uid="{00000000-0005-0000-0000-000033170000}"/>
    <cellStyle name="RISKbrCorner 3 5" xfId="2497" xr:uid="{00000000-0005-0000-0000-0000C1090000}"/>
    <cellStyle name="RISKbrCorner 3 5 2" xfId="5940" xr:uid="{00000000-0005-0000-0000-000034170000}"/>
    <cellStyle name="RISKbrCorner 3 6" xfId="2498" xr:uid="{00000000-0005-0000-0000-0000C2090000}"/>
    <cellStyle name="RISKbrCorner 3 6 2" xfId="5941" xr:uid="{00000000-0005-0000-0000-000035170000}"/>
    <cellStyle name="RISKbrCorner 3 7" xfId="3621" xr:uid="{00000000-0005-0000-0000-0000250E0000}"/>
    <cellStyle name="RISKbrCorner 3 8" xfId="3622" xr:uid="{00000000-0005-0000-0000-0000260E0000}"/>
    <cellStyle name="RISKbrCorner 4" xfId="2499" xr:uid="{00000000-0005-0000-0000-0000C3090000}"/>
    <cellStyle name="RISKbrCorner 4 2" xfId="2500" xr:uid="{00000000-0005-0000-0000-0000C4090000}"/>
    <cellStyle name="RISKbrCorner 4 2 2" xfId="5942" xr:uid="{00000000-0005-0000-0000-000036170000}"/>
    <cellStyle name="RISKbrCorner 4 3" xfId="2501" xr:uid="{00000000-0005-0000-0000-0000C5090000}"/>
    <cellStyle name="RISKbrCorner 4 3 2" xfId="5943" xr:uid="{00000000-0005-0000-0000-000037170000}"/>
    <cellStyle name="RISKbrCorner 4 4" xfId="2502" xr:uid="{00000000-0005-0000-0000-0000C6090000}"/>
    <cellStyle name="RISKbrCorner 4 4 2" xfId="5944" xr:uid="{00000000-0005-0000-0000-000038170000}"/>
    <cellStyle name="RISKbrCorner 4 5" xfId="2503" xr:uid="{00000000-0005-0000-0000-0000C7090000}"/>
    <cellStyle name="RISKbrCorner 4 5 2" xfId="5945" xr:uid="{00000000-0005-0000-0000-000039170000}"/>
    <cellStyle name="RISKbrCorner 4 6" xfId="2504" xr:uid="{00000000-0005-0000-0000-0000C8090000}"/>
    <cellStyle name="RISKbrCorner 4 6 2" xfId="5946" xr:uid="{00000000-0005-0000-0000-00003A170000}"/>
    <cellStyle name="RISKbrCorner 4 7" xfId="3623" xr:uid="{00000000-0005-0000-0000-0000270E0000}"/>
    <cellStyle name="RISKbrCorner 4 8" xfId="3624" xr:uid="{00000000-0005-0000-0000-0000280E0000}"/>
    <cellStyle name="RISKbrCorner 5" xfId="5947" xr:uid="{00000000-0005-0000-0000-00003B170000}"/>
    <cellStyle name="RISKdarkBoxed" xfId="2505" xr:uid="{00000000-0005-0000-0000-0000C9090000}"/>
    <cellStyle name="RISKdarkBoxed 2" xfId="2506" xr:uid="{00000000-0005-0000-0000-0000CA090000}"/>
    <cellStyle name="RISKdarkBoxed 2 2" xfId="2507" xr:uid="{00000000-0005-0000-0000-0000CB090000}"/>
    <cellStyle name="RISKdarkBoxed 2 2 2" xfId="2508" xr:uid="{00000000-0005-0000-0000-0000CC090000}"/>
    <cellStyle name="RISKdarkBoxed 2 2 2 2" xfId="3625" xr:uid="{00000000-0005-0000-0000-0000290E0000}"/>
    <cellStyle name="RISKdarkBoxed 2 2 2 3" xfId="3626" xr:uid="{00000000-0005-0000-0000-00002A0E0000}"/>
    <cellStyle name="RISKdarkBoxed 2 2 2_PPT Final" xfId="3627" xr:uid="{00000000-0005-0000-0000-00002B0E0000}"/>
    <cellStyle name="RISKdarkBoxed 2 2 3" xfId="3628" xr:uid="{00000000-0005-0000-0000-00002C0E0000}"/>
    <cellStyle name="RISKdarkBoxed 2 2 4" xfId="3629" xr:uid="{00000000-0005-0000-0000-00002D0E0000}"/>
    <cellStyle name="RISKdarkBoxed 2 2_PPT Final" xfId="3630" xr:uid="{00000000-0005-0000-0000-00002E0E0000}"/>
    <cellStyle name="RISKdarkBoxed 2 3" xfId="2509" xr:uid="{00000000-0005-0000-0000-0000CD090000}"/>
    <cellStyle name="RISKdarkBoxed 2 3 2" xfId="2510" xr:uid="{00000000-0005-0000-0000-0000CE090000}"/>
    <cellStyle name="RISKdarkBoxed 2 3 2 2" xfId="3631" xr:uid="{00000000-0005-0000-0000-00002F0E0000}"/>
    <cellStyle name="RISKdarkBoxed 2 3 2 3" xfId="3632" xr:uid="{00000000-0005-0000-0000-0000300E0000}"/>
    <cellStyle name="RISKdarkBoxed 2 3 2_PPT Final" xfId="3633" xr:uid="{00000000-0005-0000-0000-0000310E0000}"/>
    <cellStyle name="RISKdarkBoxed 2 3 3" xfId="3634" xr:uid="{00000000-0005-0000-0000-0000320E0000}"/>
    <cellStyle name="RISKdarkBoxed 2 3 4" xfId="3635" xr:uid="{00000000-0005-0000-0000-0000330E0000}"/>
    <cellStyle name="RISKdarkBoxed 2 3_PPT Final" xfId="3636" xr:uid="{00000000-0005-0000-0000-0000340E0000}"/>
    <cellStyle name="RISKdarkBoxed 2 4" xfId="2511" xr:uid="{00000000-0005-0000-0000-0000CF090000}"/>
    <cellStyle name="RISKdarkBoxed 2 4 2" xfId="2512" xr:uid="{00000000-0005-0000-0000-0000D0090000}"/>
    <cellStyle name="RISKdarkBoxed 2 4 2 2" xfId="3637" xr:uid="{00000000-0005-0000-0000-0000350E0000}"/>
    <cellStyle name="RISKdarkBoxed 2 4 2 3" xfId="3638" xr:uid="{00000000-0005-0000-0000-0000360E0000}"/>
    <cellStyle name="RISKdarkBoxed 2 4 2_PPT Final" xfId="3639" xr:uid="{00000000-0005-0000-0000-0000370E0000}"/>
    <cellStyle name="RISKdarkBoxed 2 4 3" xfId="3640" xr:uid="{00000000-0005-0000-0000-0000380E0000}"/>
    <cellStyle name="RISKdarkBoxed 2 4 4" xfId="3641" xr:uid="{00000000-0005-0000-0000-0000390E0000}"/>
    <cellStyle name="RISKdarkBoxed 2 4_PPT Final" xfId="3642" xr:uid="{00000000-0005-0000-0000-00003A0E0000}"/>
    <cellStyle name="RISKdarkBoxed 2 5" xfId="2513" xr:uid="{00000000-0005-0000-0000-0000D1090000}"/>
    <cellStyle name="RISKdarkBoxed 2 5 2" xfId="5948" xr:uid="{00000000-0005-0000-0000-00003C170000}"/>
    <cellStyle name="RISKdarkBoxed 2 6" xfId="2514" xr:uid="{00000000-0005-0000-0000-0000D2090000}"/>
    <cellStyle name="RISKdarkBoxed 2 6 2" xfId="5949" xr:uid="{00000000-0005-0000-0000-00003D170000}"/>
    <cellStyle name="RISKdarkBoxed 2 7" xfId="5950" xr:uid="{00000000-0005-0000-0000-00003E170000}"/>
    <cellStyle name="RISKdarkBoxed 3" xfId="2515" xr:uid="{00000000-0005-0000-0000-0000D3090000}"/>
    <cellStyle name="RISKdarkBoxed 3 2" xfId="2516" xr:uid="{00000000-0005-0000-0000-0000D4090000}"/>
    <cellStyle name="RISKdarkBoxed 3 2 2" xfId="2517" xr:uid="{00000000-0005-0000-0000-0000D5090000}"/>
    <cellStyle name="RISKdarkBoxed 3 2 2 2" xfId="5951" xr:uid="{00000000-0005-0000-0000-00003F170000}"/>
    <cellStyle name="RISKdarkBoxed 3 2 3" xfId="5952" xr:uid="{00000000-0005-0000-0000-000040170000}"/>
    <cellStyle name="RISKdarkBoxed 3 3" xfId="2518" xr:uid="{00000000-0005-0000-0000-0000D6090000}"/>
    <cellStyle name="RISKdarkBoxed 3 3 2" xfId="2519" xr:uid="{00000000-0005-0000-0000-0000D7090000}"/>
    <cellStyle name="RISKdarkBoxed 3 3 2 2" xfId="5953" xr:uid="{00000000-0005-0000-0000-000041170000}"/>
    <cellStyle name="RISKdarkBoxed 3 3 3" xfId="5954" xr:uid="{00000000-0005-0000-0000-000042170000}"/>
    <cellStyle name="RISKdarkBoxed 3 4" xfId="2520" xr:uid="{00000000-0005-0000-0000-0000D8090000}"/>
    <cellStyle name="RISKdarkBoxed 3 4 2" xfId="2521" xr:uid="{00000000-0005-0000-0000-0000D9090000}"/>
    <cellStyle name="RISKdarkBoxed 3 4 2 2" xfId="5955" xr:uid="{00000000-0005-0000-0000-000043170000}"/>
    <cellStyle name="RISKdarkBoxed 3 4 3" xfId="5956" xr:uid="{00000000-0005-0000-0000-000044170000}"/>
    <cellStyle name="RISKdarkBoxed 3 5" xfId="2522" xr:uid="{00000000-0005-0000-0000-0000DA090000}"/>
    <cellStyle name="RISKdarkBoxed 3 5 2" xfId="5957" xr:uid="{00000000-0005-0000-0000-000045170000}"/>
    <cellStyle name="RISKdarkBoxed 3 6" xfId="2523" xr:uid="{00000000-0005-0000-0000-0000DB090000}"/>
    <cellStyle name="RISKdarkBoxed 3 6 2" xfId="5958" xr:uid="{00000000-0005-0000-0000-000046170000}"/>
    <cellStyle name="RISKdarkBoxed 3 7" xfId="5959" xr:uid="{00000000-0005-0000-0000-000047170000}"/>
    <cellStyle name="RISKdarkBoxed 4" xfId="2524" xr:uid="{00000000-0005-0000-0000-0000DC090000}"/>
    <cellStyle name="RISKdarkBoxed 4 2" xfId="2525" xr:uid="{00000000-0005-0000-0000-0000DD090000}"/>
    <cellStyle name="RISKdarkBoxed 4 2 2" xfId="2526" xr:uid="{00000000-0005-0000-0000-0000DE090000}"/>
    <cellStyle name="RISKdarkBoxed 4 2 2 2" xfId="5960" xr:uid="{00000000-0005-0000-0000-000048170000}"/>
    <cellStyle name="RISKdarkBoxed 4 2 3" xfId="5961" xr:uid="{00000000-0005-0000-0000-000049170000}"/>
    <cellStyle name="RISKdarkBoxed 4 3" xfId="2527" xr:uid="{00000000-0005-0000-0000-0000DF090000}"/>
    <cellStyle name="RISKdarkBoxed 4 3 2" xfId="2528" xr:uid="{00000000-0005-0000-0000-0000E0090000}"/>
    <cellStyle name="RISKdarkBoxed 4 3 2 2" xfId="5962" xr:uid="{00000000-0005-0000-0000-00004A170000}"/>
    <cellStyle name="RISKdarkBoxed 4 3 3" xfId="5963" xr:uid="{00000000-0005-0000-0000-00004B170000}"/>
    <cellStyle name="RISKdarkBoxed 4 4" xfId="2529" xr:uid="{00000000-0005-0000-0000-0000E1090000}"/>
    <cellStyle name="RISKdarkBoxed 4 4 2" xfId="2530" xr:uid="{00000000-0005-0000-0000-0000E2090000}"/>
    <cellStyle name="RISKdarkBoxed 4 4 2 2" xfId="5964" xr:uid="{00000000-0005-0000-0000-00004C170000}"/>
    <cellStyle name="RISKdarkBoxed 4 4 3" xfId="5965" xr:uid="{00000000-0005-0000-0000-00004D170000}"/>
    <cellStyle name="RISKdarkBoxed 4 5" xfId="2531" xr:uid="{00000000-0005-0000-0000-0000E3090000}"/>
    <cellStyle name="RISKdarkBoxed 4 5 2" xfId="5966" xr:uid="{00000000-0005-0000-0000-00004E170000}"/>
    <cellStyle name="RISKdarkBoxed 4 6" xfId="2532" xr:uid="{00000000-0005-0000-0000-0000E4090000}"/>
    <cellStyle name="RISKdarkBoxed 4 6 2" xfId="5967" xr:uid="{00000000-0005-0000-0000-00004F170000}"/>
    <cellStyle name="RISKdarkBoxed 4 7" xfId="5968" xr:uid="{00000000-0005-0000-0000-000050170000}"/>
    <cellStyle name="RISKdarkBoxed 5" xfId="2533" xr:uid="{00000000-0005-0000-0000-0000E5090000}"/>
    <cellStyle name="RISKdarkBoxed 5 2" xfId="5969" xr:uid="{00000000-0005-0000-0000-000051170000}"/>
    <cellStyle name="RISKdarkBoxed 6" xfId="2534" xr:uid="{00000000-0005-0000-0000-0000E6090000}"/>
    <cellStyle name="RISKdarkBoxed 6 2" xfId="5970" xr:uid="{00000000-0005-0000-0000-000052170000}"/>
    <cellStyle name="RISKdarkBoxed 7" xfId="2535" xr:uid="{00000000-0005-0000-0000-0000E7090000}"/>
    <cellStyle name="RISKdarkBoxed 7 2" xfId="5971" xr:uid="{00000000-0005-0000-0000-000053170000}"/>
    <cellStyle name="RISKdarkBoxed 8" xfId="5972" xr:uid="{00000000-0005-0000-0000-000054170000}"/>
    <cellStyle name="RISKdarkBoxed_GRUPO4Q-2009 COMPLETO" xfId="3643" xr:uid="{00000000-0005-0000-0000-00003B0E0000}"/>
    <cellStyle name="RISKdarkShade" xfId="2536" xr:uid="{00000000-0005-0000-0000-0000E8090000}"/>
    <cellStyle name="RISKdarkShade 2" xfId="2537" xr:uid="{00000000-0005-0000-0000-0000E9090000}"/>
    <cellStyle name="RISKdarkShade 2 2" xfId="2538" xr:uid="{00000000-0005-0000-0000-0000EA090000}"/>
    <cellStyle name="RISKdarkShade 2 2 2" xfId="5973" xr:uid="{00000000-0005-0000-0000-000055170000}"/>
    <cellStyle name="RISKdarkShade 2 2 2 2" xfId="10443" xr:uid="{B2F1BCA2-26DD-4A56-9A93-473CF73792D8}"/>
    <cellStyle name="RISKdarkShade 2 2 3" xfId="8671" xr:uid="{016CFE4A-58BD-482A-98E1-2EA8379594ED}"/>
    <cellStyle name="RISKdarkShade 2 3" xfId="2539" xr:uid="{00000000-0005-0000-0000-0000EB090000}"/>
    <cellStyle name="RISKdarkShade 2 3 2" xfId="5974" xr:uid="{00000000-0005-0000-0000-000056170000}"/>
    <cellStyle name="RISKdarkShade 2 3 2 2" xfId="10444" xr:uid="{2E7A27F1-29A1-4DE0-A5DA-CC7756ADCD8C}"/>
    <cellStyle name="RISKdarkShade 2 3 3" xfId="8672" xr:uid="{FCB609B4-80F7-451F-879E-58C73ACB002B}"/>
    <cellStyle name="RISKdarkShade 2 4" xfId="2540" xr:uid="{00000000-0005-0000-0000-0000EC090000}"/>
    <cellStyle name="RISKdarkShade 2 4 2" xfId="5975" xr:uid="{00000000-0005-0000-0000-000057170000}"/>
    <cellStyle name="RISKdarkShade 2 4 2 2" xfId="10445" xr:uid="{AD16279E-0D69-4C0D-A90A-08D3EBCCD8F0}"/>
    <cellStyle name="RISKdarkShade 2 4 3" xfId="8673" xr:uid="{B391A6AC-0ACA-4F55-9686-CE42A5CA8043}"/>
    <cellStyle name="RISKdarkShade 2 5" xfId="2541" xr:uid="{00000000-0005-0000-0000-0000ED090000}"/>
    <cellStyle name="RISKdarkShade 2 5 2" xfId="5976" xr:uid="{00000000-0005-0000-0000-000058170000}"/>
    <cellStyle name="RISKdarkShade 2 5 2 2" xfId="10446" xr:uid="{9C755E38-E7D2-49CC-86A8-5254F80457DE}"/>
    <cellStyle name="RISKdarkShade 2 5 3" xfId="8674" xr:uid="{A927069B-B309-4641-A880-6D6D86EB0BAD}"/>
    <cellStyle name="RISKdarkShade 2 6" xfId="2542" xr:uid="{00000000-0005-0000-0000-0000EE090000}"/>
    <cellStyle name="RISKdarkShade 2 6 2" xfId="5977" xr:uid="{00000000-0005-0000-0000-000059170000}"/>
    <cellStyle name="RISKdarkShade 2 6 2 2" xfId="10447" xr:uid="{E8C9E35C-5B6C-458E-9460-52799CF1AA96}"/>
    <cellStyle name="RISKdarkShade 2 6 3" xfId="8675" xr:uid="{80EB1838-3AC8-4262-8A91-D5FEE1E15117}"/>
    <cellStyle name="RISKdarkShade 2 7" xfId="5978" xr:uid="{00000000-0005-0000-0000-00005A170000}"/>
    <cellStyle name="RISKdarkShade 2 7 2" xfId="10448" xr:uid="{8558B242-6E1E-4F8B-B75F-9913AC8F82EC}"/>
    <cellStyle name="RISKdarkShade 2 8" xfId="8670" xr:uid="{3D77B185-A5BB-42A7-92B6-9233C69B4B0E}"/>
    <cellStyle name="RISKdarkShade 3" xfId="2543" xr:uid="{00000000-0005-0000-0000-0000EF090000}"/>
    <cellStyle name="RISKdarkShade 3 2" xfId="2544" xr:uid="{00000000-0005-0000-0000-0000F0090000}"/>
    <cellStyle name="RISKdarkShade 3 2 2" xfId="5979" xr:uid="{00000000-0005-0000-0000-00005B170000}"/>
    <cellStyle name="RISKdarkShade 3 2 2 2" xfId="10449" xr:uid="{039CB836-023A-4A85-9DE8-7DC42E025F96}"/>
    <cellStyle name="RISKdarkShade 3 2 3" xfId="8677" xr:uid="{524ADEED-CA24-48D1-A9D6-7E0B79877743}"/>
    <cellStyle name="RISKdarkShade 3 3" xfId="2545" xr:uid="{00000000-0005-0000-0000-0000F1090000}"/>
    <cellStyle name="RISKdarkShade 3 3 2" xfId="5980" xr:uid="{00000000-0005-0000-0000-00005C170000}"/>
    <cellStyle name="RISKdarkShade 3 3 2 2" xfId="10450" xr:uid="{558AD44C-1EFB-4E40-975F-3ADC178098B8}"/>
    <cellStyle name="RISKdarkShade 3 3 3" xfId="8678" xr:uid="{AAB08788-041A-4E2B-A27D-23711D0552B8}"/>
    <cellStyle name="RISKdarkShade 3 4" xfId="2546" xr:uid="{00000000-0005-0000-0000-0000F2090000}"/>
    <cellStyle name="RISKdarkShade 3 4 2" xfId="5981" xr:uid="{00000000-0005-0000-0000-00005D170000}"/>
    <cellStyle name="RISKdarkShade 3 4 2 2" xfId="10451" xr:uid="{907DA4C6-0E78-403F-95E1-EE303D37BBA8}"/>
    <cellStyle name="RISKdarkShade 3 4 3" xfId="8679" xr:uid="{AAEFE3D2-E683-4F52-BF23-D9E2488758AE}"/>
    <cellStyle name="RISKdarkShade 3 5" xfId="2547" xr:uid="{00000000-0005-0000-0000-0000F3090000}"/>
    <cellStyle name="RISKdarkShade 3 5 2" xfId="5982" xr:uid="{00000000-0005-0000-0000-00005E170000}"/>
    <cellStyle name="RISKdarkShade 3 5 2 2" xfId="10452" xr:uid="{8414FB0A-E815-470D-946E-8B093161786D}"/>
    <cellStyle name="RISKdarkShade 3 5 3" xfId="8680" xr:uid="{AB82A827-9720-4DA5-837B-88B5CC5D11D8}"/>
    <cellStyle name="RISKdarkShade 3 6" xfId="2548" xr:uid="{00000000-0005-0000-0000-0000F4090000}"/>
    <cellStyle name="RISKdarkShade 3 6 2" xfId="5983" xr:uid="{00000000-0005-0000-0000-00005F170000}"/>
    <cellStyle name="RISKdarkShade 3 6 2 2" xfId="10453" xr:uid="{A666E0AD-471F-414D-86A6-0C64A8D0DE7F}"/>
    <cellStyle name="RISKdarkShade 3 6 3" xfId="8681" xr:uid="{0D011925-0022-48D6-837B-777E08A887B5}"/>
    <cellStyle name="RISKdarkShade 3 7" xfId="5984" xr:uid="{00000000-0005-0000-0000-000060170000}"/>
    <cellStyle name="RISKdarkShade 3 7 2" xfId="10454" xr:uid="{8A534A6D-103D-49F4-A0BB-02DD73694E5F}"/>
    <cellStyle name="RISKdarkShade 3 8" xfId="8676" xr:uid="{6AFF8B39-CC3B-4A0E-A40B-66F62A378330}"/>
    <cellStyle name="RISKdarkShade 4" xfId="2549" xr:uid="{00000000-0005-0000-0000-0000F5090000}"/>
    <cellStyle name="RISKdarkShade 4 2" xfId="2550" xr:uid="{00000000-0005-0000-0000-0000F6090000}"/>
    <cellStyle name="RISKdarkShade 4 2 2" xfId="5985" xr:uid="{00000000-0005-0000-0000-000061170000}"/>
    <cellStyle name="RISKdarkShade 4 2 2 2" xfId="10455" xr:uid="{2191CFE8-BC1C-4EE1-982D-FAECF5ED5228}"/>
    <cellStyle name="RISKdarkShade 4 2 3" xfId="8683" xr:uid="{342D5A93-E04A-44F5-BF08-9C90032B1460}"/>
    <cellStyle name="RISKdarkShade 4 3" xfId="2551" xr:uid="{00000000-0005-0000-0000-0000F7090000}"/>
    <cellStyle name="RISKdarkShade 4 3 2" xfId="5986" xr:uid="{00000000-0005-0000-0000-000062170000}"/>
    <cellStyle name="RISKdarkShade 4 3 2 2" xfId="10456" xr:uid="{9DFB60F1-BEC0-4C02-97AB-7FAED2622649}"/>
    <cellStyle name="RISKdarkShade 4 3 3" xfId="8684" xr:uid="{547734C5-1FAF-4F92-A099-D2A78A627AFF}"/>
    <cellStyle name="RISKdarkShade 4 4" xfId="2552" xr:uid="{00000000-0005-0000-0000-0000F8090000}"/>
    <cellStyle name="RISKdarkShade 4 4 2" xfId="5987" xr:uid="{00000000-0005-0000-0000-000063170000}"/>
    <cellStyle name="RISKdarkShade 4 4 2 2" xfId="10457" xr:uid="{9A02C545-1EAE-4DC9-B7B4-44E5FC7AE581}"/>
    <cellStyle name="RISKdarkShade 4 4 3" xfId="8685" xr:uid="{43260559-EA0C-4818-8B81-55DDC10B9127}"/>
    <cellStyle name="RISKdarkShade 4 5" xfId="2553" xr:uid="{00000000-0005-0000-0000-0000F9090000}"/>
    <cellStyle name="RISKdarkShade 4 5 2" xfId="5988" xr:uid="{00000000-0005-0000-0000-000064170000}"/>
    <cellStyle name="RISKdarkShade 4 5 2 2" xfId="10458" xr:uid="{3AF22466-4862-4C77-B1FE-B0D787EE2DC8}"/>
    <cellStyle name="RISKdarkShade 4 5 3" xfId="8686" xr:uid="{2FA0E0E1-F10B-45F7-B32B-8E2CF2C71447}"/>
    <cellStyle name="RISKdarkShade 4 6" xfId="2554" xr:uid="{00000000-0005-0000-0000-0000FA090000}"/>
    <cellStyle name="RISKdarkShade 4 6 2" xfId="5989" xr:uid="{00000000-0005-0000-0000-000065170000}"/>
    <cellStyle name="RISKdarkShade 4 6 2 2" xfId="10459" xr:uid="{7F3624B8-4DC2-481E-AD85-38EDAAE31448}"/>
    <cellStyle name="RISKdarkShade 4 6 3" xfId="8687" xr:uid="{DB42D968-35BD-423D-8321-AC30D3FA22A3}"/>
    <cellStyle name="RISKdarkShade 4 7" xfId="5990" xr:uid="{00000000-0005-0000-0000-000066170000}"/>
    <cellStyle name="RISKdarkShade 4 7 2" xfId="10460" xr:uid="{9DEB1A6B-FAAB-430C-82B1-64B30A4B9956}"/>
    <cellStyle name="RISKdarkShade 4 8" xfId="8682" xr:uid="{239471DA-26C7-42E9-A63C-908E2593A39E}"/>
    <cellStyle name="RISKdarkShade 5" xfId="5991" xr:uid="{00000000-0005-0000-0000-000067170000}"/>
    <cellStyle name="RISKdarkShade 5 2" xfId="10461" xr:uid="{DFB77718-FB7D-473E-9329-86199A989D56}"/>
    <cellStyle name="RISKdarkShade 6" xfId="8669" xr:uid="{D27326C3-9037-4B3A-895E-D1581A05ED85}"/>
    <cellStyle name="RISKdbottomEdge" xfId="2555" xr:uid="{00000000-0005-0000-0000-0000FB090000}"/>
    <cellStyle name="RISKdbottomEdge 2" xfId="2556" xr:uid="{00000000-0005-0000-0000-0000FC090000}"/>
    <cellStyle name="RISKdbottomEdge 2 2" xfId="2557" xr:uid="{00000000-0005-0000-0000-0000FD090000}"/>
    <cellStyle name="RISKdbottomEdge 2 2 2" xfId="5992" xr:uid="{00000000-0005-0000-0000-000068170000}"/>
    <cellStyle name="RISKdbottomEdge 2 3" xfId="2558" xr:uid="{00000000-0005-0000-0000-0000FE090000}"/>
    <cellStyle name="RISKdbottomEdge 2 3 2" xfId="5993" xr:uid="{00000000-0005-0000-0000-000069170000}"/>
    <cellStyle name="RISKdbottomEdge 2 4" xfId="2559" xr:uid="{00000000-0005-0000-0000-0000FF090000}"/>
    <cellStyle name="RISKdbottomEdge 2 4 2" xfId="5994" xr:uid="{00000000-0005-0000-0000-00006A170000}"/>
    <cellStyle name="RISKdbottomEdge 2 5" xfId="2560" xr:uid="{00000000-0005-0000-0000-0000000A0000}"/>
    <cellStyle name="RISKdbottomEdge 2 5 2" xfId="5995" xr:uid="{00000000-0005-0000-0000-00006B170000}"/>
    <cellStyle name="RISKdbottomEdge 2 6" xfId="2561" xr:uid="{00000000-0005-0000-0000-0000010A0000}"/>
    <cellStyle name="RISKdbottomEdge 2 6 2" xfId="5996" xr:uid="{00000000-0005-0000-0000-00006C170000}"/>
    <cellStyle name="RISKdbottomEdge 2 7" xfId="5997" xr:uid="{00000000-0005-0000-0000-00006D170000}"/>
    <cellStyle name="RISKdbottomEdge 3" xfId="2562" xr:uid="{00000000-0005-0000-0000-0000020A0000}"/>
    <cellStyle name="RISKdbottomEdge 3 2" xfId="2563" xr:uid="{00000000-0005-0000-0000-0000030A0000}"/>
    <cellStyle name="RISKdbottomEdge 3 2 2" xfId="5998" xr:uid="{00000000-0005-0000-0000-00006E170000}"/>
    <cellStyle name="RISKdbottomEdge 3 3" xfId="2564" xr:uid="{00000000-0005-0000-0000-0000040A0000}"/>
    <cellStyle name="RISKdbottomEdge 3 3 2" xfId="5999" xr:uid="{00000000-0005-0000-0000-00006F170000}"/>
    <cellStyle name="RISKdbottomEdge 3 4" xfId="2565" xr:uid="{00000000-0005-0000-0000-0000050A0000}"/>
    <cellStyle name="RISKdbottomEdge 3 4 2" xfId="6000" xr:uid="{00000000-0005-0000-0000-000070170000}"/>
    <cellStyle name="RISKdbottomEdge 3 5" xfId="2566" xr:uid="{00000000-0005-0000-0000-0000060A0000}"/>
    <cellStyle name="RISKdbottomEdge 3 5 2" xfId="6001" xr:uid="{00000000-0005-0000-0000-000071170000}"/>
    <cellStyle name="RISKdbottomEdge 3 6" xfId="2567" xr:uid="{00000000-0005-0000-0000-0000070A0000}"/>
    <cellStyle name="RISKdbottomEdge 3 6 2" xfId="6002" xr:uid="{00000000-0005-0000-0000-000072170000}"/>
    <cellStyle name="RISKdbottomEdge 3 7" xfId="6003" xr:uid="{00000000-0005-0000-0000-000073170000}"/>
    <cellStyle name="RISKdbottomEdge 4" xfId="2568" xr:uid="{00000000-0005-0000-0000-0000080A0000}"/>
    <cellStyle name="RISKdbottomEdge 4 2" xfId="2569" xr:uid="{00000000-0005-0000-0000-0000090A0000}"/>
    <cellStyle name="RISKdbottomEdge 4 2 2" xfId="6004" xr:uid="{00000000-0005-0000-0000-000074170000}"/>
    <cellStyle name="RISKdbottomEdge 4 3" xfId="2570" xr:uid="{00000000-0005-0000-0000-00000A0A0000}"/>
    <cellStyle name="RISKdbottomEdge 4 3 2" xfId="6005" xr:uid="{00000000-0005-0000-0000-000075170000}"/>
    <cellStyle name="RISKdbottomEdge 4 4" xfId="2571" xr:uid="{00000000-0005-0000-0000-00000B0A0000}"/>
    <cellStyle name="RISKdbottomEdge 4 4 2" xfId="6006" xr:uid="{00000000-0005-0000-0000-000076170000}"/>
    <cellStyle name="RISKdbottomEdge 4 5" xfId="2572" xr:uid="{00000000-0005-0000-0000-00000C0A0000}"/>
    <cellStyle name="RISKdbottomEdge 4 5 2" xfId="6007" xr:uid="{00000000-0005-0000-0000-000077170000}"/>
    <cellStyle name="RISKdbottomEdge 4 6" xfId="2573" xr:uid="{00000000-0005-0000-0000-00000D0A0000}"/>
    <cellStyle name="RISKdbottomEdge 4 6 2" xfId="6008" xr:uid="{00000000-0005-0000-0000-000078170000}"/>
    <cellStyle name="RISKdbottomEdge 4 7" xfId="6009" xr:uid="{00000000-0005-0000-0000-000079170000}"/>
    <cellStyle name="RISKdbottomEdge 5" xfId="6010" xr:uid="{00000000-0005-0000-0000-00007A170000}"/>
    <cellStyle name="RISKdrightEdge" xfId="2574" xr:uid="{00000000-0005-0000-0000-00000E0A0000}"/>
    <cellStyle name="RISKdrightEdge 2" xfId="2575" xr:uid="{00000000-0005-0000-0000-00000F0A0000}"/>
    <cellStyle name="RISKdrightEdge 2 2" xfId="2576" xr:uid="{00000000-0005-0000-0000-0000100A0000}"/>
    <cellStyle name="RISKdrightEdge 2 2 2" xfId="6011" xr:uid="{00000000-0005-0000-0000-00007B170000}"/>
    <cellStyle name="RISKdrightEdge 2 3" xfId="2577" xr:uid="{00000000-0005-0000-0000-0000110A0000}"/>
    <cellStyle name="RISKdrightEdge 2 3 2" xfId="6012" xr:uid="{00000000-0005-0000-0000-00007C170000}"/>
    <cellStyle name="RISKdrightEdge 2 4" xfId="2578" xr:uid="{00000000-0005-0000-0000-0000120A0000}"/>
    <cellStyle name="RISKdrightEdge 2 4 2" xfId="6013" xr:uid="{00000000-0005-0000-0000-00007D170000}"/>
    <cellStyle name="RISKdrightEdge 2 5" xfId="2579" xr:uid="{00000000-0005-0000-0000-0000130A0000}"/>
    <cellStyle name="RISKdrightEdge 2 5 2" xfId="6014" xr:uid="{00000000-0005-0000-0000-00007E170000}"/>
    <cellStyle name="RISKdrightEdge 2 6" xfId="2580" xr:uid="{00000000-0005-0000-0000-0000140A0000}"/>
    <cellStyle name="RISKdrightEdge 2 6 2" xfId="6015" xr:uid="{00000000-0005-0000-0000-00007F170000}"/>
    <cellStyle name="RISKdrightEdge 2 7" xfId="6016" xr:uid="{00000000-0005-0000-0000-000080170000}"/>
    <cellStyle name="RISKdrightEdge 3" xfId="2581" xr:uid="{00000000-0005-0000-0000-0000150A0000}"/>
    <cellStyle name="RISKdrightEdge 3 2" xfId="2582" xr:uid="{00000000-0005-0000-0000-0000160A0000}"/>
    <cellStyle name="RISKdrightEdge 3 2 2" xfId="6017" xr:uid="{00000000-0005-0000-0000-000081170000}"/>
    <cellStyle name="RISKdrightEdge 3 3" xfId="2583" xr:uid="{00000000-0005-0000-0000-0000170A0000}"/>
    <cellStyle name="RISKdrightEdge 3 3 2" xfId="6018" xr:uid="{00000000-0005-0000-0000-000082170000}"/>
    <cellStyle name="RISKdrightEdge 3 4" xfId="2584" xr:uid="{00000000-0005-0000-0000-0000180A0000}"/>
    <cellStyle name="RISKdrightEdge 3 4 2" xfId="6019" xr:uid="{00000000-0005-0000-0000-000083170000}"/>
    <cellStyle name="RISKdrightEdge 3 5" xfId="2585" xr:uid="{00000000-0005-0000-0000-0000190A0000}"/>
    <cellStyle name="RISKdrightEdge 3 5 2" xfId="6020" xr:uid="{00000000-0005-0000-0000-000084170000}"/>
    <cellStyle name="RISKdrightEdge 3 6" xfId="2586" xr:uid="{00000000-0005-0000-0000-00001A0A0000}"/>
    <cellStyle name="RISKdrightEdge 3 6 2" xfId="6021" xr:uid="{00000000-0005-0000-0000-000085170000}"/>
    <cellStyle name="RISKdrightEdge 3 7" xfId="6022" xr:uid="{00000000-0005-0000-0000-000086170000}"/>
    <cellStyle name="RISKdrightEdge 4" xfId="2587" xr:uid="{00000000-0005-0000-0000-00001B0A0000}"/>
    <cellStyle name="RISKdrightEdge 4 2" xfId="2588" xr:uid="{00000000-0005-0000-0000-00001C0A0000}"/>
    <cellStyle name="RISKdrightEdge 4 2 2" xfId="6023" xr:uid="{00000000-0005-0000-0000-000087170000}"/>
    <cellStyle name="RISKdrightEdge 4 3" xfId="2589" xr:uid="{00000000-0005-0000-0000-00001D0A0000}"/>
    <cellStyle name="RISKdrightEdge 4 3 2" xfId="6024" xr:uid="{00000000-0005-0000-0000-000088170000}"/>
    <cellStyle name="RISKdrightEdge 4 4" xfId="2590" xr:uid="{00000000-0005-0000-0000-00001E0A0000}"/>
    <cellStyle name="RISKdrightEdge 4 4 2" xfId="6025" xr:uid="{00000000-0005-0000-0000-000089170000}"/>
    <cellStyle name="RISKdrightEdge 4 5" xfId="2591" xr:uid="{00000000-0005-0000-0000-00001F0A0000}"/>
    <cellStyle name="RISKdrightEdge 4 5 2" xfId="6026" xr:uid="{00000000-0005-0000-0000-00008A170000}"/>
    <cellStyle name="RISKdrightEdge 4 6" xfId="2592" xr:uid="{00000000-0005-0000-0000-0000200A0000}"/>
    <cellStyle name="RISKdrightEdge 4 6 2" xfId="6027" xr:uid="{00000000-0005-0000-0000-00008B170000}"/>
    <cellStyle name="RISKdrightEdge 4 7" xfId="6028" xr:uid="{00000000-0005-0000-0000-00008C170000}"/>
    <cellStyle name="RISKdrightEdge 5" xfId="6029" xr:uid="{00000000-0005-0000-0000-00008D170000}"/>
    <cellStyle name="RISKdurationTime" xfId="2593" xr:uid="{00000000-0005-0000-0000-0000210A0000}"/>
    <cellStyle name="RISKdurationTime 2" xfId="2594" xr:uid="{00000000-0005-0000-0000-0000220A0000}"/>
    <cellStyle name="RISKdurationTime 2 2" xfId="2595" xr:uid="{00000000-0005-0000-0000-0000230A0000}"/>
    <cellStyle name="RISKdurationTime 2 2 2" xfId="6030" xr:uid="{00000000-0005-0000-0000-00008E170000}"/>
    <cellStyle name="RISKdurationTime 2 3" xfId="2596" xr:uid="{00000000-0005-0000-0000-0000240A0000}"/>
    <cellStyle name="RISKdurationTime 2 3 2" xfId="6031" xr:uid="{00000000-0005-0000-0000-00008F170000}"/>
    <cellStyle name="RISKdurationTime 2 4" xfId="2597" xr:uid="{00000000-0005-0000-0000-0000250A0000}"/>
    <cellStyle name="RISKdurationTime 2 4 2" xfId="6032" xr:uid="{00000000-0005-0000-0000-000090170000}"/>
    <cellStyle name="RISKdurationTime 2 5" xfId="2598" xr:uid="{00000000-0005-0000-0000-0000260A0000}"/>
    <cellStyle name="RISKdurationTime 2 5 2" xfId="6033" xr:uid="{00000000-0005-0000-0000-000091170000}"/>
    <cellStyle name="RISKdurationTime 2 6" xfId="2599" xr:uid="{00000000-0005-0000-0000-0000270A0000}"/>
    <cellStyle name="RISKdurationTime 2 6 2" xfId="6034" xr:uid="{00000000-0005-0000-0000-000092170000}"/>
    <cellStyle name="RISKdurationTime 2 7" xfId="6035" xr:uid="{00000000-0005-0000-0000-000093170000}"/>
    <cellStyle name="RISKdurationTime 3" xfId="2600" xr:uid="{00000000-0005-0000-0000-0000280A0000}"/>
    <cellStyle name="RISKdurationTime 3 2" xfId="2601" xr:uid="{00000000-0005-0000-0000-0000290A0000}"/>
    <cellStyle name="RISKdurationTime 3 2 2" xfId="6036" xr:uid="{00000000-0005-0000-0000-000094170000}"/>
    <cellStyle name="RISKdurationTime 3 3" xfId="2602" xr:uid="{00000000-0005-0000-0000-00002A0A0000}"/>
    <cellStyle name="RISKdurationTime 3 3 2" xfId="6037" xr:uid="{00000000-0005-0000-0000-000095170000}"/>
    <cellStyle name="RISKdurationTime 3 4" xfId="2603" xr:uid="{00000000-0005-0000-0000-00002B0A0000}"/>
    <cellStyle name="RISKdurationTime 3 4 2" xfId="6038" xr:uid="{00000000-0005-0000-0000-000096170000}"/>
    <cellStyle name="RISKdurationTime 3 5" xfId="2604" xr:uid="{00000000-0005-0000-0000-00002C0A0000}"/>
    <cellStyle name="RISKdurationTime 3 5 2" xfId="6039" xr:uid="{00000000-0005-0000-0000-000097170000}"/>
    <cellStyle name="RISKdurationTime 3 6" xfId="2605" xr:uid="{00000000-0005-0000-0000-00002D0A0000}"/>
    <cellStyle name="RISKdurationTime 3 6 2" xfId="6040" xr:uid="{00000000-0005-0000-0000-000098170000}"/>
    <cellStyle name="RISKdurationTime 3 7" xfId="6041" xr:uid="{00000000-0005-0000-0000-000099170000}"/>
    <cellStyle name="RISKdurationTime 4" xfId="2606" xr:uid="{00000000-0005-0000-0000-00002E0A0000}"/>
    <cellStyle name="RISKdurationTime 4 2" xfId="2607" xr:uid="{00000000-0005-0000-0000-00002F0A0000}"/>
    <cellStyle name="RISKdurationTime 4 2 2" xfId="6042" xr:uid="{00000000-0005-0000-0000-00009A170000}"/>
    <cellStyle name="RISKdurationTime 4 3" xfId="2608" xr:uid="{00000000-0005-0000-0000-0000300A0000}"/>
    <cellStyle name="RISKdurationTime 4 3 2" xfId="6043" xr:uid="{00000000-0005-0000-0000-00009B170000}"/>
    <cellStyle name="RISKdurationTime 4 4" xfId="2609" xr:uid="{00000000-0005-0000-0000-0000310A0000}"/>
    <cellStyle name="RISKdurationTime 4 4 2" xfId="6044" xr:uid="{00000000-0005-0000-0000-00009C170000}"/>
    <cellStyle name="RISKdurationTime 4 5" xfId="2610" xr:uid="{00000000-0005-0000-0000-0000320A0000}"/>
    <cellStyle name="RISKdurationTime 4 5 2" xfId="6045" xr:uid="{00000000-0005-0000-0000-00009D170000}"/>
    <cellStyle name="RISKdurationTime 4 6" xfId="2611" xr:uid="{00000000-0005-0000-0000-0000330A0000}"/>
    <cellStyle name="RISKdurationTime 4 6 2" xfId="6046" xr:uid="{00000000-0005-0000-0000-00009E170000}"/>
    <cellStyle name="RISKdurationTime 4 7" xfId="6047" xr:uid="{00000000-0005-0000-0000-00009F170000}"/>
    <cellStyle name="RISKdurationTime 5" xfId="6048" xr:uid="{00000000-0005-0000-0000-0000A0170000}"/>
    <cellStyle name="RISKinNumber" xfId="2612" xr:uid="{00000000-0005-0000-0000-0000340A0000}"/>
    <cellStyle name="RISKinNumber 2" xfId="2613" xr:uid="{00000000-0005-0000-0000-0000350A0000}"/>
    <cellStyle name="RISKinNumber 2 2" xfId="2614" xr:uid="{00000000-0005-0000-0000-0000360A0000}"/>
    <cellStyle name="RISKinNumber 2 3" xfId="2615" xr:uid="{00000000-0005-0000-0000-0000370A0000}"/>
    <cellStyle name="RISKinNumber 2 4" xfId="2616" xr:uid="{00000000-0005-0000-0000-0000380A0000}"/>
    <cellStyle name="RISKinNumber 2 5" xfId="2617" xr:uid="{00000000-0005-0000-0000-0000390A0000}"/>
    <cellStyle name="RISKinNumber 2 6" xfId="2618" xr:uid="{00000000-0005-0000-0000-00003A0A0000}"/>
    <cellStyle name="RISKinNumber 2_ActiFijos" xfId="2619" xr:uid="{00000000-0005-0000-0000-00003B0A0000}"/>
    <cellStyle name="RISKinNumber 3" xfId="2620" xr:uid="{00000000-0005-0000-0000-00003C0A0000}"/>
    <cellStyle name="RISKinNumber 3 2" xfId="2621" xr:uid="{00000000-0005-0000-0000-00003D0A0000}"/>
    <cellStyle name="RISKinNumber 3 3" xfId="2622" xr:uid="{00000000-0005-0000-0000-00003E0A0000}"/>
    <cellStyle name="RISKinNumber 3 4" xfId="2623" xr:uid="{00000000-0005-0000-0000-00003F0A0000}"/>
    <cellStyle name="RISKinNumber 3 5" xfId="2624" xr:uid="{00000000-0005-0000-0000-0000400A0000}"/>
    <cellStyle name="RISKinNumber 3 6" xfId="2625" xr:uid="{00000000-0005-0000-0000-0000410A0000}"/>
    <cellStyle name="RISKinNumber 3_ActiFijos" xfId="2626" xr:uid="{00000000-0005-0000-0000-0000420A0000}"/>
    <cellStyle name="RISKinNumber 4" xfId="2627" xr:uid="{00000000-0005-0000-0000-0000430A0000}"/>
    <cellStyle name="RISKinNumber 4 2" xfId="2628" xr:uid="{00000000-0005-0000-0000-0000440A0000}"/>
    <cellStyle name="RISKinNumber 4 3" xfId="2629" xr:uid="{00000000-0005-0000-0000-0000450A0000}"/>
    <cellStyle name="RISKinNumber 4 4" xfId="2630" xr:uid="{00000000-0005-0000-0000-0000460A0000}"/>
    <cellStyle name="RISKinNumber 4 5" xfId="2631" xr:uid="{00000000-0005-0000-0000-0000470A0000}"/>
    <cellStyle name="RISKinNumber 4 6" xfId="2632" xr:uid="{00000000-0005-0000-0000-0000480A0000}"/>
    <cellStyle name="RISKinNumber 4_ActiFijos" xfId="2633" xr:uid="{00000000-0005-0000-0000-0000490A0000}"/>
    <cellStyle name="RISKinNumber_Bases_Generales" xfId="2634" xr:uid="{00000000-0005-0000-0000-00004A0A0000}"/>
    <cellStyle name="RISKlandrEdge" xfId="2635" xr:uid="{00000000-0005-0000-0000-00004B0A0000}"/>
    <cellStyle name="RISKlandrEdge 2" xfId="2636" xr:uid="{00000000-0005-0000-0000-00004C0A0000}"/>
    <cellStyle name="RISKlandrEdge 2 2" xfId="2637" xr:uid="{00000000-0005-0000-0000-00004D0A0000}"/>
    <cellStyle name="RISKlandrEdge 2 2 2" xfId="6049" xr:uid="{00000000-0005-0000-0000-0000A1170000}"/>
    <cellStyle name="RISKlandrEdge 2 3" xfId="2638" xr:uid="{00000000-0005-0000-0000-00004E0A0000}"/>
    <cellStyle name="RISKlandrEdge 2 3 2" xfId="6050" xr:uid="{00000000-0005-0000-0000-0000A2170000}"/>
    <cellStyle name="RISKlandrEdge 2 4" xfId="2639" xr:uid="{00000000-0005-0000-0000-00004F0A0000}"/>
    <cellStyle name="RISKlandrEdge 2 4 2" xfId="6051" xr:uid="{00000000-0005-0000-0000-0000A3170000}"/>
    <cellStyle name="RISKlandrEdge 2 5" xfId="2640" xr:uid="{00000000-0005-0000-0000-0000500A0000}"/>
    <cellStyle name="RISKlandrEdge 2 5 2" xfId="6052" xr:uid="{00000000-0005-0000-0000-0000A4170000}"/>
    <cellStyle name="RISKlandrEdge 2 6" xfId="2641" xr:uid="{00000000-0005-0000-0000-0000510A0000}"/>
    <cellStyle name="RISKlandrEdge 2 6 2" xfId="6053" xr:uid="{00000000-0005-0000-0000-0000A5170000}"/>
    <cellStyle name="RISKlandrEdge 2 7" xfId="6054" xr:uid="{00000000-0005-0000-0000-0000A6170000}"/>
    <cellStyle name="RISKlandrEdge 3" xfId="2642" xr:uid="{00000000-0005-0000-0000-0000520A0000}"/>
    <cellStyle name="RISKlandrEdge 3 2" xfId="2643" xr:uid="{00000000-0005-0000-0000-0000530A0000}"/>
    <cellStyle name="RISKlandrEdge 3 2 2" xfId="6055" xr:uid="{00000000-0005-0000-0000-0000A7170000}"/>
    <cellStyle name="RISKlandrEdge 3 3" xfId="2644" xr:uid="{00000000-0005-0000-0000-0000540A0000}"/>
    <cellStyle name="RISKlandrEdge 3 3 2" xfId="6056" xr:uid="{00000000-0005-0000-0000-0000A8170000}"/>
    <cellStyle name="RISKlandrEdge 3 4" xfId="2645" xr:uid="{00000000-0005-0000-0000-0000550A0000}"/>
    <cellStyle name="RISKlandrEdge 3 4 2" xfId="6057" xr:uid="{00000000-0005-0000-0000-0000A9170000}"/>
    <cellStyle name="RISKlandrEdge 3 5" xfId="2646" xr:uid="{00000000-0005-0000-0000-0000560A0000}"/>
    <cellStyle name="RISKlandrEdge 3 5 2" xfId="6058" xr:uid="{00000000-0005-0000-0000-0000AA170000}"/>
    <cellStyle name="RISKlandrEdge 3 6" xfId="2647" xr:uid="{00000000-0005-0000-0000-0000570A0000}"/>
    <cellStyle name="RISKlandrEdge 3 6 2" xfId="6059" xr:uid="{00000000-0005-0000-0000-0000AB170000}"/>
    <cellStyle name="RISKlandrEdge 3 7" xfId="6060" xr:uid="{00000000-0005-0000-0000-0000AC170000}"/>
    <cellStyle name="RISKlandrEdge 4" xfId="2648" xr:uid="{00000000-0005-0000-0000-0000580A0000}"/>
    <cellStyle name="RISKlandrEdge 4 2" xfId="2649" xr:uid="{00000000-0005-0000-0000-0000590A0000}"/>
    <cellStyle name="RISKlandrEdge 4 2 2" xfId="6061" xr:uid="{00000000-0005-0000-0000-0000AD170000}"/>
    <cellStyle name="RISKlandrEdge 4 3" xfId="2650" xr:uid="{00000000-0005-0000-0000-00005A0A0000}"/>
    <cellStyle name="RISKlandrEdge 4 3 2" xfId="6062" xr:uid="{00000000-0005-0000-0000-0000AE170000}"/>
    <cellStyle name="RISKlandrEdge 4 4" xfId="2651" xr:uid="{00000000-0005-0000-0000-00005B0A0000}"/>
    <cellStyle name="RISKlandrEdge 4 4 2" xfId="6063" xr:uid="{00000000-0005-0000-0000-0000AF170000}"/>
    <cellStyle name="RISKlandrEdge 4 5" xfId="2652" xr:uid="{00000000-0005-0000-0000-00005C0A0000}"/>
    <cellStyle name="RISKlandrEdge 4 5 2" xfId="6064" xr:uid="{00000000-0005-0000-0000-0000B0170000}"/>
    <cellStyle name="RISKlandrEdge 4 6" xfId="2653" xr:uid="{00000000-0005-0000-0000-00005D0A0000}"/>
    <cellStyle name="RISKlandrEdge 4 6 2" xfId="6065" xr:uid="{00000000-0005-0000-0000-0000B1170000}"/>
    <cellStyle name="RISKlandrEdge 4 7" xfId="6066" xr:uid="{00000000-0005-0000-0000-0000B2170000}"/>
    <cellStyle name="RISKlandrEdge 5" xfId="6067" xr:uid="{00000000-0005-0000-0000-0000B3170000}"/>
    <cellStyle name="RISKleftEdge" xfId="2654" xr:uid="{00000000-0005-0000-0000-00005E0A0000}"/>
    <cellStyle name="RISKleftEdge 2" xfId="2655" xr:uid="{00000000-0005-0000-0000-00005F0A0000}"/>
    <cellStyle name="RISKleftEdge 2 2" xfId="2656" xr:uid="{00000000-0005-0000-0000-0000600A0000}"/>
    <cellStyle name="RISKleftEdge 2 2 2" xfId="6068" xr:uid="{00000000-0005-0000-0000-0000B4170000}"/>
    <cellStyle name="RISKleftEdge 2 3" xfId="2657" xr:uid="{00000000-0005-0000-0000-0000610A0000}"/>
    <cellStyle name="RISKleftEdge 2 3 2" xfId="6069" xr:uid="{00000000-0005-0000-0000-0000B5170000}"/>
    <cellStyle name="RISKleftEdge 2 4" xfId="2658" xr:uid="{00000000-0005-0000-0000-0000620A0000}"/>
    <cellStyle name="RISKleftEdge 2 4 2" xfId="6070" xr:uid="{00000000-0005-0000-0000-0000B6170000}"/>
    <cellStyle name="RISKleftEdge 2 5" xfId="2659" xr:uid="{00000000-0005-0000-0000-0000630A0000}"/>
    <cellStyle name="RISKleftEdge 2 5 2" xfId="6071" xr:uid="{00000000-0005-0000-0000-0000B7170000}"/>
    <cellStyle name="RISKleftEdge 2 6" xfId="2660" xr:uid="{00000000-0005-0000-0000-0000640A0000}"/>
    <cellStyle name="RISKleftEdge 2 6 2" xfId="6072" xr:uid="{00000000-0005-0000-0000-0000B8170000}"/>
    <cellStyle name="RISKleftEdge 2 7" xfId="6073" xr:uid="{00000000-0005-0000-0000-0000B9170000}"/>
    <cellStyle name="RISKleftEdge 3" xfId="2661" xr:uid="{00000000-0005-0000-0000-0000650A0000}"/>
    <cellStyle name="RISKleftEdge 3 2" xfId="2662" xr:uid="{00000000-0005-0000-0000-0000660A0000}"/>
    <cellStyle name="RISKleftEdge 3 2 2" xfId="6074" xr:uid="{00000000-0005-0000-0000-0000BA170000}"/>
    <cellStyle name="RISKleftEdge 3 3" xfId="2663" xr:uid="{00000000-0005-0000-0000-0000670A0000}"/>
    <cellStyle name="RISKleftEdge 3 3 2" xfId="6075" xr:uid="{00000000-0005-0000-0000-0000BB170000}"/>
    <cellStyle name="RISKleftEdge 3 4" xfId="2664" xr:uid="{00000000-0005-0000-0000-0000680A0000}"/>
    <cellStyle name="RISKleftEdge 3 4 2" xfId="6076" xr:uid="{00000000-0005-0000-0000-0000BC170000}"/>
    <cellStyle name="RISKleftEdge 3 5" xfId="2665" xr:uid="{00000000-0005-0000-0000-0000690A0000}"/>
    <cellStyle name="RISKleftEdge 3 5 2" xfId="6077" xr:uid="{00000000-0005-0000-0000-0000BD170000}"/>
    <cellStyle name="RISKleftEdge 3 6" xfId="2666" xr:uid="{00000000-0005-0000-0000-00006A0A0000}"/>
    <cellStyle name="RISKleftEdge 3 6 2" xfId="6078" xr:uid="{00000000-0005-0000-0000-0000BE170000}"/>
    <cellStyle name="RISKleftEdge 3 7" xfId="6079" xr:uid="{00000000-0005-0000-0000-0000BF170000}"/>
    <cellStyle name="RISKleftEdge 4" xfId="2667" xr:uid="{00000000-0005-0000-0000-00006B0A0000}"/>
    <cellStyle name="RISKleftEdge 4 2" xfId="2668" xr:uid="{00000000-0005-0000-0000-00006C0A0000}"/>
    <cellStyle name="RISKleftEdge 4 2 2" xfId="6080" xr:uid="{00000000-0005-0000-0000-0000C0170000}"/>
    <cellStyle name="RISKleftEdge 4 3" xfId="2669" xr:uid="{00000000-0005-0000-0000-00006D0A0000}"/>
    <cellStyle name="RISKleftEdge 4 3 2" xfId="6081" xr:uid="{00000000-0005-0000-0000-0000C1170000}"/>
    <cellStyle name="RISKleftEdge 4 4" xfId="2670" xr:uid="{00000000-0005-0000-0000-00006E0A0000}"/>
    <cellStyle name="RISKleftEdge 4 4 2" xfId="6082" xr:uid="{00000000-0005-0000-0000-0000C2170000}"/>
    <cellStyle name="RISKleftEdge 4 5" xfId="2671" xr:uid="{00000000-0005-0000-0000-00006F0A0000}"/>
    <cellStyle name="RISKleftEdge 4 5 2" xfId="6083" xr:uid="{00000000-0005-0000-0000-0000C3170000}"/>
    <cellStyle name="RISKleftEdge 4 6" xfId="2672" xr:uid="{00000000-0005-0000-0000-0000700A0000}"/>
    <cellStyle name="RISKleftEdge 4 6 2" xfId="6084" xr:uid="{00000000-0005-0000-0000-0000C4170000}"/>
    <cellStyle name="RISKleftEdge 4 7" xfId="6085" xr:uid="{00000000-0005-0000-0000-0000C5170000}"/>
    <cellStyle name="RISKleftEdge 5" xfId="6086" xr:uid="{00000000-0005-0000-0000-0000C6170000}"/>
    <cellStyle name="RISKlightBoxed" xfId="2673" xr:uid="{00000000-0005-0000-0000-0000710A0000}"/>
    <cellStyle name="RISKlightBoxed 2" xfId="2674" xr:uid="{00000000-0005-0000-0000-0000720A0000}"/>
    <cellStyle name="RISKlightBoxed 2 2" xfId="2675" xr:uid="{00000000-0005-0000-0000-0000730A0000}"/>
    <cellStyle name="RISKlightBoxed 2 2 2" xfId="2676" xr:uid="{00000000-0005-0000-0000-0000740A0000}"/>
    <cellStyle name="RISKlightBoxed 2 2 2 2" xfId="6087" xr:uid="{00000000-0005-0000-0000-0000C7170000}"/>
    <cellStyle name="RISKlightBoxed 2 2 3" xfId="6088" xr:uid="{00000000-0005-0000-0000-0000C8170000}"/>
    <cellStyle name="RISKlightBoxed 2 3" xfId="2677" xr:uid="{00000000-0005-0000-0000-0000750A0000}"/>
    <cellStyle name="RISKlightBoxed 2 3 2" xfId="2678" xr:uid="{00000000-0005-0000-0000-0000760A0000}"/>
    <cellStyle name="RISKlightBoxed 2 3 2 2" xfId="6089" xr:uid="{00000000-0005-0000-0000-0000C9170000}"/>
    <cellStyle name="RISKlightBoxed 2 3 3" xfId="6090" xr:uid="{00000000-0005-0000-0000-0000CA170000}"/>
    <cellStyle name="RISKlightBoxed 2 4" xfId="2679" xr:uid="{00000000-0005-0000-0000-0000770A0000}"/>
    <cellStyle name="RISKlightBoxed 2 4 2" xfId="2680" xr:uid="{00000000-0005-0000-0000-0000780A0000}"/>
    <cellStyle name="RISKlightBoxed 2 4 2 2" xfId="6091" xr:uid="{00000000-0005-0000-0000-0000CB170000}"/>
    <cellStyle name="RISKlightBoxed 2 4 3" xfId="6092" xr:uid="{00000000-0005-0000-0000-0000CC170000}"/>
    <cellStyle name="RISKlightBoxed 2 5" xfId="2681" xr:uid="{00000000-0005-0000-0000-0000790A0000}"/>
    <cellStyle name="RISKlightBoxed 2 5 2" xfId="6093" xr:uid="{00000000-0005-0000-0000-0000CD170000}"/>
    <cellStyle name="RISKlightBoxed 2 6" xfId="2682" xr:uid="{00000000-0005-0000-0000-00007A0A0000}"/>
    <cellStyle name="RISKlightBoxed 2 6 2" xfId="6094" xr:uid="{00000000-0005-0000-0000-0000CE170000}"/>
    <cellStyle name="RISKlightBoxed 2 7" xfId="6095" xr:uid="{00000000-0005-0000-0000-0000CF170000}"/>
    <cellStyle name="RISKlightBoxed 3" xfId="2683" xr:uid="{00000000-0005-0000-0000-00007B0A0000}"/>
    <cellStyle name="RISKlightBoxed 3 2" xfId="2684" xr:uid="{00000000-0005-0000-0000-00007C0A0000}"/>
    <cellStyle name="RISKlightBoxed 3 2 2" xfId="2685" xr:uid="{00000000-0005-0000-0000-00007D0A0000}"/>
    <cellStyle name="RISKlightBoxed 3 2 2 2" xfId="6096" xr:uid="{00000000-0005-0000-0000-0000D0170000}"/>
    <cellStyle name="RISKlightBoxed 3 2 3" xfId="6097" xr:uid="{00000000-0005-0000-0000-0000D1170000}"/>
    <cellStyle name="RISKlightBoxed 3 3" xfId="2686" xr:uid="{00000000-0005-0000-0000-00007E0A0000}"/>
    <cellStyle name="RISKlightBoxed 3 3 2" xfId="2687" xr:uid="{00000000-0005-0000-0000-00007F0A0000}"/>
    <cellStyle name="RISKlightBoxed 3 3 2 2" xfId="6098" xr:uid="{00000000-0005-0000-0000-0000D2170000}"/>
    <cellStyle name="RISKlightBoxed 3 3 3" xfId="6099" xr:uid="{00000000-0005-0000-0000-0000D3170000}"/>
    <cellStyle name="RISKlightBoxed 3 4" xfId="2688" xr:uid="{00000000-0005-0000-0000-0000800A0000}"/>
    <cellStyle name="RISKlightBoxed 3 4 2" xfId="2689" xr:uid="{00000000-0005-0000-0000-0000810A0000}"/>
    <cellStyle name="RISKlightBoxed 3 4 2 2" xfId="6100" xr:uid="{00000000-0005-0000-0000-0000D4170000}"/>
    <cellStyle name="RISKlightBoxed 3 4 3" xfId="6101" xr:uid="{00000000-0005-0000-0000-0000D5170000}"/>
    <cellStyle name="RISKlightBoxed 3 5" xfId="2690" xr:uid="{00000000-0005-0000-0000-0000820A0000}"/>
    <cellStyle name="RISKlightBoxed 3 5 2" xfId="6102" xr:uid="{00000000-0005-0000-0000-0000D6170000}"/>
    <cellStyle name="RISKlightBoxed 3 6" xfId="2691" xr:uid="{00000000-0005-0000-0000-0000830A0000}"/>
    <cellStyle name="RISKlightBoxed 3 6 2" xfId="6103" xr:uid="{00000000-0005-0000-0000-0000D7170000}"/>
    <cellStyle name="RISKlightBoxed 3 7" xfId="6104" xr:uid="{00000000-0005-0000-0000-0000D8170000}"/>
    <cellStyle name="RISKlightBoxed 4" xfId="2692" xr:uid="{00000000-0005-0000-0000-0000840A0000}"/>
    <cellStyle name="RISKlightBoxed 4 2" xfId="2693" xr:uid="{00000000-0005-0000-0000-0000850A0000}"/>
    <cellStyle name="RISKlightBoxed 4 2 2" xfId="2694" xr:uid="{00000000-0005-0000-0000-0000860A0000}"/>
    <cellStyle name="RISKlightBoxed 4 2 2 2" xfId="6105" xr:uid="{00000000-0005-0000-0000-0000D9170000}"/>
    <cellStyle name="RISKlightBoxed 4 2 3" xfId="6106" xr:uid="{00000000-0005-0000-0000-0000DA170000}"/>
    <cellStyle name="RISKlightBoxed 4 3" xfId="2695" xr:uid="{00000000-0005-0000-0000-0000870A0000}"/>
    <cellStyle name="RISKlightBoxed 4 3 2" xfId="2696" xr:uid="{00000000-0005-0000-0000-0000880A0000}"/>
    <cellStyle name="RISKlightBoxed 4 3 2 2" xfId="6107" xr:uid="{00000000-0005-0000-0000-0000DB170000}"/>
    <cellStyle name="RISKlightBoxed 4 3 3" xfId="6108" xr:uid="{00000000-0005-0000-0000-0000DC170000}"/>
    <cellStyle name="RISKlightBoxed 4 4" xfId="2697" xr:uid="{00000000-0005-0000-0000-0000890A0000}"/>
    <cellStyle name="RISKlightBoxed 4 4 2" xfId="2698" xr:uid="{00000000-0005-0000-0000-00008A0A0000}"/>
    <cellStyle name="RISKlightBoxed 4 4 2 2" xfId="6109" xr:uid="{00000000-0005-0000-0000-0000DD170000}"/>
    <cellStyle name="RISKlightBoxed 4 4 3" xfId="6110" xr:uid="{00000000-0005-0000-0000-0000DE170000}"/>
    <cellStyle name="RISKlightBoxed 4 5" xfId="2699" xr:uid="{00000000-0005-0000-0000-00008B0A0000}"/>
    <cellStyle name="RISKlightBoxed 4 5 2" xfId="6111" xr:uid="{00000000-0005-0000-0000-0000DF170000}"/>
    <cellStyle name="RISKlightBoxed 4 6" xfId="2700" xr:uid="{00000000-0005-0000-0000-00008C0A0000}"/>
    <cellStyle name="RISKlightBoxed 4 6 2" xfId="6112" xr:uid="{00000000-0005-0000-0000-0000E0170000}"/>
    <cellStyle name="RISKlightBoxed 4 7" xfId="6113" xr:uid="{00000000-0005-0000-0000-0000E1170000}"/>
    <cellStyle name="RISKlightBoxed 5" xfId="2701" xr:uid="{00000000-0005-0000-0000-00008D0A0000}"/>
    <cellStyle name="RISKlightBoxed 5 2" xfId="6114" xr:uid="{00000000-0005-0000-0000-0000E2170000}"/>
    <cellStyle name="RISKlightBoxed 6" xfId="2702" xr:uid="{00000000-0005-0000-0000-00008E0A0000}"/>
    <cellStyle name="RISKlightBoxed 6 2" xfId="6115" xr:uid="{00000000-0005-0000-0000-0000E3170000}"/>
    <cellStyle name="RISKlightBoxed 7" xfId="2703" xr:uid="{00000000-0005-0000-0000-00008F0A0000}"/>
    <cellStyle name="RISKlightBoxed 7 2" xfId="6116" xr:uid="{00000000-0005-0000-0000-0000E4170000}"/>
    <cellStyle name="RISKlightBoxed 8" xfId="6117" xr:uid="{00000000-0005-0000-0000-0000E5170000}"/>
    <cellStyle name="RISKlightBoxed_Información relacionada" xfId="2704" xr:uid="{00000000-0005-0000-0000-0000900A0000}"/>
    <cellStyle name="RISKltandbEdge" xfId="2705" xr:uid="{00000000-0005-0000-0000-0000910A0000}"/>
    <cellStyle name="RISKltandbEdge 2" xfId="2706" xr:uid="{00000000-0005-0000-0000-0000920A0000}"/>
    <cellStyle name="RISKltandbEdge 2 2" xfId="2707" xr:uid="{00000000-0005-0000-0000-0000930A0000}"/>
    <cellStyle name="RISKltandbEdge 2 2 2" xfId="2708" xr:uid="{00000000-0005-0000-0000-0000940A0000}"/>
    <cellStyle name="RISKltandbEdge 2 2 2 2" xfId="6118" xr:uid="{00000000-0005-0000-0000-0000E6170000}"/>
    <cellStyle name="RISKltandbEdge 2 2 3" xfId="6119" xr:uid="{00000000-0005-0000-0000-0000E7170000}"/>
    <cellStyle name="RISKltandbEdge 2 3" xfId="2709" xr:uid="{00000000-0005-0000-0000-0000950A0000}"/>
    <cellStyle name="RISKltandbEdge 2 3 2" xfId="2710" xr:uid="{00000000-0005-0000-0000-0000960A0000}"/>
    <cellStyle name="RISKltandbEdge 2 3 2 2" xfId="6120" xr:uid="{00000000-0005-0000-0000-0000E8170000}"/>
    <cellStyle name="RISKltandbEdge 2 3 3" xfId="6121" xr:uid="{00000000-0005-0000-0000-0000E9170000}"/>
    <cellStyle name="RISKltandbEdge 2 4" xfId="2711" xr:uid="{00000000-0005-0000-0000-0000970A0000}"/>
    <cellStyle name="RISKltandbEdge 2 4 2" xfId="2712" xr:uid="{00000000-0005-0000-0000-0000980A0000}"/>
    <cellStyle name="RISKltandbEdge 2 4 2 2" xfId="6122" xr:uid="{00000000-0005-0000-0000-0000EA170000}"/>
    <cellStyle name="RISKltandbEdge 2 4 3" xfId="6123" xr:uid="{00000000-0005-0000-0000-0000EB170000}"/>
    <cellStyle name="RISKltandbEdge 2 5" xfId="2713" xr:uid="{00000000-0005-0000-0000-0000990A0000}"/>
    <cellStyle name="RISKltandbEdge 2 5 2" xfId="6124" xr:uid="{00000000-0005-0000-0000-0000EC170000}"/>
    <cellStyle name="RISKltandbEdge 2 6" xfId="2714" xr:uid="{00000000-0005-0000-0000-00009A0A0000}"/>
    <cellStyle name="RISKltandbEdge 2 6 2" xfId="6125" xr:uid="{00000000-0005-0000-0000-0000ED170000}"/>
    <cellStyle name="RISKltandbEdge 2 7" xfId="6126" xr:uid="{00000000-0005-0000-0000-0000EE170000}"/>
    <cellStyle name="RISKltandbEdge 3" xfId="2715" xr:uid="{00000000-0005-0000-0000-00009B0A0000}"/>
    <cellStyle name="RISKltandbEdge 3 2" xfId="2716" xr:uid="{00000000-0005-0000-0000-00009C0A0000}"/>
    <cellStyle name="RISKltandbEdge 3 2 2" xfId="2717" xr:uid="{00000000-0005-0000-0000-00009D0A0000}"/>
    <cellStyle name="RISKltandbEdge 3 2 2 2" xfId="6127" xr:uid="{00000000-0005-0000-0000-0000EF170000}"/>
    <cellStyle name="RISKltandbEdge 3 2 3" xfId="6128" xr:uid="{00000000-0005-0000-0000-0000F0170000}"/>
    <cellStyle name="RISKltandbEdge 3 3" xfId="2718" xr:uid="{00000000-0005-0000-0000-00009E0A0000}"/>
    <cellStyle name="RISKltandbEdge 3 3 2" xfId="2719" xr:uid="{00000000-0005-0000-0000-00009F0A0000}"/>
    <cellStyle name="RISKltandbEdge 3 3 2 2" xfId="6129" xr:uid="{00000000-0005-0000-0000-0000F1170000}"/>
    <cellStyle name="RISKltandbEdge 3 3 3" xfId="6130" xr:uid="{00000000-0005-0000-0000-0000F2170000}"/>
    <cellStyle name="RISKltandbEdge 3 4" xfId="2720" xr:uid="{00000000-0005-0000-0000-0000A00A0000}"/>
    <cellStyle name="RISKltandbEdge 3 4 2" xfId="2721" xr:uid="{00000000-0005-0000-0000-0000A10A0000}"/>
    <cellStyle name="RISKltandbEdge 3 4 2 2" xfId="6131" xr:uid="{00000000-0005-0000-0000-0000F3170000}"/>
    <cellStyle name="RISKltandbEdge 3 4 3" xfId="6132" xr:uid="{00000000-0005-0000-0000-0000F4170000}"/>
    <cellStyle name="RISKltandbEdge 3 5" xfId="2722" xr:uid="{00000000-0005-0000-0000-0000A20A0000}"/>
    <cellStyle name="RISKltandbEdge 3 5 2" xfId="6133" xr:uid="{00000000-0005-0000-0000-0000F5170000}"/>
    <cellStyle name="RISKltandbEdge 3 6" xfId="2723" xr:uid="{00000000-0005-0000-0000-0000A30A0000}"/>
    <cellStyle name="RISKltandbEdge 3 6 2" xfId="6134" xr:uid="{00000000-0005-0000-0000-0000F6170000}"/>
    <cellStyle name="RISKltandbEdge 3 7" xfId="6135" xr:uid="{00000000-0005-0000-0000-0000F7170000}"/>
    <cellStyle name="RISKltandbEdge 4" xfId="2724" xr:uid="{00000000-0005-0000-0000-0000A40A0000}"/>
    <cellStyle name="RISKltandbEdge 4 2" xfId="2725" xr:uid="{00000000-0005-0000-0000-0000A50A0000}"/>
    <cellStyle name="RISKltandbEdge 4 2 2" xfId="2726" xr:uid="{00000000-0005-0000-0000-0000A60A0000}"/>
    <cellStyle name="RISKltandbEdge 4 2 2 2" xfId="6136" xr:uid="{00000000-0005-0000-0000-0000F8170000}"/>
    <cellStyle name="RISKltandbEdge 4 2 3" xfId="6137" xr:uid="{00000000-0005-0000-0000-0000F9170000}"/>
    <cellStyle name="RISKltandbEdge 4 3" xfId="2727" xr:uid="{00000000-0005-0000-0000-0000A70A0000}"/>
    <cellStyle name="RISKltandbEdge 4 3 2" xfId="2728" xr:uid="{00000000-0005-0000-0000-0000A80A0000}"/>
    <cellStyle name="RISKltandbEdge 4 3 2 2" xfId="6138" xr:uid="{00000000-0005-0000-0000-0000FA170000}"/>
    <cellStyle name="RISKltandbEdge 4 3 3" xfId="6139" xr:uid="{00000000-0005-0000-0000-0000FB170000}"/>
    <cellStyle name="RISKltandbEdge 4 4" xfId="2729" xr:uid="{00000000-0005-0000-0000-0000A90A0000}"/>
    <cellStyle name="RISKltandbEdge 4 4 2" xfId="2730" xr:uid="{00000000-0005-0000-0000-0000AA0A0000}"/>
    <cellStyle name="RISKltandbEdge 4 4 2 2" xfId="6140" xr:uid="{00000000-0005-0000-0000-0000FC170000}"/>
    <cellStyle name="RISKltandbEdge 4 4 3" xfId="6141" xr:uid="{00000000-0005-0000-0000-0000FD170000}"/>
    <cellStyle name="RISKltandbEdge 4 5" xfId="2731" xr:uid="{00000000-0005-0000-0000-0000AB0A0000}"/>
    <cellStyle name="RISKltandbEdge 4 5 2" xfId="6142" xr:uid="{00000000-0005-0000-0000-0000FE170000}"/>
    <cellStyle name="RISKltandbEdge 4 6" xfId="2732" xr:uid="{00000000-0005-0000-0000-0000AC0A0000}"/>
    <cellStyle name="RISKltandbEdge 4 6 2" xfId="6143" xr:uid="{00000000-0005-0000-0000-0000FF170000}"/>
    <cellStyle name="RISKltandbEdge 4 7" xfId="6144" xr:uid="{00000000-0005-0000-0000-000000180000}"/>
    <cellStyle name="RISKltandbEdge 5" xfId="2733" xr:uid="{00000000-0005-0000-0000-0000AD0A0000}"/>
    <cellStyle name="RISKltandbEdge 5 2" xfId="6145" xr:uid="{00000000-0005-0000-0000-000001180000}"/>
    <cellStyle name="RISKltandbEdge 6" xfId="2734" xr:uid="{00000000-0005-0000-0000-0000AE0A0000}"/>
    <cellStyle name="RISKltandbEdge 6 2" xfId="6146" xr:uid="{00000000-0005-0000-0000-000002180000}"/>
    <cellStyle name="RISKltandbEdge 7" xfId="2735" xr:uid="{00000000-0005-0000-0000-0000AF0A0000}"/>
    <cellStyle name="RISKltandbEdge 7 2" xfId="6147" xr:uid="{00000000-0005-0000-0000-000003180000}"/>
    <cellStyle name="RISKltandbEdge 8" xfId="6148" xr:uid="{00000000-0005-0000-0000-000004180000}"/>
    <cellStyle name="RISKltandbEdge_PyG" xfId="2736" xr:uid="{00000000-0005-0000-0000-0000B00A0000}"/>
    <cellStyle name="RISKnormBoxed" xfId="2737" xr:uid="{00000000-0005-0000-0000-0000B10A0000}"/>
    <cellStyle name="RISKnormBoxed 2" xfId="2738" xr:uid="{00000000-0005-0000-0000-0000B20A0000}"/>
    <cellStyle name="RISKnormBoxed 2 2" xfId="2739" xr:uid="{00000000-0005-0000-0000-0000B30A0000}"/>
    <cellStyle name="RISKnormBoxed 2 2 2" xfId="2740" xr:uid="{00000000-0005-0000-0000-0000B40A0000}"/>
    <cellStyle name="RISKnormBoxed 2 2 2 2" xfId="6149" xr:uid="{00000000-0005-0000-0000-000005180000}"/>
    <cellStyle name="RISKnormBoxed 2 2 3" xfId="6150" xr:uid="{00000000-0005-0000-0000-000006180000}"/>
    <cellStyle name="RISKnormBoxed 2 3" xfId="2741" xr:uid="{00000000-0005-0000-0000-0000B50A0000}"/>
    <cellStyle name="RISKnormBoxed 2 3 2" xfId="2742" xr:uid="{00000000-0005-0000-0000-0000B60A0000}"/>
    <cellStyle name="RISKnormBoxed 2 3 2 2" xfId="6151" xr:uid="{00000000-0005-0000-0000-000007180000}"/>
    <cellStyle name="RISKnormBoxed 2 3 3" xfId="6152" xr:uid="{00000000-0005-0000-0000-000008180000}"/>
    <cellStyle name="RISKnormBoxed 2 4" xfId="2743" xr:uid="{00000000-0005-0000-0000-0000B70A0000}"/>
    <cellStyle name="RISKnormBoxed 2 4 2" xfId="2744" xr:uid="{00000000-0005-0000-0000-0000B80A0000}"/>
    <cellStyle name="RISKnormBoxed 2 4 2 2" xfId="6153" xr:uid="{00000000-0005-0000-0000-000009180000}"/>
    <cellStyle name="RISKnormBoxed 2 4 3" xfId="6154" xr:uid="{00000000-0005-0000-0000-00000A180000}"/>
    <cellStyle name="RISKnormBoxed 2 5" xfId="2745" xr:uid="{00000000-0005-0000-0000-0000B90A0000}"/>
    <cellStyle name="RISKnormBoxed 2 5 2" xfId="6155" xr:uid="{00000000-0005-0000-0000-00000B180000}"/>
    <cellStyle name="RISKnormBoxed 2 6" xfId="2746" xr:uid="{00000000-0005-0000-0000-0000BA0A0000}"/>
    <cellStyle name="RISKnormBoxed 2 6 2" xfId="6156" xr:uid="{00000000-0005-0000-0000-00000C180000}"/>
    <cellStyle name="RISKnormBoxed 2 7" xfId="6157" xr:uid="{00000000-0005-0000-0000-00000D180000}"/>
    <cellStyle name="RISKnormBoxed 3" xfId="2747" xr:uid="{00000000-0005-0000-0000-0000BB0A0000}"/>
    <cellStyle name="RISKnormBoxed 3 2" xfId="2748" xr:uid="{00000000-0005-0000-0000-0000BC0A0000}"/>
    <cellStyle name="RISKnormBoxed 3 2 2" xfId="2749" xr:uid="{00000000-0005-0000-0000-0000BD0A0000}"/>
    <cellStyle name="RISKnormBoxed 3 2 2 2" xfId="6158" xr:uid="{00000000-0005-0000-0000-00000E180000}"/>
    <cellStyle name="RISKnormBoxed 3 2 3" xfId="6159" xr:uid="{00000000-0005-0000-0000-00000F180000}"/>
    <cellStyle name="RISKnormBoxed 3 3" xfId="2750" xr:uid="{00000000-0005-0000-0000-0000BE0A0000}"/>
    <cellStyle name="RISKnormBoxed 3 3 2" xfId="2751" xr:uid="{00000000-0005-0000-0000-0000BF0A0000}"/>
    <cellStyle name="RISKnormBoxed 3 3 2 2" xfId="6160" xr:uid="{00000000-0005-0000-0000-000010180000}"/>
    <cellStyle name="RISKnormBoxed 3 3 3" xfId="6161" xr:uid="{00000000-0005-0000-0000-000011180000}"/>
    <cellStyle name="RISKnormBoxed 3 4" xfId="2752" xr:uid="{00000000-0005-0000-0000-0000C00A0000}"/>
    <cellStyle name="RISKnormBoxed 3 4 2" xfId="2753" xr:uid="{00000000-0005-0000-0000-0000C10A0000}"/>
    <cellStyle name="RISKnormBoxed 3 4 2 2" xfId="6162" xr:uid="{00000000-0005-0000-0000-000012180000}"/>
    <cellStyle name="RISKnormBoxed 3 4 3" xfId="6163" xr:uid="{00000000-0005-0000-0000-000013180000}"/>
    <cellStyle name="RISKnormBoxed 3 5" xfId="2754" xr:uid="{00000000-0005-0000-0000-0000C20A0000}"/>
    <cellStyle name="RISKnormBoxed 3 5 2" xfId="6164" xr:uid="{00000000-0005-0000-0000-000014180000}"/>
    <cellStyle name="RISKnormBoxed 3 6" xfId="2755" xr:uid="{00000000-0005-0000-0000-0000C30A0000}"/>
    <cellStyle name="RISKnormBoxed 3 6 2" xfId="6165" xr:uid="{00000000-0005-0000-0000-000015180000}"/>
    <cellStyle name="RISKnormBoxed 3 7" xfId="6166" xr:uid="{00000000-0005-0000-0000-000016180000}"/>
    <cellStyle name="RISKnormBoxed 4" xfId="2756" xr:uid="{00000000-0005-0000-0000-0000C40A0000}"/>
    <cellStyle name="RISKnormBoxed 4 2" xfId="2757" xr:uid="{00000000-0005-0000-0000-0000C50A0000}"/>
    <cellStyle name="RISKnormBoxed 4 2 2" xfId="2758" xr:uid="{00000000-0005-0000-0000-0000C60A0000}"/>
    <cellStyle name="RISKnormBoxed 4 2 2 2" xfId="6167" xr:uid="{00000000-0005-0000-0000-000017180000}"/>
    <cellStyle name="RISKnormBoxed 4 2 3" xfId="6168" xr:uid="{00000000-0005-0000-0000-000018180000}"/>
    <cellStyle name="RISKnormBoxed 4 3" xfId="2759" xr:uid="{00000000-0005-0000-0000-0000C70A0000}"/>
    <cellStyle name="RISKnormBoxed 4 3 2" xfId="2760" xr:uid="{00000000-0005-0000-0000-0000C80A0000}"/>
    <cellStyle name="RISKnormBoxed 4 3 2 2" xfId="6169" xr:uid="{00000000-0005-0000-0000-000019180000}"/>
    <cellStyle name="RISKnormBoxed 4 3 3" xfId="6170" xr:uid="{00000000-0005-0000-0000-00001A180000}"/>
    <cellStyle name="RISKnormBoxed 4 4" xfId="2761" xr:uid="{00000000-0005-0000-0000-0000C90A0000}"/>
    <cellStyle name="RISKnormBoxed 4 4 2" xfId="2762" xr:uid="{00000000-0005-0000-0000-0000CA0A0000}"/>
    <cellStyle name="RISKnormBoxed 4 4 2 2" xfId="6171" xr:uid="{00000000-0005-0000-0000-00001B180000}"/>
    <cellStyle name="RISKnormBoxed 4 4 3" xfId="6172" xr:uid="{00000000-0005-0000-0000-00001C180000}"/>
    <cellStyle name="RISKnormBoxed 4 5" xfId="2763" xr:uid="{00000000-0005-0000-0000-0000CB0A0000}"/>
    <cellStyle name="RISKnormBoxed 4 5 2" xfId="6173" xr:uid="{00000000-0005-0000-0000-00001D180000}"/>
    <cellStyle name="RISKnormBoxed 4 6" xfId="2764" xr:uid="{00000000-0005-0000-0000-0000CC0A0000}"/>
    <cellStyle name="RISKnormBoxed 4 6 2" xfId="6174" xr:uid="{00000000-0005-0000-0000-00001E180000}"/>
    <cellStyle name="RISKnormBoxed 4 7" xfId="6175" xr:uid="{00000000-0005-0000-0000-00001F180000}"/>
    <cellStyle name="RISKnormBoxed 5" xfId="2765" xr:uid="{00000000-0005-0000-0000-0000CD0A0000}"/>
    <cellStyle name="RISKnormBoxed 5 2" xfId="6176" xr:uid="{00000000-0005-0000-0000-000020180000}"/>
    <cellStyle name="RISKnormBoxed 6" xfId="2766" xr:uid="{00000000-0005-0000-0000-0000CE0A0000}"/>
    <cellStyle name="RISKnormBoxed 6 2" xfId="6177" xr:uid="{00000000-0005-0000-0000-000021180000}"/>
    <cellStyle name="RISKnormBoxed 7" xfId="2767" xr:uid="{00000000-0005-0000-0000-0000CF0A0000}"/>
    <cellStyle name="RISKnormBoxed 7 2" xfId="6178" xr:uid="{00000000-0005-0000-0000-000022180000}"/>
    <cellStyle name="RISKnormBoxed 8" xfId="6179" xr:uid="{00000000-0005-0000-0000-000023180000}"/>
    <cellStyle name="RISKnormBoxed_Información relacionada" xfId="2768" xr:uid="{00000000-0005-0000-0000-0000D00A0000}"/>
    <cellStyle name="RISKnormCenter" xfId="2769" xr:uid="{00000000-0005-0000-0000-0000D10A0000}"/>
    <cellStyle name="RISKnormCenter 2" xfId="2770" xr:uid="{00000000-0005-0000-0000-0000D20A0000}"/>
    <cellStyle name="RISKnormCenter 2 2" xfId="2771" xr:uid="{00000000-0005-0000-0000-0000D30A0000}"/>
    <cellStyle name="RISKnormCenter 2 2 2" xfId="6180" xr:uid="{00000000-0005-0000-0000-000024180000}"/>
    <cellStyle name="RISKnormCenter 2 3" xfId="2772" xr:uid="{00000000-0005-0000-0000-0000D40A0000}"/>
    <cellStyle name="RISKnormCenter 2 3 2" xfId="6181" xr:uid="{00000000-0005-0000-0000-000025180000}"/>
    <cellStyle name="RISKnormCenter 2 4" xfId="2773" xr:uid="{00000000-0005-0000-0000-0000D50A0000}"/>
    <cellStyle name="RISKnormCenter 2 4 2" xfId="6182" xr:uid="{00000000-0005-0000-0000-000026180000}"/>
    <cellStyle name="RISKnormCenter 2 5" xfId="2774" xr:uid="{00000000-0005-0000-0000-0000D60A0000}"/>
    <cellStyle name="RISKnormCenter 2 5 2" xfId="6183" xr:uid="{00000000-0005-0000-0000-000027180000}"/>
    <cellStyle name="RISKnormCenter 2 6" xfId="2775" xr:uid="{00000000-0005-0000-0000-0000D70A0000}"/>
    <cellStyle name="RISKnormCenter 2 6 2" xfId="6184" xr:uid="{00000000-0005-0000-0000-000028180000}"/>
    <cellStyle name="RISKnormCenter 2 7" xfId="6185" xr:uid="{00000000-0005-0000-0000-000029180000}"/>
    <cellStyle name="RISKnormCenter 3" xfId="2776" xr:uid="{00000000-0005-0000-0000-0000D80A0000}"/>
    <cellStyle name="RISKnormCenter 3 2" xfId="2777" xr:uid="{00000000-0005-0000-0000-0000D90A0000}"/>
    <cellStyle name="RISKnormCenter 3 2 2" xfId="6186" xr:uid="{00000000-0005-0000-0000-00002A180000}"/>
    <cellStyle name="RISKnormCenter 3 3" xfId="2778" xr:uid="{00000000-0005-0000-0000-0000DA0A0000}"/>
    <cellStyle name="RISKnormCenter 3 3 2" xfId="6187" xr:uid="{00000000-0005-0000-0000-00002B180000}"/>
    <cellStyle name="RISKnormCenter 3 4" xfId="2779" xr:uid="{00000000-0005-0000-0000-0000DB0A0000}"/>
    <cellStyle name="RISKnormCenter 3 4 2" xfId="6188" xr:uid="{00000000-0005-0000-0000-00002C180000}"/>
    <cellStyle name="RISKnormCenter 3 5" xfId="2780" xr:uid="{00000000-0005-0000-0000-0000DC0A0000}"/>
    <cellStyle name="RISKnormCenter 3 5 2" xfId="6189" xr:uid="{00000000-0005-0000-0000-00002D180000}"/>
    <cellStyle name="RISKnormCenter 3 6" xfId="2781" xr:uid="{00000000-0005-0000-0000-0000DD0A0000}"/>
    <cellStyle name="RISKnormCenter 3 6 2" xfId="6190" xr:uid="{00000000-0005-0000-0000-00002E180000}"/>
    <cellStyle name="RISKnormCenter 3 7" xfId="6191" xr:uid="{00000000-0005-0000-0000-00002F180000}"/>
    <cellStyle name="RISKnormCenter 4" xfId="2782" xr:uid="{00000000-0005-0000-0000-0000DE0A0000}"/>
    <cellStyle name="RISKnormCenter 4 2" xfId="2783" xr:uid="{00000000-0005-0000-0000-0000DF0A0000}"/>
    <cellStyle name="RISKnormCenter 4 2 2" xfId="6192" xr:uid="{00000000-0005-0000-0000-000030180000}"/>
    <cellStyle name="RISKnormCenter 4 3" xfId="2784" xr:uid="{00000000-0005-0000-0000-0000E00A0000}"/>
    <cellStyle name="RISKnormCenter 4 3 2" xfId="6193" xr:uid="{00000000-0005-0000-0000-000031180000}"/>
    <cellStyle name="RISKnormCenter 4 4" xfId="2785" xr:uid="{00000000-0005-0000-0000-0000E10A0000}"/>
    <cellStyle name="RISKnormCenter 4 4 2" xfId="6194" xr:uid="{00000000-0005-0000-0000-000032180000}"/>
    <cellStyle name="RISKnormCenter 4 5" xfId="2786" xr:uid="{00000000-0005-0000-0000-0000E20A0000}"/>
    <cellStyle name="RISKnormCenter 4 5 2" xfId="6195" xr:uid="{00000000-0005-0000-0000-000033180000}"/>
    <cellStyle name="RISKnormCenter 4 6" xfId="2787" xr:uid="{00000000-0005-0000-0000-0000E30A0000}"/>
    <cellStyle name="RISKnormCenter 4 6 2" xfId="6196" xr:uid="{00000000-0005-0000-0000-000034180000}"/>
    <cellStyle name="RISKnormCenter 4 7" xfId="6197" xr:uid="{00000000-0005-0000-0000-000035180000}"/>
    <cellStyle name="RISKnormCenter 5" xfId="6198" xr:uid="{00000000-0005-0000-0000-000036180000}"/>
    <cellStyle name="RISKnormHeading" xfId="2788" xr:uid="{00000000-0005-0000-0000-0000E40A0000}"/>
    <cellStyle name="RISKnormHeading 2" xfId="2789" xr:uid="{00000000-0005-0000-0000-0000E50A0000}"/>
    <cellStyle name="RISKnormHeading 2 2" xfId="2790" xr:uid="{00000000-0005-0000-0000-0000E60A0000}"/>
    <cellStyle name="RISKnormHeading 2 3" xfId="2791" xr:uid="{00000000-0005-0000-0000-0000E70A0000}"/>
    <cellStyle name="RISKnormHeading 2 4" xfId="2792" xr:uid="{00000000-0005-0000-0000-0000E80A0000}"/>
    <cellStyle name="RISKnormHeading 2 5" xfId="2793" xr:uid="{00000000-0005-0000-0000-0000E90A0000}"/>
    <cellStyle name="RISKnormHeading 2 6" xfId="2794" xr:uid="{00000000-0005-0000-0000-0000EA0A0000}"/>
    <cellStyle name="RISKnormHeading 2_ActiFijos" xfId="2795" xr:uid="{00000000-0005-0000-0000-0000EB0A0000}"/>
    <cellStyle name="RISKnormHeading 3" xfId="2796" xr:uid="{00000000-0005-0000-0000-0000EC0A0000}"/>
    <cellStyle name="RISKnormHeading 3 2" xfId="2797" xr:uid="{00000000-0005-0000-0000-0000ED0A0000}"/>
    <cellStyle name="RISKnormHeading 3 3" xfId="2798" xr:uid="{00000000-0005-0000-0000-0000EE0A0000}"/>
    <cellStyle name="RISKnormHeading 3 4" xfId="2799" xr:uid="{00000000-0005-0000-0000-0000EF0A0000}"/>
    <cellStyle name="RISKnormHeading 3 5" xfId="2800" xr:uid="{00000000-0005-0000-0000-0000F00A0000}"/>
    <cellStyle name="RISKnormHeading 3 6" xfId="2801" xr:uid="{00000000-0005-0000-0000-0000F10A0000}"/>
    <cellStyle name="RISKnormHeading 3_ActiFijos" xfId="2802" xr:uid="{00000000-0005-0000-0000-0000F20A0000}"/>
    <cellStyle name="RISKnormHeading 4" xfId="2803" xr:uid="{00000000-0005-0000-0000-0000F30A0000}"/>
    <cellStyle name="RISKnormHeading 4 2" xfId="2804" xr:uid="{00000000-0005-0000-0000-0000F40A0000}"/>
    <cellStyle name="RISKnormHeading 4 3" xfId="2805" xr:uid="{00000000-0005-0000-0000-0000F50A0000}"/>
    <cellStyle name="RISKnormHeading 4 4" xfId="2806" xr:uid="{00000000-0005-0000-0000-0000F60A0000}"/>
    <cellStyle name="RISKnormHeading 4 5" xfId="2807" xr:uid="{00000000-0005-0000-0000-0000F70A0000}"/>
    <cellStyle name="RISKnormHeading 4 6" xfId="2808" xr:uid="{00000000-0005-0000-0000-0000F80A0000}"/>
    <cellStyle name="RISKnormHeading 4_ActiFijos" xfId="2809" xr:uid="{00000000-0005-0000-0000-0000F90A0000}"/>
    <cellStyle name="RISKnormHeading_Bases_Generales" xfId="2810" xr:uid="{00000000-0005-0000-0000-0000FA0A0000}"/>
    <cellStyle name="RISKnormItal" xfId="2811" xr:uid="{00000000-0005-0000-0000-0000FB0A0000}"/>
    <cellStyle name="RISKnormItal 2" xfId="2812" xr:uid="{00000000-0005-0000-0000-0000FC0A0000}"/>
    <cellStyle name="RISKnormItal 2 2" xfId="2813" xr:uid="{00000000-0005-0000-0000-0000FD0A0000}"/>
    <cellStyle name="RISKnormItal 2 3" xfId="2814" xr:uid="{00000000-0005-0000-0000-0000FE0A0000}"/>
    <cellStyle name="RISKnormItal 2 4" xfId="2815" xr:uid="{00000000-0005-0000-0000-0000FF0A0000}"/>
    <cellStyle name="RISKnormItal 2 5" xfId="2816" xr:uid="{00000000-0005-0000-0000-0000000B0000}"/>
    <cellStyle name="RISKnormItal 2 6" xfId="2817" xr:uid="{00000000-0005-0000-0000-0000010B0000}"/>
    <cellStyle name="RISKnormItal 2_ActiFijos" xfId="2818" xr:uid="{00000000-0005-0000-0000-0000020B0000}"/>
    <cellStyle name="RISKnormItal 3" xfId="2819" xr:uid="{00000000-0005-0000-0000-0000030B0000}"/>
    <cellStyle name="RISKnormItal 3 2" xfId="2820" xr:uid="{00000000-0005-0000-0000-0000040B0000}"/>
    <cellStyle name="RISKnormItal 3 3" xfId="2821" xr:uid="{00000000-0005-0000-0000-0000050B0000}"/>
    <cellStyle name="RISKnormItal 3 4" xfId="2822" xr:uid="{00000000-0005-0000-0000-0000060B0000}"/>
    <cellStyle name="RISKnormItal 3 5" xfId="2823" xr:uid="{00000000-0005-0000-0000-0000070B0000}"/>
    <cellStyle name="RISKnormItal 3 6" xfId="2824" xr:uid="{00000000-0005-0000-0000-0000080B0000}"/>
    <cellStyle name="RISKnormItal 3_ActiFijos" xfId="2825" xr:uid="{00000000-0005-0000-0000-0000090B0000}"/>
    <cellStyle name="RISKnormItal 4" xfId="2826" xr:uid="{00000000-0005-0000-0000-00000A0B0000}"/>
    <cellStyle name="RISKnormItal 4 2" xfId="2827" xr:uid="{00000000-0005-0000-0000-00000B0B0000}"/>
    <cellStyle name="RISKnormItal 4 3" xfId="2828" xr:uid="{00000000-0005-0000-0000-00000C0B0000}"/>
    <cellStyle name="RISKnormItal 4 4" xfId="2829" xr:uid="{00000000-0005-0000-0000-00000D0B0000}"/>
    <cellStyle name="RISKnormItal 4 5" xfId="2830" xr:uid="{00000000-0005-0000-0000-00000E0B0000}"/>
    <cellStyle name="RISKnormItal 4 6" xfId="2831" xr:uid="{00000000-0005-0000-0000-00000F0B0000}"/>
    <cellStyle name="RISKnormItal 4_ActiFijos" xfId="2832" xr:uid="{00000000-0005-0000-0000-0000100B0000}"/>
    <cellStyle name="RISKnormItal_Bases_Generales" xfId="2833" xr:uid="{00000000-0005-0000-0000-0000110B0000}"/>
    <cellStyle name="RISKnormLabel" xfId="2834" xr:uid="{00000000-0005-0000-0000-0000120B0000}"/>
    <cellStyle name="RISKnormLabel 2" xfId="2835" xr:uid="{00000000-0005-0000-0000-0000130B0000}"/>
    <cellStyle name="RISKnormLabel 2 2" xfId="2836" xr:uid="{00000000-0005-0000-0000-0000140B0000}"/>
    <cellStyle name="RISKnormLabel 2 3" xfId="2837" xr:uid="{00000000-0005-0000-0000-0000150B0000}"/>
    <cellStyle name="RISKnormLabel 2 4" xfId="2838" xr:uid="{00000000-0005-0000-0000-0000160B0000}"/>
    <cellStyle name="RISKnormLabel 2 5" xfId="2839" xr:uid="{00000000-0005-0000-0000-0000170B0000}"/>
    <cellStyle name="RISKnormLabel 2 6" xfId="2840" xr:uid="{00000000-0005-0000-0000-0000180B0000}"/>
    <cellStyle name="RISKnormLabel 2_ActiFijos" xfId="2841" xr:uid="{00000000-0005-0000-0000-0000190B0000}"/>
    <cellStyle name="RISKnormLabel 3" xfId="2842" xr:uid="{00000000-0005-0000-0000-00001A0B0000}"/>
    <cellStyle name="RISKnormLabel 3 2" xfId="2843" xr:uid="{00000000-0005-0000-0000-00001B0B0000}"/>
    <cellStyle name="RISKnormLabel 3 3" xfId="2844" xr:uid="{00000000-0005-0000-0000-00001C0B0000}"/>
    <cellStyle name="RISKnormLabel 3 4" xfId="2845" xr:uid="{00000000-0005-0000-0000-00001D0B0000}"/>
    <cellStyle name="RISKnormLabel 3 5" xfId="2846" xr:uid="{00000000-0005-0000-0000-00001E0B0000}"/>
    <cellStyle name="RISKnormLabel 3 6" xfId="2847" xr:uid="{00000000-0005-0000-0000-00001F0B0000}"/>
    <cellStyle name="RISKnormLabel 3_ActiFijos" xfId="2848" xr:uid="{00000000-0005-0000-0000-0000200B0000}"/>
    <cellStyle name="RISKnormLabel 4" xfId="2849" xr:uid="{00000000-0005-0000-0000-0000210B0000}"/>
    <cellStyle name="RISKnormLabel 4 2" xfId="2850" xr:uid="{00000000-0005-0000-0000-0000220B0000}"/>
    <cellStyle name="RISKnormLabel 4 3" xfId="2851" xr:uid="{00000000-0005-0000-0000-0000230B0000}"/>
    <cellStyle name="RISKnormLabel 4 4" xfId="2852" xr:uid="{00000000-0005-0000-0000-0000240B0000}"/>
    <cellStyle name="RISKnormLabel 4 5" xfId="2853" xr:uid="{00000000-0005-0000-0000-0000250B0000}"/>
    <cellStyle name="RISKnormLabel 4 6" xfId="2854" xr:uid="{00000000-0005-0000-0000-0000260B0000}"/>
    <cellStyle name="RISKnormLabel 4_ActiFijos" xfId="2855" xr:uid="{00000000-0005-0000-0000-0000270B0000}"/>
    <cellStyle name="RISKnormLabel_Bases_Generales" xfId="2856" xr:uid="{00000000-0005-0000-0000-0000280B0000}"/>
    <cellStyle name="RISKnormShade" xfId="2857" xr:uid="{00000000-0005-0000-0000-0000290B0000}"/>
    <cellStyle name="RISKnormShade 2" xfId="2858" xr:uid="{00000000-0005-0000-0000-00002A0B0000}"/>
    <cellStyle name="RISKnormShade 2 2" xfId="2859" xr:uid="{00000000-0005-0000-0000-00002B0B0000}"/>
    <cellStyle name="RISKnormShade 2 2 2" xfId="6199" xr:uid="{00000000-0005-0000-0000-000037180000}"/>
    <cellStyle name="RISKnormShade 2 2 2 2" xfId="10462" xr:uid="{BC0216F0-6A81-4667-8F06-CB9AA1B1098E}"/>
    <cellStyle name="RISKnormShade 2 2 3" xfId="8692" xr:uid="{E97A12E8-FC43-4F8E-A989-02665DE0C275}"/>
    <cellStyle name="RISKnormShade 2 3" xfId="2860" xr:uid="{00000000-0005-0000-0000-00002C0B0000}"/>
    <cellStyle name="RISKnormShade 2 3 2" xfId="6200" xr:uid="{00000000-0005-0000-0000-000038180000}"/>
    <cellStyle name="RISKnormShade 2 3 2 2" xfId="10463" xr:uid="{A177ADD1-3D06-4C63-81BC-45A50692BE5F}"/>
    <cellStyle name="RISKnormShade 2 3 3" xfId="8693" xr:uid="{AAA284F8-FE30-4D5A-9509-8D0CB35A82AC}"/>
    <cellStyle name="RISKnormShade 2 4" xfId="2861" xr:uid="{00000000-0005-0000-0000-00002D0B0000}"/>
    <cellStyle name="RISKnormShade 2 4 2" xfId="6201" xr:uid="{00000000-0005-0000-0000-000039180000}"/>
    <cellStyle name="RISKnormShade 2 4 2 2" xfId="10464" xr:uid="{BCAFC251-617E-495E-B3BF-2A387A4FCD24}"/>
    <cellStyle name="RISKnormShade 2 4 3" xfId="8694" xr:uid="{AD6C1489-DCAC-4CA0-8485-F09257C0365C}"/>
    <cellStyle name="RISKnormShade 2 5" xfId="2862" xr:uid="{00000000-0005-0000-0000-00002E0B0000}"/>
    <cellStyle name="RISKnormShade 2 5 2" xfId="6202" xr:uid="{00000000-0005-0000-0000-00003A180000}"/>
    <cellStyle name="RISKnormShade 2 5 2 2" xfId="10465" xr:uid="{85914DFB-C60B-4FCD-A023-4C1582AF81E4}"/>
    <cellStyle name="RISKnormShade 2 5 3" xfId="8695" xr:uid="{4D9F2028-B300-4F54-B3DE-FC69CA61DFE9}"/>
    <cellStyle name="RISKnormShade 2 6" xfId="2863" xr:uid="{00000000-0005-0000-0000-00002F0B0000}"/>
    <cellStyle name="RISKnormShade 2 6 2" xfId="6203" xr:uid="{00000000-0005-0000-0000-00003B180000}"/>
    <cellStyle name="RISKnormShade 2 6 2 2" xfId="10466" xr:uid="{9DE086B1-2536-4164-BAC3-459CE2601EC4}"/>
    <cellStyle name="RISKnormShade 2 6 3" xfId="8696" xr:uid="{F1790869-F369-479C-A191-7F0331C6950B}"/>
    <cellStyle name="RISKnormShade 2 7" xfId="6204" xr:uid="{00000000-0005-0000-0000-00003C180000}"/>
    <cellStyle name="RISKnormShade 2 7 2" xfId="10467" xr:uid="{64FDC456-AA5A-43BE-A099-2EC9919143A1}"/>
    <cellStyle name="RISKnormShade 2 8" xfId="8691" xr:uid="{6A65F0A6-D9BA-4671-A9A6-3D6EFFCA11EA}"/>
    <cellStyle name="RISKnormShade 3" xfId="2864" xr:uid="{00000000-0005-0000-0000-0000300B0000}"/>
    <cellStyle name="RISKnormShade 3 2" xfId="2865" xr:uid="{00000000-0005-0000-0000-0000310B0000}"/>
    <cellStyle name="RISKnormShade 3 2 2" xfId="6205" xr:uid="{00000000-0005-0000-0000-00003D180000}"/>
    <cellStyle name="RISKnormShade 3 2 2 2" xfId="10468" xr:uid="{E42A6FF6-82BF-46DD-AB6E-B933B3359A62}"/>
    <cellStyle name="RISKnormShade 3 2 3" xfId="8698" xr:uid="{8196713A-048C-4CDB-897E-1F92D96DA10B}"/>
    <cellStyle name="RISKnormShade 3 3" xfId="2866" xr:uid="{00000000-0005-0000-0000-0000320B0000}"/>
    <cellStyle name="RISKnormShade 3 3 2" xfId="6206" xr:uid="{00000000-0005-0000-0000-00003E180000}"/>
    <cellStyle name="RISKnormShade 3 3 2 2" xfId="10469" xr:uid="{CFD6E3AC-36C9-47CA-8472-2961EC9F0406}"/>
    <cellStyle name="RISKnormShade 3 3 3" xfId="8699" xr:uid="{7EF2B1E2-9CD1-4745-91A3-45D6E062BF67}"/>
    <cellStyle name="RISKnormShade 3 4" xfId="2867" xr:uid="{00000000-0005-0000-0000-0000330B0000}"/>
    <cellStyle name="RISKnormShade 3 4 2" xfId="6207" xr:uid="{00000000-0005-0000-0000-00003F180000}"/>
    <cellStyle name="RISKnormShade 3 4 2 2" xfId="10470" xr:uid="{53D679C9-60D6-4C29-8722-C5E9E865FD32}"/>
    <cellStyle name="RISKnormShade 3 4 3" xfId="8700" xr:uid="{C365CEFC-A096-4B21-BA3F-9FA6E5DF4E2A}"/>
    <cellStyle name="RISKnormShade 3 5" xfId="2868" xr:uid="{00000000-0005-0000-0000-0000340B0000}"/>
    <cellStyle name="RISKnormShade 3 5 2" xfId="6208" xr:uid="{00000000-0005-0000-0000-000040180000}"/>
    <cellStyle name="RISKnormShade 3 5 2 2" xfId="10471" xr:uid="{DE711F0A-A2F0-49A7-82B0-8717805EEC38}"/>
    <cellStyle name="RISKnormShade 3 5 3" xfId="8701" xr:uid="{04B1F2B6-8313-48AE-8360-A8A027E862D4}"/>
    <cellStyle name="RISKnormShade 3 6" xfId="2869" xr:uid="{00000000-0005-0000-0000-0000350B0000}"/>
    <cellStyle name="RISKnormShade 3 6 2" xfId="6209" xr:uid="{00000000-0005-0000-0000-000041180000}"/>
    <cellStyle name="RISKnormShade 3 6 2 2" xfId="10472" xr:uid="{3AD5375D-764A-4FDB-B950-E90EB4DFA95C}"/>
    <cellStyle name="RISKnormShade 3 6 3" xfId="8702" xr:uid="{D46833DC-5D81-4C38-8B20-4E786D395F9A}"/>
    <cellStyle name="RISKnormShade 3 7" xfId="6210" xr:uid="{00000000-0005-0000-0000-000042180000}"/>
    <cellStyle name="RISKnormShade 3 7 2" xfId="10473" xr:uid="{15958C8F-CDB9-42EC-B78D-8E90F933641B}"/>
    <cellStyle name="RISKnormShade 3 8" xfId="8697" xr:uid="{A233E052-EBE0-4A4C-9884-24F68F056764}"/>
    <cellStyle name="RISKnormShade 4" xfId="2870" xr:uid="{00000000-0005-0000-0000-0000360B0000}"/>
    <cellStyle name="RISKnormShade 4 2" xfId="2871" xr:uid="{00000000-0005-0000-0000-0000370B0000}"/>
    <cellStyle name="RISKnormShade 4 2 2" xfId="6211" xr:uid="{00000000-0005-0000-0000-000043180000}"/>
    <cellStyle name="RISKnormShade 4 2 2 2" xfId="10474" xr:uid="{505EC77F-1FC7-41BA-9A36-C17337024494}"/>
    <cellStyle name="RISKnormShade 4 2 3" xfId="8704" xr:uid="{6B043511-2402-430B-9E44-A4357DD60A22}"/>
    <cellStyle name="RISKnormShade 4 3" xfId="2872" xr:uid="{00000000-0005-0000-0000-0000380B0000}"/>
    <cellStyle name="RISKnormShade 4 3 2" xfId="6212" xr:uid="{00000000-0005-0000-0000-000044180000}"/>
    <cellStyle name="RISKnormShade 4 3 2 2" xfId="10475" xr:uid="{4F84CDE6-EABE-4D3F-83EA-F3AD13C3989C}"/>
    <cellStyle name="RISKnormShade 4 3 3" xfId="8705" xr:uid="{8322820C-BFB6-4707-BFF2-B961B85B9430}"/>
    <cellStyle name="RISKnormShade 4 4" xfId="2873" xr:uid="{00000000-0005-0000-0000-0000390B0000}"/>
    <cellStyle name="RISKnormShade 4 4 2" xfId="6213" xr:uid="{00000000-0005-0000-0000-000045180000}"/>
    <cellStyle name="RISKnormShade 4 4 2 2" xfId="10476" xr:uid="{53E37013-08E4-43A4-A8FC-6304A6964D01}"/>
    <cellStyle name="RISKnormShade 4 4 3" xfId="8706" xr:uid="{AB5068B5-8309-4D6B-8927-A3B65EE1CFAA}"/>
    <cellStyle name="RISKnormShade 4 5" xfId="2874" xr:uid="{00000000-0005-0000-0000-00003A0B0000}"/>
    <cellStyle name="RISKnormShade 4 5 2" xfId="6214" xr:uid="{00000000-0005-0000-0000-000046180000}"/>
    <cellStyle name="RISKnormShade 4 5 2 2" xfId="10477" xr:uid="{632124E1-19C8-4554-BB1B-62AF7ACAC780}"/>
    <cellStyle name="RISKnormShade 4 5 3" xfId="8707" xr:uid="{552B8F47-4F60-4330-9AD3-92C856B1CE7E}"/>
    <cellStyle name="RISKnormShade 4 6" xfId="2875" xr:uid="{00000000-0005-0000-0000-00003B0B0000}"/>
    <cellStyle name="RISKnormShade 4 6 2" xfId="6215" xr:uid="{00000000-0005-0000-0000-000047180000}"/>
    <cellStyle name="RISKnormShade 4 6 2 2" xfId="10478" xr:uid="{EC21746D-683E-4BBB-B931-9CDB8211B68A}"/>
    <cellStyle name="RISKnormShade 4 6 3" xfId="8708" xr:uid="{E3C4B415-3A7F-49F9-9150-85ADB6B84D32}"/>
    <cellStyle name="RISKnormShade 4 7" xfId="6216" xr:uid="{00000000-0005-0000-0000-000048180000}"/>
    <cellStyle name="RISKnormShade 4 7 2" xfId="10479" xr:uid="{51427F59-35B1-4CEF-A998-7D90FC09A329}"/>
    <cellStyle name="RISKnormShade 4 8" xfId="8703" xr:uid="{6B851C89-7830-4A1F-8F95-DA7C50783A8E}"/>
    <cellStyle name="RISKnormShade 5" xfId="6217" xr:uid="{00000000-0005-0000-0000-000049180000}"/>
    <cellStyle name="RISKnormShade 5 2" xfId="10480" xr:uid="{28F00485-CD34-4853-B795-B372BE6FA9F8}"/>
    <cellStyle name="RISKnormShade 6" xfId="8690" xr:uid="{DC6EF398-914A-4AE0-8E90-E62E65BA536F}"/>
    <cellStyle name="RISKnormTitle" xfId="2876" xr:uid="{00000000-0005-0000-0000-00003C0B0000}"/>
    <cellStyle name="RISKnormTitle 10" xfId="2877" xr:uid="{00000000-0005-0000-0000-00003D0B0000}"/>
    <cellStyle name="RISKnormTitle 11" xfId="2878" xr:uid="{00000000-0005-0000-0000-00003E0B0000}"/>
    <cellStyle name="RISKnormTitle 2" xfId="2879" xr:uid="{00000000-0005-0000-0000-00003F0B0000}"/>
    <cellStyle name="RISKnormTitle 2 2" xfId="2880" xr:uid="{00000000-0005-0000-0000-0000400B0000}"/>
    <cellStyle name="RISKnormTitle 2 3" xfId="2881" xr:uid="{00000000-0005-0000-0000-0000410B0000}"/>
    <cellStyle name="RISKnormTitle 2 4" xfId="2882" xr:uid="{00000000-0005-0000-0000-0000420B0000}"/>
    <cellStyle name="RISKnormTitle 2 5" xfId="2883" xr:uid="{00000000-0005-0000-0000-0000430B0000}"/>
    <cellStyle name="RISKnormTitle 2 6" xfId="2884" xr:uid="{00000000-0005-0000-0000-0000440B0000}"/>
    <cellStyle name="RISKnormTitle 2_ActiFijos" xfId="2885" xr:uid="{00000000-0005-0000-0000-0000450B0000}"/>
    <cellStyle name="RISKnormTitle 3" xfId="2886" xr:uid="{00000000-0005-0000-0000-0000460B0000}"/>
    <cellStyle name="RISKnormTitle 3 2" xfId="2887" xr:uid="{00000000-0005-0000-0000-0000470B0000}"/>
    <cellStyle name="RISKnormTitle 3 3" xfId="2888" xr:uid="{00000000-0005-0000-0000-0000480B0000}"/>
    <cellStyle name="RISKnormTitle 3 4" xfId="2889" xr:uid="{00000000-0005-0000-0000-0000490B0000}"/>
    <cellStyle name="RISKnormTitle 3 5" xfId="2890" xr:uid="{00000000-0005-0000-0000-00004A0B0000}"/>
    <cellStyle name="RISKnormTitle 3 6" xfId="2891" xr:uid="{00000000-0005-0000-0000-00004B0B0000}"/>
    <cellStyle name="RISKnormTitle 3_ActiFijos" xfId="2892" xr:uid="{00000000-0005-0000-0000-00004C0B0000}"/>
    <cellStyle name="RISKnormTitle 4" xfId="2893" xr:uid="{00000000-0005-0000-0000-00004D0B0000}"/>
    <cellStyle name="RISKnormTitle 4 2" xfId="2894" xr:uid="{00000000-0005-0000-0000-00004E0B0000}"/>
    <cellStyle name="RISKnormTitle 4 3" xfId="2895" xr:uid="{00000000-0005-0000-0000-00004F0B0000}"/>
    <cellStyle name="RISKnormTitle 4 4" xfId="2896" xr:uid="{00000000-0005-0000-0000-0000500B0000}"/>
    <cellStyle name="RISKnormTitle 4 5" xfId="2897" xr:uid="{00000000-0005-0000-0000-0000510B0000}"/>
    <cellStyle name="RISKnormTitle 4 6" xfId="2898" xr:uid="{00000000-0005-0000-0000-0000520B0000}"/>
    <cellStyle name="RISKnormTitle 4_ActiFijos" xfId="2899" xr:uid="{00000000-0005-0000-0000-0000530B0000}"/>
    <cellStyle name="RISKnormTitle 5" xfId="2900" xr:uid="{00000000-0005-0000-0000-0000540B0000}"/>
    <cellStyle name="RISKnormTitle 6" xfId="2901" xr:uid="{00000000-0005-0000-0000-0000550B0000}"/>
    <cellStyle name="RISKnormTitle 7" xfId="2902" xr:uid="{00000000-0005-0000-0000-0000560B0000}"/>
    <cellStyle name="RISKnormTitle 8" xfId="2903" xr:uid="{00000000-0005-0000-0000-0000570B0000}"/>
    <cellStyle name="RISKnormTitle 9" xfId="2904" xr:uid="{00000000-0005-0000-0000-0000580B0000}"/>
    <cellStyle name="RISKnormTitle_ActiFijos" xfId="2905" xr:uid="{00000000-0005-0000-0000-0000590B0000}"/>
    <cellStyle name="RISKoutNumber" xfId="2906" xr:uid="{00000000-0005-0000-0000-00005A0B0000}"/>
    <cellStyle name="RISKoutNumber 2" xfId="2907" xr:uid="{00000000-0005-0000-0000-00005B0B0000}"/>
    <cellStyle name="RISKoutNumber 2 2" xfId="2908" xr:uid="{00000000-0005-0000-0000-00005C0B0000}"/>
    <cellStyle name="RISKoutNumber 2 3" xfId="2909" xr:uid="{00000000-0005-0000-0000-00005D0B0000}"/>
    <cellStyle name="RISKoutNumber 2 4" xfId="2910" xr:uid="{00000000-0005-0000-0000-00005E0B0000}"/>
    <cellStyle name="RISKoutNumber 2 5" xfId="2911" xr:uid="{00000000-0005-0000-0000-00005F0B0000}"/>
    <cellStyle name="RISKoutNumber 2 6" xfId="2912" xr:uid="{00000000-0005-0000-0000-0000600B0000}"/>
    <cellStyle name="RISKoutNumber 2_ActiFijos" xfId="2913" xr:uid="{00000000-0005-0000-0000-0000610B0000}"/>
    <cellStyle name="RISKoutNumber 3" xfId="2914" xr:uid="{00000000-0005-0000-0000-0000620B0000}"/>
    <cellStyle name="RISKoutNumber 3 2" xfId="2915" xr:uid="{00000000-0005-0000-0000-0000630B0000}"/>
    <cellStyle name="RISKoutNumber 3 3" xfId="2916" xr:uid="{00000000-0005-0000-0000-0000640B0000}"/>
    <cellStyle name="RISKoutNumber 3 4" xfId="2917" xr:uid="{00000000-0005-0000-0000-0000650B0000}"/>
    <cellStyle name="RISKoutNumber 3 5" xfId="2918" xr:uid="{00000000-0005-0000-0000-0000660B0000}"/>
    <cellStyle name="RISKoutNumber 3 6" xfId="2919" xr:uid="{00000000-0005-0000-0000-0000670B0000}"/>
    <cellStyle name="RISKoutNumber 3_ActiFijos" xfId="2920" xr:uid="{00000000-0005-0000-0000-0000680B0000}"/>
    <cellStyle name="RISKoutNumber 4" xfId="2921" xr:uid="{00000000-0005-0000-0000-0000690B0000}"/>
    <cellStyle name="RISKoutNumber 4 2" xfId="2922" xr:uid="{00000000-0005-0000-0000-00006A0B0000}"/>
    <cellStyle name="RISKoutNumber 4 3" xfId="2923" xr:uid="{00000000-0005-0000-0000-00006B0B0000}"/>
    <cellStyle name="RISKoutNumber 4 4" xfId="2924" xr:uid="{00000000-0005-0000-0000-00006C0B0000}"/>
    <cellStyle name="RISKoutNumber 4 5" xfId="2925" xr:uid="{00000000-0005-0000-0000-00006D0B0000}"/>
    <cellStyle name="RISKoutNumber 4 6" xfId="2926" xr:uid="{00000000-0005-0000-0000-00006E0B0000}"/>
    <cellStyle name="RISKoutNumber 4_ActiFijos" xfId="2927" xr:uid="{00000000-0005-0000-0000-00006F0B0000}"/>
    <cellStyle name="RISKoutNumber_Bases_Generales" xfId="2928" xr:uid="{00000000-0005-0000-0000-0000700B0000}"/>
    <cellStyle name="RISKrightEdge" xfId="2929" xr:uid="{00000000-0005-0000-0000-0000710B0000}"/>
    <cellStyle name="RISKrightEdge 2" xfId="2930" xr:uid="{00000000-0005-0000-0000-0000720B0000}"/>
    <cellStyle name="RISKrightEdge 2 2" xfId="2931" xr:uid="{00000000-0005-0000-0000-0000730B0000}"/>
    <cellStyle name="RISKrightEdge 2 2 2" xfId="6218" xr:uid="{00000000-0005-0000-0000-00004A180000}"/>
    <cellStyle name="RISKrightEdge 2 3" xfId="2932" xr:uid="{00000000-0005-0000-0000-0000740B0000}"/>
    <cellStyle name="RISKrightEdge 2 3 2" xfId="6219" xr:uid="{00000000-0005-0000-0000-00004B180000}"/>
    <cellStyle name="RISKrightEdge 2 4" xfId="2933" xr:uid="{00000000-0005-0000-0000-0000750B0000}"/>
    <cellStyle name="RISKrightEdge 2 4 2" xfId="6220" xr:uid="{00000000-0005-0000-0000-00004C180000}"/>
    <cellStyle name="RISKrightEdge 2 5" xfId="2934" xr:uid="{00000000-0005-0000-0000-0000760B0000}"/>
    <cellStyle name="RISKrightEdge 2 5 2" xfId="6221" xr:uid="{00000000-0005-0000-0000-00004D180000}"/>
    <cellStyle name="RISKrightEdge 2 6" xfId="2935" xr:uid="{00000000-0005-0000-0000-0000770B0000}"/>
    <cellStyle name="RISKrightEdge 2 6 2" xfId="6222" xr:uid="{00000000-0005-0000-0000-00004E180000}"/>
    <cellStyle name="RISKrightEdge 2 7" xfId="6223" xr:uid="{00000000-0005-0000-0000-00004F180000}"/>
    <cellStyle name="RISKrightEdge 3" xfId="2936" xr:uid="{00000000-0005-0000-0000-0000780B0000}"/>
    <cellStyle name="RISKrightEdge 3 2" xfId="2937" xr:uid="{00000000-0005-0000-0000-0000790B0000}"/>
    <cellStyle name="RISKrightEdge 3 2 2" xfId="6224" xr:uid="{00000000-0005-0000-0000-000050180000}"/>
    <cellStyle name="RISKrightEdge 3 3" xfId="2938" xr:uid="{00000000-0005-0000-0000-00007A0B0000}"/>
    <cellStyle name="RISKrightEdge 3 3 2" xfId="6225" xr:uid="{00000000-0005-0000-0000-000051180000}"/>
    <cellStyle name="RISKrightEdge 3 4" xfId="2939" xr:uid="{00000000-0005-0000-0000-00007B0B0000}"/>
    <cellStyle name="RISKrightEdge 3 4 2" xfId="6226" xr:uid="{00000000-0005-0000-0000-000052180000}"/>
    <cellStyle name="RISKrightEdge 3 5" xfId="2940" xr:uid="{00000000-0005-0000-0000-00007C0B0000}"/>
    <cellStyle name="RISKrightEdge 3 5 2" xfId="6227" xr:uid="{00000000-0005-0000-0000-000053180000}"/>
    <cellStyle name="RISKrightEdge 3 6" xfId="2941" xr:uid="{00000000-0005-0000-0000-00007D0B0000}"/>
    <cellStyle name="RISKrightEdge 3 6 2" xfId="6228" xr:uid="{00000000-0005-0000-0000-000054180000}"/>
    <cellStyle name="RISKrightEdge 3 7" xfId="6229" xr:uid="{00000000-0005-0000-0000-000055180000}"/>
    <cellStyle name="RISKrightEdge 4" xfId="2942" xr:uid="{00000000-0005-0000-0000-00007E0B0000}"/>
    <cellStyle name="RISKrightEdge 4 2" xfId="2943" xr:uid="{00000000-0005-0000-0000-00007F0B0000}"/>
    <cellStyle name="RISKrightEdge 4 2 2" xfId="6230" xr:uid="{00000000-0005-0000-0000-000056180000}"/>
    <cellStyle name="RISKrightEdge 4 3" xfId="2944" xr:uid="{00000000-0005-0000-0000-0000800B0000}"/>
    <cellStyle name="RISKrightEdge 4 3 2" xfId="6231" xr:uid="{00000000-0005-0000-0000-000057180000}"/>
    <cellStyle name="RISKrightEdge 4 4" xfId="2945" xr:uid="{00000000-0005-0000-0000-0000810B0000}"/>
    <cellStyle name="RISKrightEdge 4 4 2" xfId="6232" xr:uid="{00000000-0005-0000-0000-000058180000}"/>
    <cellStyle name="RISKrightEdge 4 5" xfId="2946" xr:uid="{00000000-0005-0000-0000-0000820B0000}"/>
    <cellStyle name="RISKrightEdge 4 5 2" xfId="6233" xr:uid="{00000000-0005-0000-0000-000059180000}"/>
    <cellStyle name="RISKrightEdge 4 6" xfId="2947" xr:uid="{00000000-0005-0000-0000-0000830B0000}"/>
    <cellStyle name="RISKrightEdge 4 6 2" xfId="6234" xr:uid="{00000000-0005-0000-0000-00005A180000}"/>
    <cellStyle name="RISKrightEdge 4 7" xfId="6235" xr:uid="{00000000-0005-0000-0000-00005B180000}"/>
    <cellStyle name="RISKrightEdge 5" xfId="6236" xr:uid="{00000000-0005-0000-0000-00005C180000}"/>
    <cellStyle name="RISKrtandbEdge" xfId="2948" xr:uid="{00000000-0005-0000-0000-0000840B0000}"/>
    <cellStyle name="RISKrtandbEdge 2" xfId="2949" xr:uid="{00000000-0005-0000-0000-0000850B0000}"/>
    <cellStyle name="RISKrtandbEdge 2 2" xfId="2950" xr:uid="{00000000-0005-0000-0000-0000860B0000}"/>
    <cellStyle name="RISKrtandbEdge 2 2 2" xfId="2951" xr:uid="{00000000-0005-0000-0000-0000870B0000}"/>
    <cellStyle name="RISKrtandbEdge 2 2 2 2" xfId="6237" xr:uid="{00000000-0005-0000-0000-00005D180000}"/>
    <cellStyle name="RISKrtandbEdge 2 2 3" xfId="6238" xr:uid="{00000000-0005-0000-0000-00005E180000}"/>
    <cellStyle name="RISKrtandbEdge 2 3" xfId="2952" xr:uid="{00000000-0005-0000-0000-0000880B0000}"/>
    <cellStyle name="RISKrtandbEdge 2 3 2" xfId="2953" xr:uid="{00000000-0005-0000-0000-0000890B0000}"/>
    <cellStyle name="RISKrtandbEdge 2 3 2 2" xfId="6239" xr:uid="{00000000-0005-0000-0000-00005F180000}"/>
    <cellStyle name="RISKrtandbEdge 2 3 3" xfId="6240" xr:uid="{00000000-0005-0000-0000-000060180000}"/>
    <cellStyle name="RISKrtandbEdge 2 4" xfId="2954" xr:uid="{00000000-0005-0000-0000-00008A0B0000}"/>
    <cellStyle name="RISKrtandbEdge 2 4 2" xfId="2955" xr:uid="{00000000-0005-0000-0000-00008B0B0000}"/>
    <cellStyle name="RISKrtandbEdge 2 4 2 2" xfId="6241" xr:uid="{00000000-0005-0000-0000-000061180000}"/>
    <cellStyle name="RISKrtandbEdge 2 4 3" xfId="6242" xr:uid="{00000000-0005-0000-0000-000062180000}"/>
    <cellStyle name="RISKrtandbEdge 2 5" xfId="2956" xr:uid="{00000000-0005-0000-0000-00008C0B0000}"/>
    <cellStyle name="RISKrtandbEdge 2 5 2" xfId="6243" xr:uid="{00000000-0005-0000-0000-000063180000}"/>
    <cellStyle name="RISKrtandbEdge 2 6" xfId="2957" xr:uid="{00000000-0005-0000-0000-00008D0B0000}"/>
    <cellStyle name="RISKrtandbEdge 2 6 2" xfId="6244" xr:uid="{00000000-0005-0000-0000-000064180000}"/>
    <cellStyle name="RISKrtandbEdge 2 7" xfId="6245" xr:uid="{00000000-0005-0000-0000-000065180000}"/>
    <cellStyle name="RISKrtandbEdge 3" xfId="2958" xr:uid="{00000000-0005-0000-0000-00008E0B0000}"/>
    <cellStyle name="RISKrtandbEdge 3 2" xfId="2959" xr:uid="{00000000-0005-0000-0000-00008F0B0000}"/>
    <cellStyle name="RISKrtandbEdge 3 2 2" xfId="2960" xr:uid="{00000000-0005-0000-0000-0000900B0000}"/>
    <cellStyle name="RISKrtandbEdge 3 2 2 2" xfId="6246" xr:uid="{00000000-0005-0000-0000-000066180000}"/>
    <cellStyle name="RISKrtandbEdge 3 2 3" xfId="6247" xr:uid="{00000000-0005-0000-0000-000067180000}"/>
    <cellStyle name="RISKrtandbEdge 3 3" xfId="2961" xr:uid="{00000000-0005-0000-0000-0000910B0000}"/>
    <cellStyle name="RISKrtandbEdge 3 3 2" xfId="2962" xr:uid="{00000000-0005-0000-0000-0000920B0000}"/>
    <cellStyle name="RISKrtandbEdge 3 3 2 2" xfId="6248" xr:uid="{00000000-0005-0000-0000-000068180000}"/>
    <cellStyle name="RISKrtandbEdge 3 3 3" xfId="6249" xr:uid="{00000000-0005-0000-0000-000069180000}"/>
    <cellStyle name="RISKrtandbEdge 3 4" xfId="2963" xr:uid="{00000000-0005-0000-0000-0000930B0000}"/>
    <cellStyle name="RISKrtandbEdge 3 4 2" xfId="2964" xr:uid="{00000000-0005-0000-0000-0000940B0000}"/>
    <cellStyle name="RISKrtandbEdge 3 4 2 2" xfId="6250" xr:uid="{00000000-0005-0000-0000-00006A180000}"/>
    <cellStyle name="RISKrtandbEdge 3 4 3" xfId="6251" xr:uid="{00000000-0005-0000-0000-00006B180000}"/>
    <cellStyle name="RISKrtandbEdge 3 5" xfId="2965" xr:uid="{00000000-0005-0000-0000-0000950B0000}"/>
    <cellStyle name="RISKrtandbEdge 3 5 2" xfId="6252" xr:uid="{00000000-0005-0000-0000-00006C180000}"/>
    <cellStyle name="RISKrtandbEdge 3 6" xfId="2966" xr:uid="{00000000-0005-0000-0000-0000960B0000}"/>
    <cellStyle name="RISKrtandbEdge 3 6 2" xfId="6253" xr:uid="{00000000-0005-0000-0000-00006D180000}"/>
    <cellStyle name="RISKrtandbEdge 3 7" xfId="6254" xr:uid="{00000000-0005-0000-0000-00006E180000}"/>
    <cellStyle name="RISKrtandbEdge 4" xfId="2967" xr:uid="{00000000-0005-0000-0000-0000970B0000}"/>
    <cellStyle name="RISKrtandbEdge 4 2" xfId="2968" xr:uid="{00000000-0005-0000-0000-0000980B0000}"/>
    <cellStyle name="RISKrtandbEdge 4 2 2" xfId="2969" xr:uid="{00000000-0005-0000-0000-0000990B0000}"/>
    <cellStyle name="RISKrtandbEdge 4 2 2 2" xfId="6255" xr:uid="{00000000-0005-0000-0000-00006F180000}"/>
    <cellStyle name="RISKrtandbEdge 4 2 3" xfId="6256" xr:uid="{00000000-0005-0000-0000-000070180000}"/>
    <cellStyle name="RISKrtandbEdge 4 3" xfId="2970" xr:uid="{00000000-0005-0000-0000-00009A0B0000}"/>
    <cellStyle name="RISKrtandbEdge 4 3 2" xfId="2971" xr:uid="{00000000-0005-0000-0000-00009B0B0000}"/>
    <cellStyle name="RISKrtandbEdge 4 3 2 2" xfId="6257" xr:uid="{00000000-0005-0000-0000-000071180000}"/>
    <cellStyle name="RISKrtandbEdge 4 3 3" xfId="6258" xr:uid="{00000000-0005-0000-0000-000072180000}"/>
    <cellStyle name="RISKrtandbEdge 4 4" xfId="2972" xr:uid="{00000000-0005-0000-0000-00009C0B0000}"/>
    <cellStyle name="RISKrtandbEdge 4 4 2" xfId="2973" xr:uid="{00000000-0005-0000-0000-00009D0B0000}"/>
    <cellStyle name="RISKrtandbEdge 4 4 2 2" xfId="6259" xr:uid="{00000000-0005-0000-0000-000073180000}"/>
    <cellStyle name="RISKrtandbEdge 4 4 3" xfId="6260" xr:uid="{00000000-0005-0000-0000-000074180000}"/>
    <cellStyle name="RISKrtandbEdge 4 5" xfId="2974" xr:uid="{00000000-0005-0000-0000-00009E0B0000}"/>
    <cellStyle name="RISKrtandbEdge 4 5 2" xfId="6261" xr:uid="{00000000-0005-0000-0000-000075180000}"/>
    <cellStyle name="RISKrtandbEdge 4 6" xfId="2975" xr:uid="{00000000-0005-0000-0000-00009F0B0000}"/>
    <cellStyle name="RISKrtandbEdge 4 6 2" xfId="6262" xr:uid="{00000000-0005-0000-0000-000076180000}"/>
    <cellStyle name="RISKrtandbEdge 4 7" xfId="6263" xr:uid="{00000000-0005-0000-0000-000077180000}"/>
    <cellStyle name="RISKrtandbEdge 5" xfId="2976" xr:uid="{00000000-0005-0000-0000-0000A00B0000}"/>
    <cellStyle name="RISKrtandbEdge 5 2" xfId="6264" xr:uid="{00000000-0005-0000-0000-000078180000}"/>
    <cellStyle name="RISKrtandbEdge 6" xfId="2977" xr:uid="{00000000-0005-0000-0000-0000A10B0000}"/>
    <cellStyle name="RISKrtandbEdge 6 2" xfId="6265" xr:uid="{00000000-0005-0000-0000-000079180000}"/>
    <cellStyle name="RISKrtandbEdge 7" xfId="2978" xr:uid="{00000000-0005-0000-0000-0000A20B0000}"/>
    <cellStyle name="RISKrtandbEdge 7 2" xfId="6266" xr:uid="{00000000-0005-0000-0000-00007A180000}"/>
    <cellStyle name="RISKrtandbEdge 8" xfId="6267" xr:uid="{00000000-0005-0000-0000-00007B180000}"/>
    <cellStyle name="RISKrtandbEdge_PyG" xfId="2979" xr:uid="{00000000-0005-0000-0000-0000A30B0000}"/>
    <cellStyle name="RISKssTime" xfId="2980" xr:uid="{00000000-0005-0000-0000-0000A40B0000}"/>
    <cellStyle name="RISKssTime 2" xfId="2981" xr:uid="{00000000-0005-0000-0000-0000A50B0000}"/>
    <cellStyle name="RISKssTime 2 2" xfId="2982" xr:uid="{00000000-0005-0000-0000-0000A60B0000}"/>
    <cellStyle name="RISKssTime 2 2 2" xfId="6268" xr:uid="{00000000-0005-0000-0000-00007C180000}"/>
    <cellStyle name="RISKssTime 2 3" xfId="2983" xr:uid="{00000000-0005-0000-0000-0000A70B0000}"/>
    <cellStyle name="RISKssTime 2 3 2" xfId="6269" xr:uid="{00000000-0005-0000-0000-00007D180000}"/>
    <cellStyle name="RISKssTime 2 4" xfId="2984" xr:uid="{00000000-0005-0000-0000-0000A80B0000}"/>
    <cellStyle name="RISKssTime 2 4 2" xfId="6270" xr:uid="{00000000-0005-0000-0000-00007E180000}"/>
    <cellStyle name="RISKssTime 2 5" xfId="2985" xr:uid="{00000000-0005-0000-0000-0000A90B0000}"/>
    <cellStyle name="RISKssTime 2 5 2" xfId="6271" xr:uid="{00000000-0005-0000-0000-00007F180000}"/>
    <cellStyle name="RISKssTime 2 6" xfId="2986" xr:uid="{00000000-0005-0000-0000-0000AA0B0000}"/>
    <cellStyle name="RISKssTime 2 6 2" xfId="6272" xr:uid="{00000000-0005-0000-0000-000080180000}"/>
    <cellStyle name="RISKssTime 2 7" xfId="6273" xr:uid="{00000000-0005-0000-0000-000081180000}"/>
    <cellStyle name="RISKssTime 3" xfId="2987" xr:uid="{00000000-0005-0000-0000-0000AB0B0000}"/>
    <cellStyle name="RISKssTime 3 2" xfId="2988" xr:uid="{00000000-0005-0000-0000-0000AC0B0000}"/>
    <cellStyle name="RISKssTime 3 2 2" xfId="6274" xr:uid="{00000000-0005-0000-0000-000082180000}"/>
    <cellStyle name="RISKssTime 3 3" xfId="2989" xr:uid="{00000000-0005-0000-0000-0000AD0B0000}"/>
    <cellStyle name="RISKssTime 3 3 2" xfId="6275" xr:uid="{00000000-0005-0000-0000-000083180000}"/>
    <cellStyle name="RISKssTime 3 4" xfId="2990" xr:uid="{00000000-0005-0000-0000-0000AE0B0000}"/>
    <cellStyle name="RISKssTime 3 4 2" xfId="6276" xr:uid="{00000000-0005-0000-0000-000084180000}"/>
    <cellStyle name="RISKssTime 3 5" xfId="2991" xr:uid="{00000000-0005-0000-0000-0000AF0B0000}"/>
    <cellStyle name="RISKssTime 3 5 2" xfId="6277" xr:uid="{00000000-0005-0000-0000-000085180000}"/>
    <cellStyle name="RISKssTime 3 6" xfId="2992" xr:uid="{00000000-0005-0000-0000-0000B00B0000}"/>
    <cellStyle name="RISKssTime 3 6 2" xfId="6278" xr:uid="{00000000-0005-0000-0000-000086180000}"/>
    <cellStyle name="RISKssTime 3 7" xfId="6279" xr:uid="{00000000-0005-0000-0000-000087180000}"/>
    <cellStyle name="RISKssTime 4" xfId="2993" xr:uid="{00000000-0005-0000-0000-0000B10B0000}"/>
    <cellStyle name="RISKssTime 4 2" xfId="2994" xr:uid="{00000000-0005-0000-0000-0000B20B0000}"/>
    <cellStyle name="RISKssTime 4 2 2" xfId="6280" xr:uid="{00000000-0005-0000-0000-000088180000}"/>
    <cellStyle name="RISKssTime 4 3" xfId="2995" xr:uid="{00000000-0005-0000-0000-0000B30B0000}"/>
    <cellStyle name="RISKssTime 4 3 2" xfId="6281" xr:uid="{00000000-0005-0000-0000-000089180000}"/>
    <cellStyle name="RISKssTime 4 4" xfId="2996" xr:uid="{00000000-0005-0000-0000-0000B40B0000}"/>
    <cellStyle name="RISKssTime 4 4 2" xfId="6282" xr:uid="{00000000-0005-0000-0000-00008A180000}"/>
    <cellStyle name="RISKssTime 4 5" xfId="2997" xr:uid="{00000000-0005-0000-0000-0000B50B0000}"/>
    <cellStyle name="RISKssTime 4 5 2" xfId="6283" xr:uid="{00000000-0005-0000-0000-00008B180000}"/>
    <cellStyle name="RISKssTime 4 6" xfId="2998" xr:uid="{00000000-0005-0000-0000-0000B60B0000}"/>
    <cellStyle name="RISKssTime 4 6 2" xfId="6284" xr:uid="{00000000-0005-0000-0000-00008C180000}"/>
    <cellStyle name="RISKssTime 4 7" xfId="6285" xr:uid="{00000000-0005-0000-0000-00008D180000}"/>
    <cellStyle name="RISKssTime 5" xfId="6286" xr:uid="{00000000-0005-0000-0000-00008E180000}"/>
    <cellStyle name="RISKtandbEdge" xfId="2999" xr:uid="{00000000-0005-0000-0000-0000B70B0000}"/>
    <cellStyle name="RISKtandbEdge 2" xfId="3000" xr:uid="{00000000-0005-0000-0000-0000B80B0000}"/>
    <cellStyle name="RISKtandbEdge 2 2" xfId="3001" xr:uid="{00000000-0005-0000-0000-0000B90B0000}"/>
    <cellStyle name="RISKtandbEdge 2 2 2" xfId="3002" xr:uid="{00000000-0005-0000-0000-0000BA0B0000}"/>
    <cellStyle name="RISKtandbEdge 2 2 2 2" xfId="6287" xr:uid="{00000000-0005-0000-0000-00008F180000}"/>
    <cellStyle name="RISKtandbEdge 2 2 3" xfId="6288" xr:uid="{00000000-0005-0000-0000-000090180000}"/>
    <cellStyle name="RISKtandbEdge 2 3" xfId="3003" xr:uid="{00000000-0005-0000-0000-0000BB0B0000}"/>
    <cellStyle name="RISKtandbEdge 2 3 2" xfId="3004" xr:uid="{00000000-0005-0000-0000-0000BC0B0000}"/>
    <cellStyle name="RISKtandbEdge 2 3 2 2" xfId="6289" xr:uid="{00000000-0005-0000-0000-000091180000}"/>
    <cellStyle name="RISKtandbEdge 2 3 3" xfId="6290" xr:uid="{00000000-0005-0000-0000-000092180000}"/>
    <cellStyle name="RISKtandbEdge 2 4" xfId="3005" xr:uid="{00000000-0005-0000-0000-0000BD0B0000}"/>
    <cellStyle name="RISKtandbEdge 2 4 2" xfId="3006" xr:uid="{00000000-0005-0000-0000-0000BE0B0000}"/>
    <cellStyle name="RISKtandbEdge 2 4 2 2" xfId="6291" xr:uid="{00000000-0005-0000-0000-000093180000}"/>
    <cellStyle name="RISKtandbEdge 2 4 3" xfId="6292" xr:uid="{00000000-0005-0000-0000-000094180000}"/>
    <cellStyle name="RISKtandbEdge 2 5" xfId="3007" xr:uid="{00000000-0005-0000-0000-0000BF0B0000}"/>
    <cellStyle name="RISKtandbEdge 2 5 2" xfId="6293" xr:uid="{00000000-0005-0000-0000-000095180000}"/>
    <cellStyle name="RISKtandbEdge 2 6" xfId="3008" xr:uid="{00000000-0005-0000-0000-0000C00B0000}"/>
    <cellStyle name="RISKtandbEdge 2 6 2" xfId="6294" xr:uid="{00000000-0005-0000-0000-000096180000}"/>
    <cellStyle name="RISKtandbEdge 2 7" xfId="6295" xr:uid="{00000000-0005-0000-0000-000097180000}"/>
    <cellStyle name="RISKtandbEdge 3" xfId="3009" xr:uid="{00000000-0005-0000-0000-0000C10B0000}"/>
    <cellStyle name="RISKtandbEdge 3 2" xfId="3010" xr:uid="{00000000-0005-0000-0000-0000C20B0000}"/>
    <cellStyle name="RISKtandbEdge 3 2 2" xfId="3011" xr:uid="{00000000-0005-0000-0000-0000C30B0000}"/>
    <cellStyle name="RISKtandbEdge 3 2 2 2" xfId="6296" xr:uid="{00000000-0005-0000-0000-000098180000}"/>
    <cellStyle name="RISKtandbEdge 3 2 3" xfId="6297" xr:uid="{00000000-0005-0000-0000-000099180000}"/>
    <cellStyle name="RISKtandbEdge 3 3" xfId="3012" xr:uid="{00000000-0005-0000-0000-0000C40B0000}"/>
    <cellStyle name="RISKtandbEdge 3 3 2" xfId="3013" xr:uid="{00000000-0005-0000-0000-0000C50B0000}"/>
    <cellStyle name="RISKtandbEdge 3 3 2 2" xfId="6298" xr:uid="{00000000-0005-0000-0000-00009A180000}"/>
    <cellStyle name="RISKtandbEdge 3 3 3" xfId="6299" xr:uid="{00000000-0005-0000-0000-00009B180000}"/>
    <cellStyle name="RISKtandbEdge 3 4" xfId="3014" xr:uid="{00000000-0005-0000-0000-0000C60B0000}"/>
    <cellStyle name="RISKtandbEdge 3 4 2" xfId="3015" xr:uid="{00000000-0005-0000-0000-0000C70B0000}"/>
    <cellStyle name="RISKtandbEdge 3 4 2 2" xfId="6300" xr:uid="{00000000-0005-0000-0000-00009C180000}"/>
    <cellStyle name="RISKtandbEdge 3 4 3" xfId="6301" xr:uid="{00000000-0005-0000-0000-00009D180000}"/>
    <cellStyle name="RISKtandbEdge 3 5" xfId="3016" xr:uid="{00000000-0005-0000-0000-0000C80B0000}"/>
    <cellStyle name="RISKtandbEdge 3 5 2" xfId="6302" xr:uid="{00000000-0005-0000-0000-00009E180000}"/>
    <cellStyle name="RISKtandbEdge 3 6" xfId="3017" xr:uid="{00000000-0005-0000-0000-0000C90B0000}"/>
    <cellStyle name="RISKtandbEdge 3 6 2" xfId="6303" xr:uid="{00000000-0005-0000-0000-00009F180000}"/>
    <cellStyle name="RISKtandbEdge 3 7" xfId="6304" xr:uid="{00000000-0005-0000-0000-0000A0180000}"/>
    <cellStyle name="RISKtandbEdge 4" xfId="3018" xr:uid="{00000000-0005-0000-0000-0000CA0B0000}"/>
    <cellStyle name="RISKtandbEdge 4 2" xfId="3019" xr:uid="{00000000-0005-0000-0000-0000CB0B0000}"/>
    <cellStyle name="RISKtandbEdge 4 2 2" xfId="3020" xr:uid="{00000000-0005-0000-0000-0000CC0B0000}"/>
    <cellStyle name="RISKtandbEdge 4 2 2 2" xfId="6305" xr:uid="{00000000-0005-0000-0000-0000A1180000}"/>
    <cellStyle name="RISKtandbEdge 4 2 3" xfId="6306" xr:uid="{00000000-0005-0000-0000-0000A2180000}"/>
    <cellStyle name="RISKtandbEdge 4 3" xfId="3021" xr:uid="{00000000-0005-0000-0000-0000CD0B0000}"/>
    <cellStyle name="RISKtandbEdge 4 3 2" xfId="3022" xr:uid="{00000000-0005-0000-0000-0000CE0B0000}"/>
    <cellStyle name="RISKtandbEdge 4 3 2 2" xfId="6307" xr:uid="{00000000-0005-0000-0000-0000A3180000}"/>
    <cellStyle name="RISKtandbEdge 4 3 3" xfId="6308" xr:uid="{00000000-0005-0000-0000-0000A4180000}"/>
    <cellStyle name="RISKtandbEdge 4 4" xfId="3023" xr:uid="{00000000-0005-0000-0000-0000CF0B0000}"/>
    <cellStyle name="RISKtandbEdge 4 4 2" xfId="3024" xr:uid="{00000000-0005-0000-0000-0000D00B0000}"/>
    <cellStyle name="RISKtandbEdge 4 4 2 2" xfId="6309" xr:uid="{00000000-0005-0000-0000-0000A5180000}"/>
    <cellStyle name="RISKtandbEdge 4 4 3" xfId="6310" xr:uid="{00000000-0005-0000-0000-0000A6180000}"/>
    <cellStyle name="RISKtandbEdge 4 5" xfId="3025" xr:uid="{00000000-0005-0000-0000-0000D10B0000}"/>
    <cellStyle name="RISKtandbEdge 4 5 2" xfId="6311" xr:uid="{00000000-0005-0000-0000-0000A7180000}"/>
    <cellStyle name="RISKtandbEdge 4 6" xfId="3026" xr:uid="{00000000-0005-0000-0000-0000D20B0000}"/>
    <cellStyle name="RISKtandbEdge 4 6 2" xfId="6312" xr:uid="{00000000-0005-0000-0000-0000A8180000}"/>
    <cellStyle name="RISKtandbEdge 4 7" xfId="6313" xr:uid="{00000000-0005-0000-0000-0000A9180000}"/>
    <cellStyle name="RISKtandbEdge 5" xfId="3027" xr:uid="{00000000-0005-0000-0000-0000D30B0000}"/>
    <cellStyle name="RISKtandbEdge 5 2" xfId="6314" xr:uid="{00000000-0005-0000-0000-0000AA180000}"/>
    <cellStyle name="RISKtandbEdge 6" xfId="3028" xr:uid="{00000000-0005-0000-0000-0000D40B0000}"/>
    <cellStyle name="RISKtandbEdge 6 2" xfId="6315" xr:uid="{00000000-0005-0000-0000-0000AB180000}"/>
    <cellStyle name="RISKtandbEdge 7" xfId="3029" xr:uid="{00000000-0005-0000-0000-0000D50B0000}"/>
    <cellStyle name="RISKtandbEdge 7 2" xfId="6316" xr:uid="{00000000-0005-0000-0000-0000AC180000}"/>
    <cellStyle name="RISKtandbEdge 8" xfId="6317" xr:uid="{00000000-0005-0000-0000-0000AD180000}"/>
    <cellStyle name="RISKtandbEdge_PyG" xfId="3030" xr:uid="{00000000-0005-0000-0000-0000D60B0000}"/>
    <cellStyle name="RISKtlandrEdge" xfId="3031" xr:uid="{00000000-0005-0000-0000-0000D70B0000}"/>
    <cellStyle name="RISKtlandrEdge 2" xfId="3032" xr:uid="{00000000-0005-0000-0000-0000D80B0000}"/>
    <cellStyle name="RISKtlandrEdge 2 2" xfId="3033" xr:uid="{00000000-0005-0000-0000-0000D90B0000}"/>
    <cellStyle name="RISKtlandrEdge 2 2 2" xfId="3034" xr:uid="{00000000-0005-0000-0000-0000DA0B0000}"/>
    <cellStyle name="RISKtlandrEdge 2 2 2 2" xfId="6318" xr:uid="{00000000-0005-0000-0000-0000AE180000}"/>
    <cellStyle name="RISKtlandrEdge 2 2 3" xfId="6319" xr:uid="{00000000-0005-0000-0000-0000AF180000}"/>
    <cellStyle name="RISKtlandrEdge 2 3" xfId="3035" xr:uid="{00000000-0005-0000-0000-0000DB0B0000}"/>
    <cellStyle name="RISKtlandrEdge 2 3 2" xfId="3036" xr:uid="{00000000-0005-0000-0000-0000DC0B0000}"/>
    <cellStyle name="RISKtlandrEdge 2 3 2 2" xfId="6320" xr:uid="{00000000-0005-0000-0000-0000B0180000}"/>
    <cellStyle name="RISKtlandrEdge 2 3 3" xfId="6321" xr:uid="{00000000-0005-0000-0000-0000B1180000}"/>
    <cellStyle name="RISKtlandrEdge 2 4" xfId="3037" xr:uid="{00000000-0005-0000-0000-0000DD0B0000}"/>
    <cellStyle name="RISKtlandrEdge 2 4 2" xfId="3038" xr:uid="{00000000-0005-0000-0000-0000DE0B0000}"/>
    <cellStyle name="RISKtlandrEdge 2 4 2 2" xfId="6322" xr:uid="{00000000-0005-0000-0000-0000B2180000}"/>
    <cellStyle name="RISKtlandrEdge 2 4 3" xfId="6323" xr:uid="{00000000-0005-0000-0000-0000B3180000}"/>
    <cellStyle name="RISKtlandrEdge 2 5" xfId="3039" xr:uid="{00000000-0005-0000-0000-0000DF0B0000}"/>
    <cellStyle name="RISKtlandrEdge 2 5 2" xfId="6324" xr:uid="{00000000-0005-0000-0000-0000B4180000}"/>
    <cellStyle name="RISKtlandrEdge 2 6" xfId="3040" xr:uid="{00000000-0005-0000-0000-0000E00B0000}"/>
    <cellStyle name="RISKtlandrEdge 2 6 2" xfId="6325" xr:uid="{00000000-0005-0000-0000-0000B5180000}"/>
    <cellStyle name="RISKtlandrEdge 2 7" xfId="6326" xr:uid="{00000000-0005-0000-0000-0000B6180000}"/>
    <cellStyle name="RISKtlandrEdge 3" xfId="3041" xr:uid="{00000000-0005-0000-0000-0000E10B0000}"/>
    <cellStyle name="RISKtlandrEdge 3 2" xfId="3042" xr:uid="{00000000-0005-0000-0000-0000E20B0000}"/>
    <cellStyle name="RISKtlandrEdge 3 2 2" xfId="3043" xr:uid="{00000000-0005-0000-0000-0000E30B0000}"/>
    <cellStyle name="RISKtlandrEdge 3 2 2 2" xfId="6327" xr:uid="{00000000-0005-0000-0000-0000B7180000}"/>
    <cellStyle name="RISKtlandrEdge 3 2 3" xfId="6328" xr:uid="{00000000-0005-0000-0000-0000B8180000}"/>
    <cellStyle name="RISKtlandrEdge 3 3" xfId="3044" xr:uid="{00000000-0005-0000-0000-0000E40B0000}"/>
    <cellStyle name="RISKtlandrEdge 3 3 2" xfId="3045" xr:uid="{00000000-0005-0000-0000-0000E50B0000}"/>
    <cellStyle name="RISKtlandrEdge 3 3 2 2" xfId="6329" xr:uid="{00000000-0005-0000-0000-0000B9180000}"/>
    <cellStyle name="RISKtlandrEdge 3 3 3" xfId="6330" xr:uid="{00000000-0005-0000-0000-0000BA180000}"/>
    <cellStyle name="RISKtlandrEdge 3 4" xfId="3046" xr:uid="{00000000-0005-0000-0000-0000E60B0000}"/>
    <cellStyle name="RISKtlandrEdge 3 4 2" xfId="3047" xr:uid="{00000000-0005-0000-0000-0000E70B0000}"/>
    <cellStyle name="RISKtlandrEdge 3 4 2 2" xfId="6331" xr:uid="{00000000-0005-0000-0000-0000BB180000}"/>
    <cellStyle name="RISKtlandrEdge 3 4 3" xfId="6332" xr:uid="{00000000-0005-0000-0000-0000BC180000}"/>
    <cellStyle name="RISKtlandrEdge 3 5" xfId="3048" xr:uid="{00000000-0005-0000-0000-0000E80B0000}"/>
    <cellStyle name="RISKtlandrEdge 3 5 2" xfId="6333" xr:uid="{00000000-0005-0000-0000-0000BD180000}"/>
    <cellStyle name="RISKtlandrEdge 3 6" xfId="3049" xr:uid="{00000000-0005-0000-0000-0000E90B0000}"/>
    <cellStyle name="RISKtlandrEdge 3 6 2" xfId="6334" xr:uid="{00000000-0005-0000-0000-0000BE180000}"/>
    <cellStyle name="RISKtlandrEdge 3 7" xfId="6335" xr:uid="{00000000-0005-0000-0000-0000BF180000}"/>
    <cellStyle name="RISKtlandrEdge 4" xfId="3050" xr:uid="{00000000-0005-0000-0000-0000EA0B0000}"/>
    <cellStyle name="RISKtlandrEdge 4 2" xfId="3051" xr:uid="{00000000-0005-0000-0000-0000EB0B0000}"/>
    <cellStyle name="RISKtlandrEdge 4 2 2" xfId="3052" xr:uid="{00000000-0005-0000-0000-0000EC0B0000}"/>
    <cellStyle name="RISKtlandrEdge 4 2 2 2" xfId="6336" xr:uid="{00000000-0005-0000-0000-0000C0180000}"/>
    <cellStyle name="RISKtlandrEdge 4 2 3" xfId="6337" xr:uid="{00000000-0005-0000-0000-0000C1180000}"/>
    <cellStyle name="RISKtlandrEdge 4 3" xfId="3053" xr:uid="{00000000-0005-0000-0000-0000ED0B0000}"/>
    <cellStyle name="RISKtlandrEdge 4 3 2" xfId="3054" xr:uid="{00000000-0005-0000-0000-0000EE0B0000}"/>
    <cellStyle name="RISKtlandrEdge 4 3 2 2" xfId="6338" xr:uid="{00000000-0005-0000-0000-0000C2180000}"/>
    <cellStyle name="RISKtlandrEdge 4 3 3" xfId="6339" xr:uid="{00000000-0005-0000-0000-0000C3180000}"/>
    <cellStyle name="RISKtlandrEdge 4 4" xfId="3055" xr:uid="{00000000-0005-0000-0000-0000EF0B0000}"/>
    <cellStyle name="RISKtlandrEdge 4 4 2" xfId="3056" xr:uid="{00000000-0005-0000-0000-0000F00B0000}"/>
    <cellStyle name="RISKtlandrEdge 4 4 2 2" xfId="6340" xr:uid="{00000000-0005-0000-0000-0000C4180000}"/>
    <cellStyle name="RISKtlandrEdge 4 4 3" xfId="6341" xr:uid="{00000000-0005-0000-0000-0000C5180000}"/>
    <cellStyle name="RISKtlandrEdge 4 5" xfId="3057" xr:uid="{00000000-0005-0000-0000-0000F10B0000}"/>
    <cellStyle name="RISKtlandrEdge 4 5 2" xfId="6342" xr:uid="{00000000-0005-0000-0000-0000C6180000}"/>
    <cellStyle name="RISKtlandrEdge 4 6" xfId="3058" xr:uid="{00000000-0005-0000-0000-0000F20B0000}"/>
    <cellStyle name="RISKtlandrEdge 4 6 2" xfId="6343" xr:uid="{00000000-0005-0000-0000-0000C7180000}"/>
    <cellStyle name="RISKtlandrEdge 4 7" xfId="6344" xr:uid="{00000000-0005-0000-0000-0000C8180000}"/>
    <cellStyle name="RISKtlandrEdge 5" xfId="3059" xr:uid="{00000000-0005-0000-0000-0000F30B0000}"/>
    <cellStyle name="RISKtlandrEdge 5 2" xfId="6345" xr:uid="{00000000-0005-0000-0000-0000C9180000}"/>
    <cellStyle name="RISKtlandrEdge 6" xfId="3060" xr:uid="{00000000-0005-0000-0000-0000F40B0000}"/>
    <cellStyle name="RISKtlandrEdge 6 2" xfId="6346" xr:uid="{00000000-0005-0000-0000-0000CA180000}"/>
    <cellStyle name="RISKtlandrEdge 7" xfId="3061" xr:uid="{00000000-0005-0000-0000-0000F50B0000}"/>
    <cellStyle name="RISKtlandrEdge 7 2" xfId="6347" xr:uid="{00000000-0005-0000-0000-0000CB180000}"/>
    <cellStyle name="RISKtlandrEdge 8" xfId="6348" xr:uid="{00000000-0005-0000-0000-0000CC180000}"/>
    <cellStyle name="RISKtlandrEdge_PyG" xfId="3062" xr:uid="{00000000-0005-0000-0000-0000F60B0000}"/>
    <cellStyle name="RISKtlCorner" xfId="3063" xr:uid="{00000000-0005-0000-0000-0000F70B0000}"/>
    <cellStyle name="RISKtlCorner 2" xfId="3064" xr:uid="{00000000-0005-0000-0000-0000F80B0000}"/>
    <cellStyle name="RISKtlCorner 2 2" xfId="3065" xr:uid="{00000000-0005-0000-0000-0000F90B0000}"/>
    <cellStyle name="RISKtlCorner 2 2 2" xfId="3066" xr:uid="{00000000-0005-0000-0000-0000FA0B0000}"/>
    <cellStyle name="RISKtlCorner 2 2 2 2" xfId="6349" xr:uid="{00000000-0005-0000-0000-0000CD180000}"/>
    <cellStyle name="RISKtlCorner 2 2 3" xfId="6350" xr:uid="{00000000-0005-0000-0000-0000CE180000}"/>
    <cellStyle name="RISKtlCorner 2 3" xfId="3067" xr:uid="{00000000-0005-0000-0000-0000FB0B0000}"/>
    <cellStyle name="RISKtlCorner 2 3 2" xfId="3068" xr:uid="{00000000-0005-0000-0000-0000FC0B0000}"/>
    <cellStyle name="RISKtlCorner 2 3 2 2" xfId="6351" xr:uid="{00000000-0005-0000-0000-0000CF180000}"/>
    <cellStyle name="RISKtlCorner 2 3 3" xfId="6352" xr:uid="{00000000-0005-0000-0000-0000D0180000}"/>
    <cellStyle name="RISKtlCorner 2 4" xfId="3069" xr:uid="{00000000-0005-0000-0000-0000FD0B0000}"/>
    <cellStyle name="RISKtlCorner 2 4 2" xfId="3070" xr:uid="{00000000-0005-0000-0000-0000FE0B0000}"/>
    <cellStyle name="RISKtlCorner 2 4 2 2" xfId="6353" xr:uid="{00000000-0005-0000-0000-0000D1180000}"/>
    <cellStyle name="RISKtlCorner 2 4 3" xfId="6354" xr:uid="{00000000-0005-0000-0000-0000D2180000}"/>
    <cellStyle name="RISKtlCorner 2 5" xfId="3071" xr:uid="{00000000-0005-0000-0000-0000FF0B0000}"/>
    <cellStyle name="RISKtlCorner 2 5 2" xfId="6355" xr:uid="{00000000-0005-0000-0000-0000D3180000}"/>
    <cellStyle name="RISKtlCorner 2 6" xfId="3072" xr:uid="{00000000-0005-0000-0000-0000000C0000}"/>
    <cellStyle name="RISKtlCorner 2 6 2" xfId="6356" xr:uid="{00000000-0005-0000-0000-0000D4180000}"/>
    <cellStyle name="RISKtlCorner 2 7" xfId="6357" xr:uid="{00000000-0005-0000-0000-0000D5180000}"/>
    <cellStyle name="RISKtlCorner 3" xfId="3073" xr:uid="{00000000-0005-0000-0000-0000010C0000}"/>
    <cellStyle name="RISKtlCorner 3 2" xfId="3074" xr:uid="{00000000-0005-0000-0000-0000020C0000}"/>
    <cellStyle name="RISKtlCorner 3 2 2" xfId="3075" xr:uid="{00000000-0005-0000-0000-0000030C0000}"/>
    <cellStyle name="RISKtlCorner 3 2 2 2" xfId="6358" xr:uid="{00000000-0005-0000-0000-0000D6180000}"/>
    <cellStyle name="RISKtlCorner 3 2 3" xfId="6359" xr:uid="{00000000-0005-0000-0000-0000D7180000}"/>
    <cellStyle name="RISKtlCorner 3 3" xfId="3076" xr:uid="{00000000-0005-0000-0000-0000040C0000}"/>
    <cellStyle name="RISKtlCorner 3 3 2" xfId="3077" xr:uid="{00000000-0005-0000-0000-0000050C0000}"/>
    <cellStyle name="RISKtlCorner 3 3 2 2" xfId="6360" xr:uid="{00000000-0005-0000-0000-0000D8180000}"/>
    <cellStyle name="RISKtlCorner 3 3 3" xfId="6361" xr:uid="{00000000-0005-0000-0000-0000D9180000}"/>
    <cellStyle name="RISKtlCorner 3 4" xfId="3078" xr:uid="{00000000-0005-0000-0000-0000060C0000}"/>
    <cellStyle name="RISKtlCorner 3 4 2" xfId="3079" xr:uid="{00000000-0005-0000-0000-0000070C0000}"/>
    <cellStyle name="RISKtlCorner 3 4 2 2" xfId="6362" xr:uid="{00000000-0005-0000-0000-0000DA180000}"/>
    <cellStyle name="RISKtlCorner 3 4 3" xfId="6363" xr:uid="{00000000-0005-0000-0000-0000DB180000}"/>
    <cellStyle name="RISKtlCorner 3 5" xfId="3080" xr:uid="{00000000-0005-0000-0000-0000080C0000}"/>
    <cellStyle name="RISKtlCorner 3 5 2" xfId="6364" xr:uid="{00000000-0005-0000-0000-0000DC180000}"/>
    <cellStyle name="RISKtlCorner 3 6" xfId="3081" xr:uid="{00000000-0005-0000-0000-0000090C0000}"/>
    <cellStyle name="RISKtlCorner 3 6 2" xfId="6365" xr:uid="{00000000-0005-0000-0000-0000DD180000}"/>
    <cellStyle name="RISKtlCorner 3 7" xfId="6366" xr:uid="{00000000-0005-0000-0000-0000DE180000}"/>
    <cellStyle name="RISKtlCorner 4" xfId="3082" xr:uid="{00000000-0005-0000-0000-00000A0C0000}"/>
    <cellStyle name="RISKtlCorner 4 2" xfId="3083" xr:uid="{00000000-0005-0000-0000-00000B0C0000}"/>
    <cellStyle name="RISKtlCorner 4 2 2" xfId="3084" xr:uid="{00000000-0005-0000-0000-00000C0C0000}"/>
    <cellStyle name="RISKtlCorner 4 2 2 2" xfId="6367" xr:uid="{00000000-0005-0000-0000-0000DF180000}"/>
    <cellStyle name="RISKtlCorner 4 2 3" xfId="6368" xr:uid="{00000000-0005-0000-0000-0000E0180000}"/>
    <cellStyle name="RISKtlCorner 4 3" xfId="3085" xr:uid="{00000000-0005-0000-0000-00000D0C0000}"/>
    <cellStyle name="RISKtlCorner 4 3 2" xfId="3086" xr:uid="{00000000-0005-0000-0000-00000E0C0000}"/>
    <cellStyle name="RISKtlCorner 4 3 2 2" xfId="6369" xr:uid="{00000000-0005-0000-0000-0000E1180000}"/>
    <cellStyle name="RISKtlCorner 4 3 3" xfId="6370" xr:uid="{00000000-0005-0000-0000-0000E2180000}"/>
    <cellStyle name="RISKtlCorner 4 4" xfId="3087" xr:uid="{00000000-0005-0000-0000-00000F0C0000}"/>
    <cellStyle name="RISKtlCorner 4 4 2" xfId="3088" xr:uid="{00000000-0005-0000-0000-0000100C0000}"/>
    <cellStyle name="RISKtlCorner 4 4 2 2" xfId="6371" xr:uid="{00000000-0005-0000-0000-0000E3180000}"/>
    <cellStyle name="RISKtlCorner 4 4 3" xfId="6372" xr:uid="{00000000-0005-0000-0000-0000E4180000}"/>
    <cellStyle name="RISKtlCorner 4 5" xfId="3089" xr:uid="{00000000-0005-0000-0000-0000110C0000}"/>
    <cellStyle name="RISKtlCorner 4 5 2" xfId="6373" xr:uid="{00000000-0005-0000-0000-0000E5180000}"/>
    <cellStyle name="RISKtlCorner 4 6" xfId="3090" xr:uid="{00000000-0005-0000-0000-0000120C0000}"/>
    <cellStyle name="RISKtlCorner 4 6 2" xfId="6374" xr:uid="{00000000-0005-0000-0000-0000E6180000}"/>
    <cellStyle name="RISKtlCorner 4 7" xfId="6375" xr:uid="{00000000-0005-0000-0000-0000E7180000}"/>
    <cellStyle name="RISKtlCorner 5" xfId="3091" xr:uid="{00000000-0005-0000-0000-0000130C0000}"/>
    <cellStyle name="RISKtlCorner 5 2" xfId="6376" xr:uid="{00000000-0005-0000-0000-0000E8180000}"/>
    <cellStyle name="RISKtlCorner 6" xfId="3092" xr:uid="{00000000-0005-0000-0000-0000140C0000}"/>
    <cellStyle name="RISKtlCorner 6 2" xfId="6377" xr:uid="{00000000-0005-0000-0000-0000E9180000}"/>
    <cellStyle name="RISKtlCorner 7" xfId="3093" xr:uid="{00000000-0005-0000-0000-0000150C0000}"/>
    <cellStyle name="RISKtlCorner 7 2" xfId="6378" xr:uid="{00000000-0005-0000-0000-0000EA180000}"/>
    <cellStyle name="RISKtlCorner 8" xfId="6379" xr:uid="{00000000-0005-0000-0000-0000EB180000}"/>
    <cellStyle name="RISKtlCorner_PyG" xfId="3094" xr:uid="{00000000-0005-0000-0000-0000160C0000}"/>
    <cellStyle name="RISKtopEdge" xfId="3095" xr:uid="{00000000-0005-0000-0000-0000170C0000}"/>
    <cellStyle name="RISKtopEdge 2" xfId="3096" xr:uid="{00000000-0005-0000-0000-0000180C0000}"/>
    <cellStyle name="RISKtopEdge 2 2" xfId="3097" xr:uid="{00000000-0005-0000-0000-0000190C0000}"/>
    <cellStyle name="RISKtopEdge 2 2 2" xfId="3098" xr:uid="{00000000-0005-0000-0000-00001A0C0000}"/>
    <cellStyle name="RISKtopEdge 2 2 2 2" xfId="6380" xr:uid="{00000000-0005-0000-0000-0000EC180000}"/>
    <cellStyle name="RISKtopEdge 2 2 3" xfId="6381" xr:uid="{00000000-0005-0000-0000-0000ED180000}"/>
    <cellStyle name="RISKtopEdge 2 3" xfId="3099" xr:uid="{00000000-0005-0000-0000-00001B0C0000}"/>
    <cellStyle name="RISKtopEdge 2 3 2" xfId="3100" xr:uid="{00000000-0005-0000-0000-00001C0C0000}"/>
    <cellStyle name="RISKtopEdge 2 3 2 2" xfId="6382" xr:uid="{00000000-0005-0000-0000-0000EE180000}"/>
    <cellStyle name="RISKtopEdge 2 3 3" xfId="6383" xr:uid="{00000000-0005-0000-0000-0000EF180000}"/>
    <cellStyle name="RISKtopEdge 2 4" xfId="3101" xr:uid="{00000000-0005-0000-0000-00001D0C0000}"/>
    <cellStyle name="RISKtopEdge 2 4 2" xfId="3102" xr:uid="{00000000-0005-0000-0000-00001E0C0000}"/>
    <cellStyle name="RISKtopEdge 2 4 2 2" xfId="6384" xr:uid="{00000000-0005-0000-0000-0000F0180000}"/>
    <cellStyle name="RISKtopEdge 2 4 3" xfId="6385" xr:uid="{00000000-0005-0000-0000-0000F1180000}"/>
    <cellStyle name="RISKtopEdge 2 5" xfId="3103" xr:uid="{00000000-0005-0000-0000-00001F0C0000}"/>
    <cellStyle name="RISKtopEdge 2 5 2" xfId="6386" xr:uid="{00000000-0005-0000-0000-0000F2180000}"/>
    <cellStyle name="RISKtopEdge 2 6" xfId="3104" xr:uid="{00000000-0005-0000-0000-0000200C0000}"/>
    <cellStyle name="RISKtopEdge 2 6 2" xfId="6387" xr:uid="{00000000-0005-0000-0000-0000F3180000}"/>
    <cellStyle name="RISKtopEdge 2 7" xfId="6388" xr:uid="{00000000-0005-0000-0000-0000F4180000}"/>
    <cellStyle name="RISKtopEdge 3" xfId="3105" xr:uid="{00000000-0005-0000-0000-0000210C0000}"/>
    <cellStyle name="RISKtopEdge 3 2" xfId="3106" xr:uid="{00000000-0005-0000-0000-0000220C0000}"/>
    <cellStyle name="RISKtopEdge 3 2 2" xfId="3107" xr:uid="{00000000-0005-0000-0000-0000230C0000}"/>
    <cellStyle name="RISKtopEdge 3 2 2 2" xfId="6389" xr:uid="{00000000-0005-0000-0000-0000F5180000}"/>
    <cellStyle name="RISKtopEdge 3 2 3" xfId="6390" xr:uid="{00000000-0005-0000-0000-0000F6180000}"/>
    <cellStyle name="RISKtopEdge 3 3" xfId="3108" xr:uid="{00000000-0005-0000-0000-0000240C0000}"/>
    <cellStyle name="RISKtopEdge 3 3 2" xfId="3109" xr:uid="{00000000-0005-0000-0000-0000250C0000}"/>
    <cellStyle name="RISKtopEdge 3 3 2 2" xfId="6391" xr:uid="{00000000-0005-0000-0000-0000F7180000}"/>
    <cellStyle name="RISKtopEdge 3 3 3" xfId="6392" xr:uid="{00000000-0005-0000-0000-0000F8180000}"/>
    <cellStyle name="RISKtopEdge 3 4" xfId="3110" xr:uid="{00000000-0005-0000-0000-0000260C0000}"/>
    <cellStyle name="RISKtopEdge 3 4 2" xfId="3111" xr:uid="{00000000-0005-0000-0000-0000270C0000}"/>
    <cellStyle name="RISKtopEdge 3 4 2 2" xfId="6393" xr:uid="{00000000-0005-0000-0000-0000F9180000}"/>
    <cellStyle name="RISKtopEdge 3 4 3" xfId="6394" xr:uid="{00000000-0005-0000-0000-0000FA180000}"/>
    <cellStyle name="RISKtopEdge 3 5" xfId="3112" xr:uid="{00000000-0005-0000-0000-0000280C0000}"/>
    <cellStyle name="RISKtopEdge 3 5 2" xfId="6395" xr:uid="{00000000-0005-0000-0000-0000FB180000}"/>
    <cellStyle name="RISKtopEdge 3 6" xfId="3113" xr:uid="{00000000-0005-0000-0000-0000290C0000}"/>
    <cellStyle name="RISKtopEdge 3 6 2" xfId="6396" xr:uid="{00000000-0005-0000-0000-0000FC180000}"/>
    <cellStyle name="RISKtopEdge 3 7" xfId="6397" xr:uid="{00000000-0005-0000-0000-0000FD180000}"/>
    <cellStyle name="RISKtopEdge 4" xfId="3114" xr:uid="{00000000-0005-0000-0000-00002A0C0000}"/>
    <cellStyle name="RISKtopEdge 4 2" xfId="3115" xr:uid="{00000000-0005-0000-0000-00002B0C0000}"/>
    <cellStyle name="RISKtopEdge 4 2 2" xfId="3116" xr:uid="{00000000-0005-0000-0000-00002C0C0000}"/>
    <cellStyle name="RISKtopEdge 4 2 2 2" xfId="6398" xr:uid="{00000000-0005-0000-0000-0000FE180000}"/>
    <cellStyle name="RISKtopEdge 4 2 3" xfId="6399" xr:uid="{00000000-0005-0000-0000-0000FF180000}"/>
    <cellStyle name="RISKtopEdge 4 3" xfId="3117" xr:uid="{00000000-0005-0000-0000-00002D0C0000}"/>
    <cellStyle name="RISKtopEdge 4 3 2" xfId="3118" xr:uid="{00000000-0005-0000-0000-00002E0C0000}"/>
    <cellStyle name="RISKtopEdge 4 3 2 2" xfId="6400" xr:uid="{00000000-0005-0000-0000-000000190000}"/>
    <cellStyle name="RISKtopEdge 4 3 3" xfId="6401" xr:uid="{00000000-0005-0000-0000-000001190000}"/>
    <cellStyle name="RISKtopEdge 4 4" xfId="3119" xr:uid="{00000000-0005-0000-0000-00002F0C0000}"/>
    <cellStyle name="RISKtopEdge 4 4 2" xfId="3120" xr:uid="{00000000-0005-0000-0000-0000300C0000}"/>
    <cellStyle name="RISKtopEdge 4 4 2 2" xfId="6402" xr:uid="{00000000-0005-0000-0000-000002190000}"/>
    <cellStyle name="RISKtopEdge 4 4 3" xfId="6403" xr:uid="{00000000-0005-0000-0000-000003190000}"/>
    <cellStyle name="RISKtopEdge 4 5" xfId="3121" xr:uid="{00000000-0005-0000-0000-0000310C0000}"/>
    <cellStyle name="RISKtopEdge 4 5 2" xfId="6404" xr:uid="{00000000-0005-0000-0000-000004190000}"/>
    <cellStyle name="RISKtopEdge 4 6" xfId="3122" xr:uid="{00000000-0005-0000-0000-0000320C0000}"/>
    <cellStyle name="RISKtopEdge 4 6 2" xfId="6405" xr:uid="{00000000-0005-0000-0000-000005190000}"/>
    <cellStyle name="RISKtopEdge 4 7" xfId="6406" xr:uid="{00000000-0005-0000-0000-000006190000}"/>
    <cellStyle name="RISKtopEdge 5" xfId="3123" xr:uid="{00000000-0005-0000-0000-0000330C0000}"/>
    <cellStyle name="RISKtopEdge 5 2" xfId="6407" xr:uid="{00000000-0005-0000-0000-000007190000}"/>
    <cellStyle name="RISKtopEdge 6" xfId="3124" xr:uid="{00000000-0005-0000-0000-0000340C0000}"/>
    <cellStyle name="RISKtopEdge 6 2" xfId="6408" xr:uid="{00000000-0005-0000-0000-000008190000}"/>
    <cellStyle name="RISKtopEdge 7" xfId="3125" xr:uid="{00000000-0005-0000-0000-0000350C0000}"/>
    <cellStyle name="RISKtopEdge 7 2" xfId="6409" xr:uid="{00000000-0005-0000-0000-000009190000}"/>
    <cellStyle name="RISKtopEdge 8" xfId="6410" xr:uid="{00000000-0005-0000-0000-00000A190000}"/>
    <cellStyle name="RISKtopEdge_PyG" xfId="3126" xr:uid="{00000000-0005-0000-0000-0000360C0000}"/>
    <cellStyle name="RISKtrCorner" xfId="3127" xr:uid="{00000000-0005-0000-0000-0000370C0000}"/>
    <cellStyle name="RISKtrCorner 2" xfId="3128" xr:uid="{00000000-0005-0000-0000-0000380C0000}"/>
    <cellStyle name="RISKtrCorner 2 2" xfId="3129" xr:uid="{00000000-0005-0000-0000-0000390C0000}"/>
    <cellStyle name="RISKtrCorner 2 2 2" xfId="3130" xr:uid="{00000000-0005-0000-0000-00003A0C0000}"/>
    <cellStyle name="RISKtrCorner 2 2 2 2" xfId="6411" xr:uid="{00000000-0005-0000-0000-00000B190000}"/>
    <cellStyle name="RISKtrCorner 2 2 3" xfId="6412" xr:uid="{00000000-0005-0000-0000-00000C190000}"/>
    <cellStyle name="RISKtrCorner 2 3" xfId="3131" xr:uid="{00000000-0005-0000-0000-00003B0C0000}"/>
    <cellStyle name="RISKtrCorner 2 3 2" xfId="3132" xr:uid="{00000000-0005-0000-0000-00003C0C0000}"/>
    <cellStyle name="RISKtrCorner 2 3 2 2" xfId="6413" xr:uid="{00000000-0005-0000-0000-00000D190000}"/>
    <cellStyle name="RISKtrCorner 2 3 3" xfId="6414" xr:uid="{00000000-0005-0000-0000-00000E190000}"/>
    <cellStyle name="RISKtrCorner 2 4" xfId="3133" xr:uid="{00000000-0005-0000-0000-00003D0C0000}"/>
    <cellStyle name="RISKtrCorner 2 4 2" xfId="3134" xr:uid="{00000000-0005-0000-0000-00003E0C0000}"/>
    <cellStyle name="RISKtrCorner 2 4 2 2" xfId="6415" xr:uid="{00000000-0005-0000-0000-00000F190000}"/>
    <cellStyle name="RISKtrCorner 2 4 3" xfId="6416" xr:uid="{00000000-0005-0000-0000-000010190000}"/>
    <cellStyle name="RISKtrCorner 2 5" xfId="3135" xr:uid="{00000000-0005-0000-0000-00003F0C0000}"/>
    <cellStyle name="RISKtrCorner 2 5 2" xfId="6417" xr:uid="{00000000-0005-0000-0000-000011190000}"/>
    <cellStyle name="RISKtrCorner 2 6" xfId="3136" xr:uid="{00000000-0005-0000-0000-0000400C0000}"/>
    <cellStyle name="RISKtrCorner 2 6 2" xfId="6418" xr:uid="{00000000-0005-0000-0000-000012190000}"/>
    <cellStyle name="RISKtrCorner 2 7" xfId="6419" xr:uid="{00000000-0005-0000-0000-000013190000}"/>
    <cellStyle name="RISKtrCorner 3" xfId="3137" xr:uid="{00000000-0005-0000-0000-0000410C0000}"/>
    <cellStyle name="RISKtrCorner 3 2" xfId="3138" xr:uid="{00000000-0005-0000-0000-0000420C0000}"/>
    <cellStyle name="RISKtrCorner 3 2 2" xfId="3139" xr:uid="{00000000-0005-0000-0000-0000430C0000}"/>
    <cellStyle name="RISKtrCorner 3 2 2 2" xfId="6420" xr:uid="{00000000-0005-0000-0000-000014190000}"/>
    <cellStyle name="RISKtrCorner 3 2 3" xfId="6421" xr:uid="{00000000-0005-0000-0000-000015190000}"/>
    <cellStyle name="RISKtrCorner 3 3" xfId="3140" xr:uid="{00000000-0005-0000-0000-0000440C0000}"/>
    <cellStyle name="RISKtrCorner 3 3 2" xfId="3141" xr:uid="{00000000-0005-0000-0000-0000450C0000}"/>
    <cellStyle name="RISKtrCorner 3 3 2 2" xfId="6422" xr:uid="{00000000-0005-0000-0000-000016190000}"/>
    <cellStyle name="RISKtrCorner 3 3 3" xfId="6423" xr:uid="{00000000-0005-0000-0000-000017190000}"/>
    <cellStyle name="RISKtrCorner 3 4" xfId="3142" xr:uid="{00000000-0005-0000-0000-0000460C0000}"/>
    <cellStyle name="RISKtrCorner 3 4 2" xfId="3143" xr:uid="{00000000-0005-0000-0000-0000470C0000}"/>
    <cellStyle name="RISKtrCorner 3 4 2 2" xfId="6424" xr:uid="{00000000-0005-0000-0000-000018190000}"/>
    <cellStyle name="RISKtrCorner 3 4 3" xfId="6425" xr:uid="{00000000-0005-0000-0000-000019190000}"/>
    <cellStyle name="RISKtrCorner 3 5" xfId="3144" xr:uid="{00000000-0005-0000-0000-0000480C0000}"/>
    <cellStyle name="RISKtrCorner 3 5 2" xfId="6426" xr:uid="{00000000-0005-0000-0000-00001A190000}"/>
    <cellStyle name="RISKtrCorner 3 6" xfId="3145" xr:uid="{00000000-0005-0000-0000-0000490C0000}"/>
    <cellStyle name="RISKtrCorner 3 6 2" xfId="6427" xr:uid="{00000000-0005-0000-0000-00001B190000}"/>
    <cellStyle name="RISKtrCorner 3 7" xfId="6428" xr:uid="{00000000-0005-0000-0000-00001C190000}"/>
    <cellStyle name="RISKtrCorner 4" xfId="3146" xr:uid="{00000000-0005-0000-0000-00004A0C0000}"/>
    <cellStyle name="RISKtrCorner 4 2" xfId="3147" xr:uid="{00000000-0005-0000-0000-00004B0C0000}"/>
    <cellStyle name="RISKtrCorner 4 2 2" xfId="3148" xr:uid="{00000000-0005-0000-0000-00004C0C0000}"/>
    <cellStyle name="RISKtrCorner 4 2 2 2" xfId="6429" xr:uid="{00000000-0005-0000-0000-00001D190000}"/>
    <cellStyle name="RISKtrCorner 4 2 3" xfId="6430" xr:uid="{00000000-0005-0000-0000-00001E190000}"/>
    <cellStyle name="RISKtrCorner 4 3" xfId="3149" xr:uid="{00000000-0005-0000-0000-00004D0C0000}"/>
    <cellStyle name="RISKtrCorner 4 3 2" xfId="3150" xr:uid="{00000000-0005-0000-0000-00004E0C0000}"/>
    <cellStyle name="RISKtrCorner 4 3 2 2" xfId="6431" xr:uid="{00000000-0005-0000-0000-00001F190000}"/>
    <cellStyle name="RISKtrCorner 4 3 3" xfId="6432" xr:uid="{00000000-0005-0000-0000-000020190000}"/>
    <cellStyle name="RISKtrCorner 4 4" xfId="3151" xr:uid="{00000000-0005-0000-0000-00004F0C0000}"/>
    <cellStyle name="RISKtrCorner 4 4 2" xfId="3152" xr:uid="{00000000-0005-0000-0000-0000500C0000}"/>
    <cellStyle name="RISKtrCorner 4 4 2 2" xfId="6433" xr:uid="{00000000-0005-0000-0000-000021190000}"/>
    <cellStyle name="RISKtrCorner 4 4 3" xfId="6434" xr:uid="{00000000-0005-0000-0000-000022190000}"/>
    <cellStyle name="RISKtrCorner 4 5" xfId="3153" xr:uid="{00000000-0005-0000-0000-0000510C0000}"/>
    <cellStyle name="RISKtrCorner 4 5 2" xfId="6435" xr:uid="{00000000-0005-0000-0000-000023190000}"/>
    <cellStyle name="RISKtrCorner 4 6" xfId="3154" xr:uid="{00000000-0005-0000-0000-0000520C0000}"/>
    <cellStyle name="RISKtrCorner 4 6 2" xfId="6436" xr:uid="{00000000-0005-0000-0000-000024190000}"/>
    <cellStyle name="RISKtrCorner 4 7" xfId="6437" xr:uid="{00000000-0005-0000-0000-000025190000}"/>
    <cellStyle name="RISKtrCorner 5" xfId="3155" xr:uid="{00000000-0005-0000-0000-0000530C0000}"/>
    <cellStyle name="RISKtrCorner 5 2" xfId="6438" xr:uid="{00000000-0005-0000-0000-000026190000}"/>
    <cellStyle name="RISKtrCorner 6" xfId="3156" xr:uid="{00000000-0005-0000-0000-0000540C0000}"/>
    <cellStyle name="RISKtrCorner 6 2" xfId="6439" xr:uid="{00000000-0005-0000-0000-000027190000}"/>
    <cellStyle name="RISKtrCorner 7" xfId="3157" xr:uid="{00000000-0005-0000-0000-0000550C0000}"/>
    <cellStyle name="RISKtrCorner 7 2" xfId="6440" xr:uid="{00000000-0005-0000-0000-000028190000}"/>
    <cellStyle name="RISKtrCorner 8" xfId="6441" xr:uid="{00000000-0005-0000-0000-000029190000}"/>
    <cellStyle name="RISKtrCorner_PyG" xfId="3158" xr:uid="{00000000-0005-0000-0000-0000560C0000}"/>
    <cellStyle name="Saída" xfId="3159" xr:uid="{00000000-0005-0000-0000-0000570C0000}"/>
    <cellStyle name="Saída 2" xfId="8709" xr:uid="{9087F83F-8742-44B7-BA76-4EFF00A6F925}"/>
    <cellStyle name="Salida 10" xfId="6442" xr:uid="{00000000-0005-0000-0000-00002A190000}"/>
    <cellStyle name="Salida 10 2" xfId="10481" xr:uid="{22E3972F-E0EF-4F3E-8EB4-BA31C3B41790}"/>
    <cellStyle name="Salida 11" xfId="6443" xr:uid="{00000000-0005-0000-0000-00002B190000}"/>
    <cellStyle name="Salida 11 2" xfId="6444" xr:uid="{00000000-0005-0000-0000-00002C190000}"/>
    <cellStyle name="Salida 11 2 2" xfId="10483" xr:uid="{682AB05C-22ED-493C-8BE6-60093F6F9088}"/>
    <cellStyle name="Salida 11 3" xfId="10482" xr:uid="{961C1D7C-A470-4026-BF7A-23422C53BFFB}"/>
    <cellStyle name="Salida 12" xfId="6445" xr:uid="{00000000-0005-0000-0000-00002D190000}"/>
    <cellStyle name="Salida 12 2" xfId="6446" xr:uid="{00000000-0005-0000-0000-00002E190000}"/>
    <cellStyle name="Salida 12 2 2" xfId="10485" xr:uid="{481B7B24-EA5E-43D3-A25A-FD2E25FD038B}"/>
    <cellStyle name="Salida 12 3" xfId="10484" xr:uid="{385F522D-E8A3-4DE6-90F2-F0F0340CAA82}"/>
    <cellStyle name="Salida 13" xfId="6447" xr:uid="{00000000-0005-0000-0000-00002F190000}"/>
    <cellStyle name="Salida 13 2" xfId="6448" xr:uid="{00000000-0005-0000-0000-000030190000}"/>
    <cellStyle name="Salida 13 2 2" xfId="10487" xr:uid="{E7748FD8-34C6-472C-8CB1-95D8DE28ACB5}"/>
    <cellStyle name="Salida 13 3" xfId="10486" xr:uid="{0E2E7A7F-94FB-43B4-92CA-EDEFA75ABFC7}"/>
    <cellStyle name="Salida 14" xfId="6449" xr:uid="{00000000-0005-0000-0000-000031190000}"/>
    <cellStyle name="Salida 14 2" xfId="6450" xr:uid="{00000000-0005-0000-0000-000032190000}"/>
    <cellStyle name="Salida 14 2 2" xfId="10489" xr:uid="{57B72F8A-75F2-4359-A558-311875232ADD}"/>
    <cellStyle name="Salida 14 3" xfId="10488" xr:uid="{F35817CF-B2F7-431F-AAB4-502E04C22BBB}"/>
    <cellStyle name="Salida 15" xfId="6451" xr:uid="{00000000-0005-0000-0000-000033190000}"/>
    <cellStyle name="Salida 15 2" xfId="6452" xr:uid="{00000000-0005-0000-0000-000034190000}"/>
    <cellStyle name="Salida 15 2 2" xfId="10491" xr:uid="{6845B7F4-A320-484C-B29B-DDA01CC8BFC2}"/>
    <cellStyle name="Salida 15 3" xfId="10490" xr:uid="{521CB4C5-ECB4-43AD-865E-2A5EB11A7122}"/>
    <cellStyle name="Salida 16" xfId="6453" xr:uid="{00000000-0005-0000-0000-000035190000}"/>
    <cellStyle name="Salida 16 2" xfId="10492" xr:uid="{DC6F6C3B-FA6E-4C69-8B90-E6D37A84D4C6}"/>
    <cellStyle name="Salida 2" xfId="3160" xr:uid="{00000000-0005-0000-0000-0000580C0000}"/>
    <cellStyle name="Salida 2 2" xfId="3161" xr:uid="{00000000-0005-0000-0000-0000590C0000}"/>
    <cellStyle name="Salida 2 2 2" xfId="6454" xr:uid="{00000000-0005-0000-0000-000036190000}"/>
    <cellStyle name="Salida 2 2 2 2" xfId="10493" xr:uid="{D85541A7-41C9-4768-8C49-6EC3C8F2F49C}"/>
    <cellStyle name="Salida 2 2 3" xfId="6455" xr:uid="{00000000-0005-0000-0000-000037190000}"/>
    <cellStyle name="Salida 2 2 3 2" xfId="10494" xr:uid="{BAC5180B-2BF9-4734-BAD8-B0D7F5712FC1}"/>
    <cellStyle name="Salida 2 2 4" xfId="6456" xr:uid="{00000000-0005-0000-0000-000038190000}"/>
    <cellStyle name="Salida 2 2 4 2" xfId="6457" xr:uid="{00000000-0005-0000-0000-000039190000}"/>
    <cellStyle name="Salida 2 2 4 2 2" xfId="10496" xr:uid="{243CAA89-3685-455C-AD60-D35B989ED3BA}"/>
    <cellStyle name="Salida 2 2 4 3" xfId="10495" xr:uid="{9C144D21-AFBB-4858-AD45-7BCB8B889CF4}"/>
    <cellStyle name="Salida 2 2 5" xfId="8711" xr:uid="{49699DEA-BDEB-40BF-B165-5C8F6E1088E9}"/>
    <cellStyle name="Salida 2 3" xfId="6458" xr:uid="{00000000-0005-0000-0000-00003A190000}"/>
    <cellStyle name="Salida 2 3 2" xfId="10497" xr:uid="{44CCA082-F223-4845-B355-8DEC4A579A78}"/>
    <cellStyle name="Salida 2 4" xfId="6459" xr:uid="{00000000-0005-0000-0000-00003B190000}"/>
    <cellStyle name="Salida 2 4 2" xfId="6460" xr:uid="{00000000-0005-0000-0000-00003C190000}"/>
    <cellStyle name="Salida 2 4 2 2" xfId="10499" xr:uid="{1FF7022D-8716-4251-AF8D-611C19A5C0DA}"/>
    <cellStyle name="Salida 2 4 3" xfId="10498" xr:uid="{280CBA18-93DB-463C-8E8D-1D3DBDE99458}"/>
    <cellStyle name="Salida 2 5" xfId="6461" xr:uid="{00000000-0005-0000-0000-00003D190000}"/>
    <cellStyle name="Salida 2 5 2" xfId="10500" xr:uid="{3979E2F4-2883-4440-B882-11A00A2EB410}"/>
    <cellStyle name="Salida 2 6" xfId="8710" xr:uid="{B64F6ECD-6226-4411-9E2A-C45B102F3378}"/>
    <cellStyle name="Salida 2_GRUPO4Q-2009 COMPLETO" xfId="3644" xr:uid="{00000000-0005-0000-0000-00003C0E0000}"/>
    <cellStyle name="Salida 3" xfId="3645" xr:uid="{00000000-0005-0000-0000-00003D0E0000}"/>
    <cellStyle name="Salida 3 2" xfId="6462" xr:uid="{00000000-0005-0000-0000-00003E190000}"/>
    <cellStyle name="Salida 3 2 2" xfId="10501" xr:uid="{FF6A2D8F-6C81-4B00-BC9E-2ECDEC734A80}"/>
    <cellStyle name="Salida 3 3" xfId="6463" xr:uid="{00000000-0005-0000-0000-00003F190000}"/>
    <cellStyle name="Salida 3 3 2" xfId="10502" xr:uid="{CFEB0939-FD8B-4A9A-9FD1-BD3F450ED12C}"/>
    <cellStyle name="Salida 3 4" xfId="8913" xr:uid="{A28BE069-A000-494B-A041-08B259E3E862}"/>
    <cellStyle name="Salida 4" xfId="6464" xr:uid="{00000000-0005-0000-0000-000040190000}"/>
    <cellStyle name="Salida 4 2" xfId="6465" xr:uid="{00000000-0005-0000-0000-000041190000}"/>
    <cellStyle name="Salida 4 2 2" xfId="10504" xr:uid="{8E712320-EEB1-4080-A7DA-E18FBCA73A1B}"/>
    <cellStyle name="Salida 4 3" xfId="6466" xr:uid="{00000000-0005-0000-0000-000042190000}"/>
    <cellStyle name="Salida 4 3 2" xfId="10505" xr:uid="{A09354D7-D6DE-4CED-BAF1-677F6C6CE9F1}"/>
    <cellStyle name="Salida 4 4" xfId="10503" xr:uid="{E13BA058-0FF5-4A85-A384-E8D9876A620D}"/>
    <cellStyle name="Salida 5" xfId="6467" xr:uid="{00000000-0005-0000-0000-000043190000}"/>
    <cellStyle name="Salida 5 2" xfId="10506" xr:uid="{7CF60327-C187-462E-9002-785BCFC46D13}"/>
    <cellStyle name="Salida 6" xfId="6468" xr:uid="{00000000-0005-0000-0000-000044190000}"/>
    <cellStyle name="Salida 6 2" xfId="10507" xr:uid="{2690EA60-7AAA-4430-88C2-711652DAFF5A}"/>
    <cellStyle name="Salida 7" xfId="6469" xr:uid="{00000000-0005-0000-0000-000045190000}"/>
    <cellStyle name="Salida 7 2" xfId="10508" xr:uid="{C1B48A36-CC4E-4215-ADBB-A0A12826AB57}"/>
    <cellStyle name="Salida 8" xfId="6470" xr:uid="{00000000-0005-0000-0000-000046190000}"/>
    <cellStyle name="Salida 8 2" xfId="10509" xr:uid="{412A4F69-E060-4558-B3FE-5A0494834B40}"/>
    <cellStyle name="Salida 9" xfId="6471" xr:uid="{00000000-0005-0000-0000-000047190000}"/>
    <cellStyle name="Salida 9 2" xfId="10510" xr:uid="{2A8EBE16-19B3-414D-8859-BDE9714887E3}"/>
    <cellStyle name="SAPBorder" xfId="50" xr:uid="{00000000-0005-0000-0000-000032000000}"/>
    <cellStyle name="SAPBorder 2" xfId="76" xr:uid="{00000000-0005-0000-0000-00004C000000}"/>
    <cellStyle name="SAPBorder 3" xfId="7905" xr:uid="{18067BF9-04A1-4D5E-9E52-811B84A8290D}"/>
    <cellStyle name="SAPDataCell" xfId="33" xr:uid="{00000000-0005-0000-0000-000021000000}"/>
    <cellStyle name="SAPDataCell 2" xfId="74" xr:uid="{00000000-0005-0000-0000-00004A000000}"/>
    <cellStyle name="SAPDataCell 2 2" xfId="7923" xr:uid="{D61EB15F-9F11-4539-BE1B-6287BCFCC4AF}"/>
    <cellStyle name="SAPDataCell 3" xfId="7888" xr:uid="{19E42639-11C7-45F7-A3AE-3728DDD320F4}"/>
    <cellStyle name="SAPDataTotalCell" xfId="34" xr:uid="{00000000-0005-0000-0000-000022000000}"/>
    <cellStyle name="SAPDataTotalCell 2" xfId="75" xr:uid="{00000000-0005-0000-0000-00004B000000}"/>
    <cellStyle name="SAPDataTotalCell 2 2" xfId="7924" xr:uid="{3D96ED80-2FF7-45BD-9034-A49A10C342C3}"/>
    <cellStyle name="SAPDataTotalCell 3" xfId="7889" xr:uid="{61B5B380-0CBB-4BB6-AB4D-72F4759C5104}"/>
    <cellStyle name="SAPDimensionCell" xfId="32" xr:uid="{00000000-0005-0000-0000-000020000000}"/>
    <cellStyle name="SAPDimensionCell 2" xfId="73" xr:uid="{00000000-0005-0000-0000-000049000000}"/>
    <cellStyle name="SAPDimensionCell 2 2" xfId="7922" xr:uid="{9219D72D-4A17-4983-9EB9-A1D6D01D7474}"/>
    <cellStyle name="SAPDimensionCell 3" xfId="7887" xr:uid="{99C535B2-3CD2-4030-A215-623D166C9B24}"/>
    <cellStyle name="SAPEditableDataCell" xfId="35" xr:uid="{00000000-0005-0000-0000-000023000000}"/>
    <cellStyle name="SAPEditableDataCell 2" xfId="7890" xr:uid="{91CC5A61-05DB-419F-9CA2-3E81DA3572E6}"/>
    <cellStyle name="SAPEditableDataTotalCell" xfId="38" xr:uid="{00000000-0005-0000-0000-000026000000}"/>
    <cellStyle name="SAPEditableDataTotalCell 2" xfId="7893" xr:uid="{87052E3C-B560-4CF2-8993-967055AE7E35}"/>
    <cellStyle name="SAPEmphasized" xfId="58" xr:uid="{00000000-0005-0000-0000-00003A000000}"/>
    <cellStyle name="SAPEmphasizedEditableDataCell" xfId="60" xr:uid="{00000000-0005-0000-0000-00003C000000}"/>
    <cellStyle name="SAPEmphasizedEditableDataCell 2" xfId="7913" xr:uid="{F108313E-13CE-4461-AB0B-545BC7CEFE7A}"/>
    <cellStyle name="SAPEmphasizedEditableDataTotalCell" xfId="61" xr:uid="{00000000-0005-0000-0000-00003D000000}"/>
    <cellStyle name="SAPEmphasizedEditableDataTotalCell 2" xfId="7914" xr:uid="{3AD66B97-5F48-4A68-838A-72F24AEA13C3}"/>
    <cellStyle name="SAPEmphasizedLockedDataCell" xfId="64" xr:uid="{00000000-0005-0000-0000-000040000000}"/>
    <cellStyle name="SAPEmphasizedLockedDataCell 2" xfId="7917" xr:uid="{1000F5FB-0FB8-45E7-AFA3-8248127ABF0D}"/>
    <cellStyle name="SAPEmphasizedLockedDataTotalCell" xfId="65" xr:uid="{00000000-0005-0000-0000-000041000000}"/>
    <cellStyle name="SAPEmphasizedLockedDataTotalCell 2" xfId="7918" xr:uid="{71F77555-F213-4AF4-A257-1038449B5A65}"/>
    <cellStyle name="SAPEmphasizedReadonlyDataCell" xfId="62" xr:uid="{00000000-0005-0000-0000-00003E000000}"/>
    <cellStyle name="SAPEmphasizedReadonlyDataCell 2" xfId="7915" xr:uid="{555BB336-9FBA-4D78-A477-A8BE2137FE1C}"/>
    <cellStyle name="SAPEmphasizedReadonlyDataTotalCell" xfId="63" xr:uid="{00000000-0005-0000-0000-00003F000000}"/>
    <cellStyle name="SAPEmphasizedReadonlyDataTotalCell 2" xfId="7916" xr:uid="{BD0DF140-1243-44F2-97C7-BF432359FA9F}"/>
    <cellStyle name="SAPEmphasizedTotal" xfId="59" xr:uid="{00000000-0005-0000-0000-00003B000000}"/>
    <cellStyle name="SAPExceptionLevel1" xfId="41" xr:uid="{00000000-0005-0000-0000-000029000000}"/>
    <cellStyle name="SAPExceptionLevel1 2" xfId="7896" xr:uid="{46A43844-5C15-4061-9E71-F970EFCD736A}"/>
    <cellStyle name="SAPExceptionLevel2" xfId="42" xr:uid="{00000000-0005-0000-0000-00002A000000}"/>
    <cellStyle name="SAPExceptionLevel2 2" xfId="7897" xr:uid="{A881E5F8-F6F4-4322-AD7F-E8FEF7DA96CD}"/>
    <cellStyle name="SAPExceptionLevel3" xfId="43" xr:uid="{00000000-0005-0000-0000-00002B000000}"/>
    <cellStyle name="SAPExceptionLevel3 2" xfId="7898" xr:uid="{E53446DE-7721-41BF-AAC7-E439F9629EDD}"/>
    <cellStyle name="SAPExceptionLevel4" xfId="44" xr:uid="{00000000-0005-0000-0000-00002C000000}"/>
    <cellStyle name="SAPExceptionLevel4 2" xfId="7899" xr:uid="{8F2BED96-5815-494A-B7EC-9DF9BA233EFB}"/>
    <cellStyle name="SAPExceptionLevel5" xfId="45" xr:uid="{00000000-0005-0000-0000-00002D000000}"/>
    <cellStyle name="SAPExceptionLevel5 2" xfId="7900" xr:uid="{4C91FBFF-2981-4694-B426-A53C2668AE94}"/>
    <cellStyle name="SAPExceptionLevel6" xfId="46" xr:uid="{00000000-0005-0000-0000-00002E000000}"/>
    <cellStyle name="SAPExceptionLevel6 2" xfId="7901" xr:uid="{038BC0D2-E328-498F-BB86-165C2664FB71}"/>
    <cellStyle name="SAPExceptionLevel7" xfId="47" xr:uid="{00000000-0005-0000-0000-00002F000000}"/>
    <cellStyle name="SAPExceptionLevel7 2" xfId="7902" xr:uid="{C644092B-4614-414D-9023-6236779E9388}"/>
    <cellStyle name="SAPExceptionLevel8" xfId="48" xr:uid="{00000000-0005-0000-0000-000030000000}"/>
    <cellStyle name="SAPExceptionLevel8 2" xfId="7903" xr:uid="{297ADF84-D691-4D22-8F76-ED106FB3EBC4}"/>
    <cellStyle name="SAPExceptionLevel9" xfId="49" xr:uid="{00000000-0005-0000-0000-000031000000}"/>
    <cellStyle name="SAPExceptionLevel9 2" xfId="7904" xr:uid="{B8A9F383-2337-4F47-85A5-0D6EF4255620}"/>
    <cellStyle name="SAPFormula" xfId="67" xr:uid="{00000000-0005-0000-0000-000043000000}"/>
    <cellStyle name="SAPFormula 2" xfId="7920" xr:uid="{A2712DE0-428E-492A-9A8F-B2FB99BB9188}"/>
    <cellStyle name="SAPGroupingFillCell" xfId="83" xr:uid="{00000000-0005-0000-0000-000053000000}"/>
    <cellStyle name="SAPGroupingFillCell 2" xfId="7931" xr:uid="{AFDA4711-6F1A-455E-9C7F-5C4015E8CF4D}"/>
    <cellStyle name="SAPHierarchyCell0" xfId="53" xr:uid="{00000000-0005-0000-0000-000035000000}"/>
    <cellStyle name="SAPHierarchyCell0 2" xfId="79" xr:uid="{00000000-0005-0000-0000-00004F000000}"/>
    <cellStyle name="SAPHierarchyCell0 2 2" xfId="7927" xr:uid="{4E2C328A-D023-41C1-9739-BEDE11BB4F77}"/>
    <cellStyle name="SAPHierarchyCell0 3" xfId="7908" xr:uid="{ED4AF9C8-3E62-41F0-B31E-783FEC249C7F}"/>
    <cellStyle name="SAPHierarchyCell1" xfId="54" xr:uid="{00000000-0005-0000-0000-000036000000}"/>
    <cellStyle name="SAPHierarchyCell1 2" xfId="80" xr:uid="{00000000-0005-0000-0000-000050000000}"/>
    <cellStyle name="SAPHierarchyCell1 2 2" xfId="7928" xr:uid="{B36B2C37-8106-474D-817C-693C2C0B9225}"/>
    <cellStyle name="SAPHierarchyCell1 3" xfId="7909" xr:uid="{00785297-3746-4296-8131-B65B6DF1603E}"/>
    <cellStyle name="SAPHierarchyCell2" xfId="55" xr:uid="{00000000-0005-0000-0000-000037000000}"/>
    <cellStyle name="SAPHierarchyCell2 2" xfId="7910" xr:uid="{682F4371-73CA-4B21-A716-20F2FF22C44C}"/>
    <cellStyle name="SAPHierarchyCell3" xfId="56" xr:uid="{00000000-0005-0000-0000-000038000000}"/>
    <cellStyle name="SAPHierarchyCell3 2" xfId="7911" xr:uid="{8DE62D46-4465-43A3-B324-896DCE1F9907}"/>
    <cellStyle name="SAPHierarchyCell4" xfId="57" xr:uid="{00000000-0005-0000-0000-000039000000}"/>
    <cellStyle name="SAPHierarchyCell4 2" xfId="7912" xr:uid="{5BF8FE03-07CE-426D-A0DA-19824448803B}"/>
    <cellStyle name="SAPLockedDataCell" xfId="37" xr:uid="{00000000-0005-0000-0000-000025000000}"/>
    <cellStyle name="SAPLockedDataCell 2" xfId="7892" xr:uid="{6750EF3B-7D7A-4D02-A42E-CAF60A8FBE0F}"/>
    <cellStyle name="SAPLockedDataTotalCell" xfId="40" xr:uid="{00000000-0005-0000-0000-000028000000}"/>
    <cellStyle name="SAPLockedDataTotalCell 2" xfId="7895" xr:uid="{1B6C36F7-884F-4E4E-A64A-5E1A1EEA3E69}"/>
    <cellStyle name="SAPMemberCell" xfId="51" xr:uid="{00000000-0005-0000-0000-000033000000}"/>
    <cellStyle name="SAPMemberCell 2" xfId="77" xr:uid="{00000000-0005-0000-0000-00004D000000}"/>
    <cellStyle name="SAPMemberCell 2 2" xfId="7925" xr:uid="{8D799A3F-ED70-4B28-8297-C8D98C2518E1}"/>
    <cellStyle name="SAPMemberCell 3" xfId="7906" xr:uid="{B70311FB-8EAB-4793-B4AB-B50016B22187}"/>
    <cellStyle name="SAPMemberTotalCell" xfId="52" xr:uid="{00000000-0005-0000-0000-000034000000}"/>
    <cellStyle name="SAPMemberTotalCell 2" xfId="78" xr:uid="{00000000-0005-0000-0000-00004E000000}"/>
    <cellStyle name="SAPMemberTotalCell 2 2" xfId="7926" xr:uid="{55441CD9-C660-4EF6-B9AF-E54E8475F954}"/>
    <cellStyle name="SAPMemberTotalCell 3" xfId="7907" xr:uid="{AE678903-2601-4AEE-874C-1850DBCA3B98}"/>
    <cellStyle name="SAPMessageText" xfId="66" xr:uid="{00000000-0005-0000-0000-000042000000}"/>
    <cellStyle name="SAPMessageText 2" xfId="7919" xr:uid="{F98CD03B-E916-4434-8FA2-ACF890B26D46}"/>
    <cellStyle name="SAPReadonlyDataCell" xfId="36" xr:uid="{00000000-0005-0000-0000-000024000000}"/>
    <cellStyle name="SAPReadonlyDataCell 2" xfId="7891" xr:uid="{09C582AB-3148-481F-9D99-7403EC8B00A5}"/>
    <cellStyle name="SAPReadonlyDataTotalCell" xfId="39" xr:uid="{00000000-0005-0000-0000-000027000000}"/>
    <cellStyle name="SAPReadonlyDataTotalCell 2" xfId="7894" xr:uid="{F3918971-36BE-41EC-B1AC-A19E88AA6F00}"/>
    <cellStyle name="Separador de milhares [0]" xfId="3162" xr:uid="{00000000-0005-0000-0000-00005A0C0000}"/>
    <cellStyle name="Separador de milhares [0] 2" xfId="6472" xr:uid="{00000000-0005-0000-0000-000048190000}"/>
    <cellStyle name="Separador de milhares_CARGA_CTEEP_DEZ" xfId="3646" xr:uid="{00000000-0005-0000-0000-00003E0E0000}"/>
    <cellStyle name="Subtit - Modelo2" xfId="3163" xr:uid="{00000000-0005-0000-0000-00005B0C0000}"/>
    <cellStyle name="Subtit - Modelo2 2" xfId="3164" xr:uid="{00000000-0005-0000-0000-00005C0C0000}"/>
    <cellStyle name="Subtit - Modelo2 2 2" xfId="3165" xr:uid="{00000000-0005-0000-0000-00005D0C0000}"/>
    <cellStyle name="Subtit - Modelo2 2 3" xfId="3166" xr:uid="{00000000-0005-0000-0000-00005E0C0000}"/>
    <cellStyle name="Subtit - Modelo2 2 4" xfId="3167" xr:uid="{00000000-0005-0000-0000-00005F0C0000}"/>
    <cellStyle name="Subtit - Modelo2 2 5" xfId="3168" xr:uid="{00000000-0005-0000-0000-0000600C0000}"/>
    <cellStyle name="Subtit - Modelo2 2 6" xfId="3169" xr:uid="{00000000-0005-0000-0000-0000610C0000}"/>
    <cellStyle name="Subtit - Modelo2 2_ActiFijos" xfId="3170" xr:uid="{00000000-0005-0000-0000-0000620C0000}"/>
    <cellStyle name="Subtit - Modelo2 3" xfId="3171" xr:uid="{00000000-0005-0000-0000-0000630C0000}"/>
    <cellStyle name="Subtit - Modelo2 3 2" xfId="3172" xr:uid="{00000000-0005-0000-0000-0000640C0000}"/>
    <cellStyle name="Subtit - Modelo2 3 3" xfId="3173" xr:uid="{00000000-0005-0000-0000-0000650C0000}"/>
    <cellStyle name="Subtit - Modelo2 3 4" xfId="3174" xr:uid="{00000000-0005-0000-0000-0000660C0000}"/>
    <cellStyle name="Subtit - Modelo2 3 5" xfId="3175" xr:uid="{00000000-0005-0000-0000-0000670C0000}"/>
    <cellStyle name="Subtit - Modelo2 3 6" xfId="3176" xr:uid="{00000000-0005-0000-0000-0000680C0000}"/>
    <cellStyle name="Subtit - Modelo2 3_ActiFijos" xfId="3177" xr:uid="{00000000-0005-0000-0000-0000690C0000}"/>
    <cellStyle name="Subtit - Modelo2 4" xfId="3178" xr:uid="{00000000-0005-0000-0000-00006A0C0000}"/>
    <cellStyle name="Subtit - Modelo2 4 2" xfId="3179" xr:uid="{00000000-0005-0000-0000-00006B0C0000}"/>
    <cellStyle name="Subtit - Modelo2 4 3" xfId="3180" xr:uid="{00000000-0005-0000-0000-00006C0C0000}"/>
    <cellStyle name="Subtit - Modelo2 4 4" xfId="3181" xr:uid="{00000000-0005-0000-0000-00006D0C0000}"/>
    <cellStyle name="Subtit - Modelo2 4 5" xfId="3182" xr:uid="{00000000-0005-0000-0000-00006E0C0000}"/>
    <cellStyle name="Subtit - Modelo2 4 6" xfId="3183" xr:uid="{00000000-0005-0000-0000-00006F0C0000}"/>
    <cellStyle name="Subtit - Modelo2 4_ActiFijos" xfId="3184" xr:uid="{00000000-0005-0000-0000-0000700C0000}"/>
    <cellStyle name="Subtit - Modelo2_Bases_Generales" xfId="3185" xr:uid="{00000000-0005-0000-0000-0000710C0000}"/>
    <cellStyle name="Subtitle" xfId="3647" xr:uid="{00000000-0005-0000-0000-00003F0E0000}"/>
    <cellStyle name="Subtitle 2" xfId="8914" xr:uid="{D8AB2FBA-006B-4BEF-A8BD-8502755B1CD6}"/>
    <cellStyle name="Subtitulo" xfId="3186" xr:uid="{00000000-0005-0000-0000-0000720C0000}"/>
    <cellStyle name="Subtitulo 2" xfId="3187" xr:uid="{00000000-0005-0000-0000-0000730C0000}"/>
    <cellStyle name="Subtitulo 2 2" xfId="3188" xr:uid="{00000000-0005-0000-0000-0000740C0000}"/>
    <cellStyle name="Subtitulo 2 3" xfId="3189" xr:uid="{00000000-0005-0000-0000-0000750C0000}"/>
    <cellStyle name="Subtitulo 2 4" xfId="3190" xr:uid="{00000000-0005-0000-0000-0000760C0000}"/>
    <cellStyle name="Subtitulo 2 5" xfId="3191" xr:uid="{00000000-0005-0000-0000-0000770C0000}"/>
    <cellStyle name="Subtitulo 2 6" xfId="3192" xr:uid="{00000000-0005-0000-0000-0000780C0000}"/>
    <cellStyle name="Subtitulo 2_ActiFijos" xfId="3193" xr:uid="{00000000-0005-0000-0000-0000790C0000}"/>
    <cellStyle name="Subtitulo 3" xfId="3194" xr:uid="{00000000-0005-0000-0000-00007A0C0000}"/>
    <cellStyle name="Subtitulo 3 2" xfId="3195" xr:uid="{00000000-0005-0000-0000-00007B0C0000}"/>
    <cellStyle name="Subtitulo 3 3" xfId="3196" xr:uid="{00000000-0005-0000-0000-00007C0C0000}"/>
    <cellStyle name="Subtitulo 3 4" xfId="3197" xr:uid="{00000000-0005-0000-0000-00007D0C0000}"/>
    <cellStyle name="Subtitulo 3 5" xfId="3198" xr:uid="{00000000-0005-0000-0000-00007E0C0000}"/>
    <cellStyle name="Subtitulo 3 6" xfId="3199" xr:uid="{00000000-0005-0000-0000-00007F0C0000}"/>
    <cellStyle name="Subtitulo 3_ActiFijos" xfId="3200" xr:uid="{00000000-0005-0000-0000-0000800C0000}"/>
    <cellStyle name="Subtitulo 4" xfId="3201" xr:uid="{00000000-0005-0000-0000-0000810C0000}"/>
    <cellStyle name="Subtitulo 4 2" xfId="3202" xr:uid="{00000000-0005-0000-0000-0000820C0000}"/>
    <cellStyle name="Subtitulo 4 3" xfId="3203" xr:uid="{00000000-0005-0000-0000-0000830C0000}"/>
    <cellStyle name="Subtitulo 4 4" xfId="3204" xr:uid="{00000000-0005-0000-0000-0000840C0000}"/>
    <cellStyle name="Subtitulo 4 5" xfId="3205" xr:uid="{00000000-0005-0000-0000-0000850C0000}"/>
    <cellStyle name="Subtitulo 4 6" xfId="3206" xr:uid="{00000000-0005-0000-0000-0000860C0000}"/>
    <cellStyle name="Subtitulo 4_ActiFijos" xfId="3207" xr:uid="{00000000-0005-0000-0000-0000870C0000}"/>
    <cellStyle name="Subtitulo_Bases_Generales" xfId="3208" xr:uid="{00000000-0005-0000-0000-0000880C0000}"/>
    <cellStyle name="texto" xfId="3209" xr:uid="{00000000-0005-0000-0000-0000890C0000}"/>
    <cellStyle name="texto 10" xfId="3648" xr:uid="{00000000-0005-0000-0000-0000400E0000}"/>
    <cellStyle name="texto 10 2" xfId="8915" xr:uid="{5DBD13E7-9B87-405E-89B7-D0E85F1C1F35}"/>
    <cellStyle name="texto 10 3" xfId="7941" xr:uid="{B7A9DF6F-ED74-4789-951D-B6363D5D0C0E}"/>
    <cellStyle name="texto 11" xfId="8712" xr:uid="{5001FE03-356F-44D6-9113-C5914DFA36B5}"/>
    <cellStyle name="texto 12" xfId="7975" xr:uid="{EDE22B68-3267-403A-8388-1A9E21661CED}"/>
    <cellStyle name="texto 2" xfId="3210" xr:uid="{00000000-0005-0000-0000-00008A0C0000}"/>
    <cellStyle name="texto 2 2" xfId="3211" xr:uid="{00000000-0005-0000-0000-00008B0C0000}"/>
    <cellStyle name="texto 2 2 2" xfId="8714" xr:uid="{362A5E7E-8B16-439C-9E9F-4ED168F35C1C}"/>
    <cellStyle name="texto 2 2 3" xfId="7973" xr:uid="{F179A73C-24B1-4988-8D29-EC3315D1D93D}"/>
    <cellStyle name="texto 2 3" xfId="3212" xr:uid="{00000000-0005-0000-0000-00008C0C0000}"/>
    <cellStyle name="texto 2 3 2" xfId="8715" xr:uid="{BC47B125-A981-425F-8DD7-672240CFF269}"/>
    <cellStyle name="texto 2 3 3" xfId="7972" xr:uid="{587AE81B-5B91-438F-8756-7E1AFD71DB12}"/>
    <cellStyle name="texto 2 4" xfId="3213" xr:uid="{00000000-0005-0000-0000-00008D0C0000}"/>
    <cellStyle name="texto 2 4 2" xfId="8716" xr:uid="{3688CC08-A11C-424C-89EF-2E7F4A15B1D2}"/>
    <cellStyle name="texto 2 4 3" xfId="7971" xr:uid="{6A97F181-5D3B-4B3B-A89F-EF0691C24B30}"/>
    <cellStyle name="texto 2 5" xfId="3214" xr:uid="{00000000-0005-0000-0000-00008E0C0000}"/>
    <cellStyle name="texto 2 5 2" xfId="8717" xr:uid="{034AC903-293C-4048-8371-8A8532C49563}"/>
    <cellStyle name="texto 2 5 3" xfId="7970" xr:uid="{95115D5E-7603-40B5-87AF-9BD44EDA879A}"/>
    <cellStyle name="texto 2 6" xfId="3215" xr:uid="{00000000-0005-0000-0000-00008F0C0000}"/>
    <cellStyle name="texto 2 6 2" xfId="8718" xr:uid="{2AC32AB1-C847-43EA-B6FA-4797F36EEF72}"/>
    <cellStyle name="texto 2 6 3" xfId="7969" xr:uid="{5F0797E0-A9FE-4CE3-AB67-3625BD670783}"/>
    <cellStyle name="texto 2 7" xfId="8713" xr:uid="{A400E37C-2240-425D-9822-9B4DF53E79F9}"/>
    <cellStyle name="texto 2 8" xfId="7974" xr:uid="{B93F2739-FCAF-481E-B9AA-12A582D21E17}"/>
    <cellStyle name="texto 2_ActiFijos" xfId="3216" xr:uid="{00000000-0005-0000-0000-0000900C0000}"/>
    <cellStyle name="texto 3" xfId="3217" xr:uid="{00000000-0005-0000-0000-0000910C0000}"/>
    <cellStyle name="texto 3 2" xfId="3218" xr:uid="{00000000-0005-0000-0000-0000920C0000}"/>
    <cellStyle name="texto 3 2 2" xfId="8720" xr:uid="{16743354-7104-440A-812C-00509F014D24}"/>
    <cellStyle name="texto 3 2 3" xfId="7967" xr:uid="{7717BA8F-E481-4F64-A488-1FE76BB6D5DB}"/>
    <cellStyle name="texto 3 3" xfId="3219" xr:uid="{00000000-0005-0000-0000-0000930C0000}"/>
    <cellStyle name="texto 3 3 2" xfId="8721" xr:uid="{F8A431A2-B489-463D-915F-9116A8BE118F}"/>
    <cellStyle name="texto 3 3 3" xfId="7966" xr:uid="{CAEBC47D-FF26-47C3-89B8-A5627AC802D9}"/>
    <cellStyle name="texto 3 4" xfId="3220" xr:uid="{00000000-0005-0000-0000-0000940C0000}"/>
    <cellStyle name="texto 3 4 2" xfId="8722" xr:uid="{575BC553-753C-4131-8FB7-AF8492F18D2B}"/>
    <cellStyle name="texto 3 4 3" xfId="7965" xr:uid="{90EA1C53-73CD-4E3C-93F4-F172411AEE8D}"/>
    <cellStyle name="texto 3 5" xfId="3221" xr:uid="{00000000-0005-0000-0000-0000950C0000}"/>
    <cellStyle name="texto 3 5 2" xfId="8723" xr:uid="{9041107A-FF3B-4097-AEF5-331465DA192B}"/>
    <cellStyle name="texto 3 5 3" xfId="7964" xr:uid="{2510A02B-55E7-4829-94E0-25257C50C981}"/>
    <cellStyle name="texto 3 6" xfId="3222" xr:uid="{00000000-0005-0000-0000-0000960C0000}"/>
    <cellStyle name="texto 3 6 2" xfId="8724" xr:uid="{EAF62599-7292-4D94-B84E-33AA3F5CF71E}"/>
    <cellStyle name="texto 3 6 3" xfId="7963" xr:uid="{396E63C6-BC0C-4BF7-ADB9-6698A9303657}"/>
    <cellStyle name="texto 3 7" xfId="8719" xr:uid="{12EC1A4D-1D60-4738-AF4C-3ED37F1CA03C}"/>
    <cellStyle name="texto 3 8" xfId="7968" xr:uid="{650580DC-57C2-4629-896F-5955FFDD92FE}"/>
    <cellStyle name="texto 3_ActiFijos" xfId="3223" xr:uid="{00000000-0005-0000-0000-0000970C0000}"/>
    <cellStyle name="texto 4" xfId="3224" xr:uid="{00000000-0005-0000-0000-0000980C0000}"/>
    <cellStyle name="texto 4 2" xfId="3225" xr:uid="{00000000-0005-0000-0000-0000990C0000}"/>
    <cellStyle name="texto 4 2 2" xfId="8726" xr:uid="{9CBBE648-436B-4720-AD13-A1FD75D3176C}"/>
    <cellStyle name="texto 4 2 3" xfId="7961" xr:uid="{CCFE2320-0242-4708-879B-7815238EDAB6}"/>
    <cellStyle name="texto 4 3" xfId="3226" xr:uid="{00000000-0005-0000-0000-00009A0C0000}"/>
    <cellStyle name="texto 4 3 2" xfId="8727" xr:uid="{1D509CAE-5C39-4A45-9D08-44CADCBE554C}"/>
    <cellStyle name="texto 4 3 3" xfId="7960" xr:uid="{0CDB34F7-4B1E-48D4-989F-D52F7B15E267}"/>
    <cellStyle name="texto 4 4" xfId="3227" xr:uid="{00000000-0005-0000-0000-00009B0C0000}"/>
    <cellStyle name="texto 4 4 2" xfId="8728" xr:uid="{CD6ABD2A-F39C-43E1-8DDE-49216A390DC2}"/>
    <cellStyle name="texto 4 4 3" xfId="7959" xr:uid="{FFE42A84-5D05-4192-BE1B-8D1FD9588FD8}"/>
    <cellStyle name="texto 4 5" xfId="3228" xr:uid="{00000000-0005-0000-0000-00009C0C0000}"/>
    <cellStyle name="texto 4 5 2" xfId="8729" xr:uid="{38CF59A4-B6F1-473E-96BD-003B5ED87EEC}"/>
    <cellStyle name="texto 4 5 3" xfId="7958" xr:uid="{3A2932B9-841F-45E0-BB65-41A57CC4A39E}"/>
    <cellStyle name="texto 4 6" xfId="3229" xr:uid="{00000000-0005-0000-0000-00009D0C0000}"/>
    <cellStyle name="texto 4 6 2" xfId="8730" xr:uid="{CD7700A8-C695-46D1-B7CF-D55C41A8BD79}"/>
    <cellStyle name="texto 4 6 3" xfId="7957" xr:uid="{FFFC9690-A1A6-4A4D-9B47-1B3DD6EAF4FE}"/>
    <cellStyle name="texto 4 7" xfId="8725" xr:uid="{B02215F6-7BBC-4F54-B376-1BE5E7465C0F}"/>
    <cellStyle name="texto 4 8" xfId="7962" xr:uid="{A2364DFC-B28E-41AF-A4DC-2D32C26EF802}"/>
    <cellStyle name="texto 4_ActiFijos" xfId="3230" xr:uid="{00000000-0005-0000-0000-00009E0C0000}"/>
    <cellStyle name="texto 5" xfId="3649" xr:uid="{00000000-0005-0000-0000-0000410E0000}"/>
    <cellStyle name="texto 5 2" xfId="8916" xr:uid="{309FD8E4-F8E2-47F6-AF76-E516F17CF97A}"/>
    <cellStyle name="texto 5 3" xfId="8994" xr:uid="{0467619D-FD7D-47C5-A742-B2DC192669BE}"/>
    <cellStyle name="texto 6" xfId="3650" xr:uid="{00000000-0005-0000-0000-0000420E0000}"/>
    <cellStyle name="texto 6 2" xfId="8917" xr:uid="{30BC11AC-6554-4204-B496-7D401C66295E}"/>
    <cellStyle name="texto 6 3" xfId="7940" xr:uid="{C3A0EC64-7B2A-44E3-8417-541EB2684C04}"/>
    <cellStyle name="texto 7" xfId="3651" xr:uid="{00000000-0005-0000-0000-0000430E0000}"/>
    <cellStyle name="texto 7 2" xfId="8918" xr:uid="{F931B451-29F5-4D16-9F17-A2A1F4009594}"/>
    <cellStyle name="texto 7 3" xfId="7939" xr:uid="{416C8E10-2DED-46A8-88EE-D3F9B04E5427}"/>
    <cellStyle name="texto 8" xfId="3652" xr:uid="{00000000-0005-0000-0000-0000440E0000}"/>
    <cellStyle name="texto 8 2" xfId="8919" xr:uid="{C9F4A5DA-CE3B-48FB-BCA1-3FAEFD12154D}"/>
    <cellStyle name="texto 8 3" xfId="7938" xr:uid="{D5E3253C-5608-4ECB-A267-13BAECFE2F68}"/>
    <cellStyle name="texto 9" xfId="3653" xr:uid="{00000000-0005-0000-0000-0000450E0000}"/>
    <cellStyle name="texto 9 2" xfId="8920" xr:uid="{D3AB4F94-F80E-4FEA-AD4C-1E73489579FD}"/>
    <cellStyle name="texto 9 3" xfId="8993" xr:uid="{8AE2E9A7-E445-4D6D-B00B-157E7D226292}"/>
    <cellStyle name="Texto de advertencia 10" xfId="6473" xr:uid="{00000000-0005-0000-0000-000049190000}"/>
    <cellStyle name="Texto de advertencia 10 2" xfId="6474" xr:uid="{00000000-0005-0000-0000-00004A190000}"/>
    <cellStyle name="Texto de advertencia 11" xfId="6475" xr:uid="{00000000-0005-0000-0000-00004B190000}"/>
    <cellStyle name="Texto de advertencia 11 2" xfId="6476" xr:uid="{00000000-0005-0000-0000-00004C190000}"/>
    <cellStyle name="Texto de advertencia 12" xfId="6477" xr:uid="{00000000-0005-0000-0000-00004D190000}"/>
    <cellStyle name="Texto de advertencia 12 2" xfId="6478" xr:uid="{00000000-0005-0000-0000-00004E190000}"/>
    <cellStyle name="Texto de advertencia 13" xfId="6479" xr:uid="{00000000-0005-0000-0000-00004F190000}"/>
    <cellStyle name="Texto de advertencia 13 2" xfId="6480" xr:uid="{00000000-0005-0000-0000-000050190000}"/>
    <cellStyle name="Texto de advertencia 14" xfId="6481" xr:uid="{00000000-0005-0000-0000-000051190000}"/>
    <cellStyle name="Texto de advertencia 14 2" xfId="6482" xr:uid="{00000000-0005-0000-0000-000052190000}"/>
    <cellStyle name="Texto de advertencia 15" xfId="6483" xr:uid="{00000000-0005-0000-0000-000053190000}"/>
    <cellStyle name="Texto de advertencia 2" xfId="3654" xr:uid="{00000000-0005-0000-0000-0000460E0000}"/>
    <cellStyle name="Texto de advertencia 2 2" xfId="6484" xr:uid="{00000000-0005-0000-0000-000054190000}"/>
    <cellStyle name="Texto de advertencia 2 2 2" xfId="6485" xr:uid="{00000000-0005-0000-0000-000055190000}"/>
    <cellStyle name="Texto de advertencia 2 3" xfId="6486" xr:uid="{00000000-0005-0000-0000-000056190000}"/>
    <cellStyle name="Texto de advertencia 2 3 2" xfId="6487" xr:uid="{00000000-0005-0000-0000-000057190000}"/>
    <cellStyle name="Texto de advertencia 2 4" xfId="6488" xr:uid="{00000000-0005-0000-0000-000058190000}"/>
    <cellStyle name="Texto de advertencia 3" xfId="3655" xr:uid="{00000000-0005-0000-0000-0000470E0000}"/>
    <cellStyle name="Texto de advertencia 3 2" xfId="6489" xr:uid="{00000000-0005-0000-0000-000059190000}"/>
    <cellStyle name="Texto de advertencia 3 3" xfId="6490" xr:uid="{00000000-0005-0000-0000-00005A190000}"/>
    <cellStyle name="Texto de advertencia 4" xfId="6491" xr:uid="{00000000-0005-0000-0000-00005B190000}"/>
    <cellStyle name="Texto de advertencia 4 2" xfId="6492" xr:uid="{00000000-0005-0000-0000-00005C190000}"/>
    <cellStyle name="Texto de advertencia 4 3" xfId="6493" xr:uid="{00000000-0005-0000-0000-00005D190000}"/>
    <cellStyle name="Texto de advertencia 5" xfId="6494" xr:uid="{00000000-0005-0000-0000-00005E190000}"/>
    <cellStyle name="Texto de advertencia 5 2" xfId="6495" xr:uid="{00000000-0005-0000-0000-00005F190000}"/>
    <cellStyle name="Texto de advertencia 6" xfId="6496" xr:uid="{00000000-0005-0000-0000-000060190000}"/>
    <cellStyle name="Texto de advertencia 6 2" xfId="6497" xr:uid="{00000000-0005-0000-0000-000061190000}"/>
    <cellStyle name="Texto de advertencia 7" xfId="6498" xr:uid="{00000000-0005-0000-0000-000062190000}"/>
    <cellStyle name="Texto de advertencia 7 2" xfId="6499" xr:uid="{00000000-0005-0000-0000-000063190000}"/>
    <cellStyle name="Texto de advertencia 8" xfId="6500" xr:uid="{00000000-0005-0000-0000-000064190000}"/>
    <cellStyle name="Texto de advertencia 8 2" xfId="6501" xr:uid="{00000000-0005-0000-0000-000065190000}"/>
    <cellStyle name="Texto de advertencia 9" xfId="6502" xr:uid="{00000000-0005-0000-0000-000066190000}"/>
    <cellStyle name="Texto de advertencia 9 2" xfId="6503" xr:uid="{00000000-0005-0000-0000-000067190000}"/>
    <cellStyle name="Texto de Aviso" xfId="3231" xr:uid="{00000000-0005-0000-0000-00009F0C0000}"/>
    <cellStyle name="Texto explicativo 10" xfId="6504" xr:uid="{00000000-0005-0000-0000-000068190000}"/>
    <cellStyle name="Texto explicativo 10 2" xfId="6505" xr:uid="{00000000-0005-0000-0000-000069190000}"/>
    <cellStyle name="Texto explicativo 11" xfId="6506" xr:uid="{00000000-0005-0000-0000-00006A190000}"/>
    <cellStyle name="Texto explicativo 11 2" xfId="6507" xr:uid="{00000000-0005-0000-0000-00006B190000}"/>
    <cellStyle name="Texto explicativo 12" xfId="6508" xr:uid="{00000000-0005-0000-0000-00006C190000}"/>
    <cellStyle name="Texto explicativo 12 2" xfId="6509" xr:uid="{00000000-0005-0000-0000-00006D190000}"/>
    <cellStyle name="Texto explicativo 13" xfId="6510" xr:uid="{00000000-0005-0000-0000-00006E190000}"/>
    <cellStyle name="Texto explicativo 13 2" xfId="6511" xr:uid="{00000000-0005-0000-0000-00006F190000}"/>
    <cellStyle name="Texto explicativo 14" xfId="6512" xr:uid="{00000000-0005-0000-0000-000070190000}"/>
    <cellStyle name="Texto explicativo 14 2" xfId="6513" xr:uid="{00000000-0005-0000-0000-000071190000}"/>
    <cellStyle name="Texto explicativo 15" xfId="6514" xr:uid="{00000000-0005-0000-0000-000072190000}"/>
    <cellStyle name="Texto explicativo 2" xfId="3656" xr:uid="{00000000-0005-0000-0000-0000480E0000}"/>
    <cellStyle name="Texto explicativo 2 2" xfId="6515" xr:uid="{00000000-0005-0000-0000-000073190000}"/>
    <cellStyle name="Texto explicativo 2 3" xfId="6516" xr:uid="{00000000-0005-0000-0000-000074190000}"/>
    <cellStyle name="Texto explicativo 2 4" xfId="6517" xr:uid="{00000000-0005-0000-0000-000075190000}"/>
    <cellStyle name="Texto explicativo 3" xfId="3657" xr:uid="{00000000-0005-0000-0000-0000490E0000}"/>
    <cellStyle name="Texto explicativo 3 2" xfId="6518" xr:uid="{00000000-0005-0000-0000-000076190000}"/>
    <cellStyle name="Texto explicativo 3 3" xfId="6519" xr:uid="{00000000-0005-0000-0000-000077190000}"/>
    <cellStyle name="Texto explicativo 4" xfId="6520" xr:uid="{00000000-0005-0000-0000-000078190000}"/>
    <cellStyle name="Texto explicativo 4 2" xfId="6521" xr:uid="{00000000-0005-0000-0000-000079190000}"/>
    <cellStyle name="Texto explicativo 4 3" xfId="6522" xr:uid="{00000000-0005-0000-0000-00007A190000}"/>
    <cellStyle name="Texto explicativo 5" xfId="6523" xr:uid="{00000000-0005-0000-0000-00007B190000}"/>
    <cellStyle name="Texto explicativo 6" xfId="6524" xr:uid="{00000000-0005-0000-0000-00007C190000}"/>
    <cellStyle name="Texto explicativo 7" xfId="6525" xr:uid="{00000000-0005-0000-0000-00007D190000}"/>
    <cellStyle name="Texto explicativo 8" xfId="6526" xr:uid="{00000000-0005-0000-0000-00007E190000}"/>
    <cellStyle name="Texto explicativo 9" xfId="6527" xr:uid="{00000000-0005-0000-0000-00007F190000}"/>
    <cellStyle name="Title" xfId="3658" xr:uid="{00000000-0005-0000-0000-00004A0E0000}"/>
    <cellStyle name="Title 2" xfId="8921" xr:uid="{0AA3CCD0-9129-4343-A4C4-9A2A4DFB52EB}"/>
    <cellStyle name="titulo" xfId="3232" xr:uid="{00000000-0005-0000-0000-0000A00C0000}"/>
    <cellStyle name="Título 1 10" xfId="6528" xr:uid="{00000000-0005-0000-0000-000080190000}"/>
    <cellStyle name="Título 1 10 2" xfId="6529" xr:uid="{00000000-0005-0000-0000-000081190000}"/>
    <cellStyle name="Título 1 11" xfId="6530" xr:uid="{00000000-0005-0000-0000-000082190000}"/>
    <cellStyle name="Título 1 11 2" xfId="6531" xr:uid="{00000000-0005-0000-0000-000083190000}"/>
    <cellStyle name="Título 1 12" xfId="6532" xr:uid="{00000000-0005-0000-0000-000084190000}"/>
    <cellStyle name="Título 1 12 2" xfId="6533" xr:uid="{00000000-0005-0000-0000-000085190000}"/>
    <cellStyle name="Título 1 13" xfId="6534" xr:uid="{00000000-0005-0000-0000-000086190000}"/>
    <cellStyle name="Título 1 13 2" xfId="6535" xr:uid="{00000000-0005-0000-0000-000087190000}"/>
    <cellStyle name="Título 1 14" xfId="6536" xr:uid="{00000000-0005-0000-0000-000088190000}"/>
    <cellStyle name="Título 1 14 2" xfId="6537" xr:uid="{00000000-0005-0000-0000-000089190000}"/>
    <cellStyle name="Título 1 15" xfId="6538" xr:uid="{00000000-0005-0000-0000-00008A190000}"/>
    <cellStyle name="Título 1 2" xfId="3659" xr:uid="{00000000-0005-0000-0000-00004B0E0000}"/>
    <cellStyle name="Título 1 2 2" xfId="6539" xr:uid="{00000000-0005-0000-0000-00008B190000}"/>
    <cellStyle name="Título 1 2 3" xfId="6540" xr:uid="{00000000-0005-0000-0000-00008C190000}"/>
    <cellStyle name="Título 1 2 4" xfId="6541" xr:uid="{00000000-0005-0000-0000-00008D190000}"/>
    <cellStyle name="Título 1 3" xfId="3660" xr:uid="{00000000-0005-0000-0000-00004C0E0000}"/>
    <cellStyle name="Título 1 3 2" xfId="6542" xr:uid="{00000000-0005-0000-0000-00008E190000}"/>
    <cellStyle name="Título 1 3 3" xfId="6543" xr:uid="{00000000-0005-0000-0000-00008F190000}"/>
    <cellStyle name="Título 1 4" xfId="6544" xr:uid="{00000000-0005-0000-0000-000090190000}"/>
    <cellStyle name="Título 1 4 2" xfId="6545" xr:uid="{00000000-0005-0000-0000-000091190000}"/>
    <cellStyle name="Título 1 4 3" xfId="6546" xr:uid="{00000000-0005-0000-0000-000092190000}"/>
    <cellStyle name="Título 1 5" xfId="6547" xr:uid="{00000000-0005-0000-0000-000093190000}"/>
    <cellStyle name="Título 1 6" xfId="6548" xr:uid="{00000000-0005-0000-0000-000094190000}"/>
    <cellStyle name="Título 1 7" xfId="6549" xr:uid="{00000000-0005-0000-0000-000095190000}"/>
    <cellStyle name="Título 1 8" xfId="6550" xr:uid="{00000000-0005-0000-0000-000096190000}"/>
    <cellStyle name="Título 1 9" xfId="6551" xr:uid="{00000000-0005-0000-0000-000097190000}"/>
    <cellStyle name="Título 10" xfId="6552" xr:uid="{00000000-0005-0000-0000-000098190000}"/>
    <cellStyle name="Título 11" xfId="6553" xr:uid="{00000000-0005-0000-0000-000099190000}"/>
    <cellStyle name="Título 12" xfId="6554" xr:uid="{00000000-0005-0000-0000-00009A190000}"/>
    <cellStyle name="Título 12 2" xfId="6555" xr:uid="{00000000-0005-0000-0000-00009B190000}"/>
    <cellStyle name="Título 13" xfId="6556" xr:uid="{00000000-0005-0000-0000-00009C190000}"/>
    <cellStyle name="Título 13 2" xfId="6557" xr:uid="{00000000-0005-0000-0000-00009D190000}"/>
    <cellStyle name="Título 14" xfId="6558" xr:uid="{00000000-0005-0000-0000-00009E190000}"/>
    <cellStyle name="Título 14 2" xfId="6559" xr:uid="{00000000-0005-0000-0000-00009F190000}"/>
    <cellStyle name="Título 15" xfId="6560" xr:uid="{00000000-0005-0000-0000-0000A0190000}"/>
    <cellStyle name="Título 15 2" xfId="6561" xr:uid="{00000000-0005-0000-0000-0000A1190000}"/>
    <cellStyle name="Título 16" xfId="6562" xr:uid="{00000000-0005-0000-0000-0000A2190000}"/>
    <cellStyle name="Título 16 2" xfId="6563" xr:uid="{00000000-0005-0000-0000-0000A3190000}"/>
    <cellStyle name="Título 17" xfId="6564" xr:uid="{00000000-0005-0000-0000-0000A4190000}"/>
    <cellStyle name="titulo 2" xfId="3233" xr:uid="{00000000-0005-0000-0000-0000A10C0000}"/>
    <cellStyle name="Título 2 10" xfId="6565" xr:uid="{00000000-0005-0000-0000-0000A5190000}"/>
    <cellStyle name="Título 2 10 2" xfId="6566" xr:uid="{00000000-0005-0000-0000-0000A6190000}"/>
    <cellStyle name="Título 2 11" xfId="6567" xr:uid="{00000000-0005-0000-0000-0000A7190000}"/>
    <cellStyle name="Título 2 11 2" xfId="6568" xr:uid="{00000000-0005-0000-0000-0000A8190000}"/>
    <cellStyle name="Título 2 12" xfId="6569" xr:uid="{00000000-0005-0000-0000-0000A9190000}"/>
    <cellStyle name="Título 2 12 2" xfId="6570" xr:uid="{00000000-0005-0000-0000-0000AA190000}"/>
    <cellStyle name="Título 2 13" xfId="6571" xr:uid="{00000000-0005-0000-0000-0000AB190000}"/>
    <cellStyle name="Título 2 13 2" xfId="6572" xr:uid="{00000000-0005-0000-0000-0000AC190000}"/>
    <cellStyle name="Título 2 14" xfId="6573" xr:uid="{00000000-0005-0000-0000-0000AD190000}"/>
    <cellStyle name="Título 2 14 2" xfId="6574" xr:uid="{00000000-0005-0000-0000-0000AE190000}"/>
    <cellStyle name="Título 2 15" xfId="6575" xr:uid="{00000000-0005-0000-0000-0000AF190000}"/>
    <cellStyle name="titulo 2 2" xfId="3234" xr:uid="{00000000-0005-0000-0000-0000A20C0000}"/>
    <cellStyle name="Título 2 2" xfId="3661" xr:uid="{00000000-0005-0000-0000-00004D0E0000}"/>
    <cellStyle name="Título 2 2 2" xfId="6576" xr:uid="{00000000-0005-0000-0000-0000B0190000}"/>
    <cellStyle name="Título 2 2 3" xfId="6577" xr:uid="{00000000-0005-0000-0000-0000B1190000}"/>
    <cellStyle name="Título 2 2 4" xfId="6578" xr:uid="{00000000-0005-0000-0000-0000B2190000}"/>
    <cellStyle name="titulo 2 3" xfId="3235" xr:uid="{00000000-0005-0000-0000-0000A30C0000}"/>
    <cellStyle name="Título 2 3" xfId="3662" xr:uid="{00000000-0005-0000-0000-00004E0E0000}"/>
    <cellStyle name="Título 2 3 2" xfId="6579" xr:uid="{00000000-0005-0000-0000-0000B3190000}"/>
    <cellStyle name="Título 2 3 3" xfId="6580" xr:uid="{00000000-0005-0000-0000-0000B4190000}"/>
    <cellStyle name="titulo 2 4" xfId="3236" xr:uid="{00000000-0005-0000-0000-0000A40C0000}"/>
    <cellStyle name="Título 2 4" xfId="6581" xr:uid="{00000000-0005-0000-0000-0000B5190000}"/>
    <cellStyle name="Título 2 4 2" xfId="6582" xr:uid="{00000000-0005-0000-0000-0000B6190000}"/>
    <cellStyle name="Título 2 4 3" xfId="6583" xr:uid="{00000000-0005-0000-0000-0000B7190000}"/>
    <cellStyle name="titulo 2 5" xfId="3237" xr:uid="{00000000-0005-0000-0000-0000A50C0000}"/>
    <cellStyle name="Título 2 5" xfId="6584" xr:uid="{00000000-0005-0000-0000-0000B8190000}"/>
    <cellStyle name="titulo 2 6" xfId="3238" xr:uid="{00000000-0005-0000-0000-0000A60C0000}"/>
    <cellStyle name="Título 2 6" xfId="6585" xr:uid="{00000000-0005-0000-0000-0000B9190000}"/>
    <cellStyle name="Título 2 7" xfId="6586" xr:uid="{00000000-0005-0000-0000-0000BA190000}"/>
    <cellStyle name="Título 2 8" xfId="6587" xr:uid="{00000000-0005-0000-0000-0000BB190000}"/>
    <cellStyle name="Título 2 9" xfId="6588" xr:uid="{00000000-0005-0000-0000-0000BC190000}"/>
    <cellStyle name="titulo 2_ActiFijos" xfId="3239" xr:uid="{00000000-0005-0000-0000-0000A70C0000}"/>
    <cellStyle name="titulo 3" xfId="3240" xr:uid="{00000000-0005-0000-0000-0000A80C0000}"/>
    <cellStyle name="Título 3 10" xfId="6589" xr:uid="{00000000-0005-0000-0000-0000BD190000}"/>
    <cellStyle name="Título 3 10 2" xfId="6590" xr:uid="{00000000-0005-0000-0000-0000BE190000}"/>
    <cellStyle name="Título 3 11" xfId="6591" xr:uid="{00000000-0005-0000-0000-0000BF190000}"/>
    <cellStyle name="Título 3 11 2" xfId="6592" xr:uid="{00000000-0005-0000-0000-0000C0190000}"/>
    <cellStyle name="Título 3 12" xfId="6593" xr:uid="{00000000-0005-0000-0000-0000C1190000}"/>
    <cellStyle name="Título 3 12 2" xfId="6594" xr:uid="{00000000-0005-0000-0000-0000C2190000}"/>
    <cellStyle name="Título 3 13" xfId="6595" xr:uid="{00000000-0005-0000-0000-0000C3190000}"/>
    <cellStyle name="Título 3 13 2" xfId="6596" xr:uid="{00000000-0005-0000-0000-0000C4190000}"/>
    <cellStyle name="Título 3 14" xfId="6597" xr:uid="{00000000-0005-0000-0000-0000C5190000}"/>
    <cellStyle name="Título 3 14 2" xfId="6598" xr:uid="{00000000-0005-0000-0000-0000C6190000}"/>
    <cellStyle name="Título 3 15" xfId="6599" xr:uid="{00000000-0005-0000-0000-0000C7190000}"/>
    <cellStyle name="titulo 3 2" xfId="3241" xr:uid="{00000000-0005-0000-0000-0000A90C0000}"/>
    <cellStyle name="Título 3 2" xfId="3663" xr:uid="{00000000-0005-0000-0000-00004F0E0000}"/>
    <cellStyle name="Título 3 2 2" xfId="6600" xr:uid="{00000000-0005-0000-0000-0000C8190000}"/>
    <cellStyle name="Título 3 2 3" xfId="6601" xr:uid="{00000000-0005-0000-0000-0000C9190000}"/>
    <cellStyle name="Título 3 2 4" xfId="6602" xr:uid="{00000000-0005-0000-0000-0000CA190000}"/>
    <cellStyle name="titulo 3 3" xfId="3242" xr:uid="{00000000-0005-0000-0000-0000AA0C0000}"/>
    <cellStyle name="Título 3 3" xfId="3664" xr:uid="{00000000-0005-0000-0000-0000500E0000}"/>
    <cellStyle name="Título 3 3 2" xfId="6603" xr:uid="{00000000-0005-0000-0000-0000CB190000}"/>
    <cellStyle name="Título 3 3 3" xfId="6604" xr:uid="{00000000-0005-0000-0000-0000CC190000}"/>
    <cellStyle name="titulo 3 4" xfId="3243" xr:uid="{00000000-0005-0000-0000-0000AB0C0000}"/>
    <cellStyle name="Título 3 4" xfId="6605" xr:uid="{00000000-0005-0000-0000-0000CD190000}"/>
    <cellStyle name="Título 3 4 2" xfId="6606" xr:uid="{00000000-0005-0000-0000-0000CE190000}"/>
    <cellStyle name="Título 3 4 3" xfId="6607" xr:uid="{00000000-0005-0000-0000-0000CF190000}"/>
    <cellStyle name="titulo 3 5" xfId="3244" xr:uid="{00000000-0005-0000-0000-0000AC0C0000}"/>
    <cellStyle name="Título 3 5" xfId="6608" xr:uid="{00000000-0005-0000-0000-0000D0190000}"/>
    <cellStyle name="titulo 3 6" xfId="3245" xr:uid="{00000000-0005-0000-0000-0000AD0C0000}"/>
    <cellStyle name="Título 3 6" xfId="6609" xr:uid="{00000000-0005-0000-0000-0000D1190000}"/>
    <cellStyle name="Título 3 7" xfId="6610" xr:uid="{00000000-0005-0000-0000-0000D2190000}"/>
    <cellStyle name="Título 3 8" xfId="6611" xr:uid="{00000000-0005-0000-0000-0000D3190000}"/>
    <cellStyle name="Título 3 9" xfId="6612" xr:uid="{00000000-0005-0000-0000-0000D4190000}"/>
    <cellStyle name="titulo 3_ActiFijos" xfId="3246" xr:uid="{00000000-0005-0000-0000-0000AE0C0000}"/>
    <cellStyle name="titulo 4" xfId="3247" xr:uid="{00000000-0005-0000-0000-0000AF0C0000}"/>
    <cellStyle name="Título 4" xfId="3248" xr:uid="{00000000-0005-0000-0000-0000B00C0000}"/>
    <cellStyle name="Título 4 10" xfId="6613" xr:uid="{00000000-0005-0000-0000-0000D5190000}"/>
    <cellStyle name="titulo 4 2" xfId="3249" xr:uid="{00000000-0005-0000-0000-0000B10C0000}"/>
    <cellStyle name="Título 4 2" xfId="6614" xr:uid="{00000000-0005-0000-0000-0000D6190000}"/>
    <cellStyle name="titulo 4 3" xfId="3250" xr:uid="{00000000-0005-0000-0000-0000B20C0000}"/>
    <cellStyle name="Título 4 3" xfId="6615" xr:uid="{00000000-0005-0000-0000-0000D7190000}"/>
    <cellStyle name="titulo 4 4" xfId="3251" xr:uid="{00000000-0005-0000-0000-0000B30C0000}"/>
    <cellStyle name="Título 4 4" xfId="6616" xr:uid="{00000000-0005-0000-0000-0000D8190000}"/>
    <cellStyle name="titulo 4 5" xfId="3252" xr:uid="{00000000-0005-0000-0000-0000B40C0000}"/>
    <cellStyle name="Título 4 5" xfId="6617" xr:uid="{00000000-0005-0000-0000-0000D9190000}"/>
    <cellStyle name="titulo 4 6" xfId="3253" xr:uid="{00000000-0005-0000-0000-0000B50C0000}"/>
    <cellStyle name="Título 4 6" xfId="6618" xr:uid="{00000000-0005-0000-0000-0000DA190000}"/>
    <cellStyle name="Título 4 7" xfId="6619" xr:uid="{00000000-0005-0000-0000-0000DB190000}"/>
    <cellStyle name="Título 4 8" xfId="6620" xr:uid="{00000000-0005-0000-0000-0000DC190000}"/>
    <cellStyle name="Título 4 9" xfId="6621" xr:uid="{00000000-0005-0000-0000-0000DD190000}"/>
    <cellStyle name="titulo 4_ActiFijos" xfId="3254" xr:uid="{00000000-0005-0000-0000-0000B60C0000}"/>
    <cellStyle name="Título 5" xfId="6622" xr:uid="{00000000-0005-0000-0000-0000DE190000}"/>
    <cellStyle name="Título 5 2" xfId="6623" xr:uid="{00000000-0005-0000-0000-0000DF190000}"/>
    <cellStyle name="Título 5 3" xfId="6624" xr:uid="{00000000-0005-0000-0000-0000E0190000}"/>
    <cellStyle name="Título 6" xfId="6625" xr:uid="{00000000-0005-0000-0000-0000E1190000}"/>
    <cellStyle name="Título 6 2" xfId="6626" xr:uid="{00000000-0005-0000-0000-0000E2190000}"/>
    <cellStyle name="Título 6 3" xfId="6627" xr:uid="{00000000-0005-0000-0000-0000E3190000}"/>
    <cellStyle name="Título 7" xfId="6628" xr:uid="{00000000-0005-0000-0000-0000E4190000}"/>
    <cellStyle name="Título 8" xfId="6629" xr:uid="{00000000-0005-0000-0000-0000E5190000}"/>
    <cellStyle name="Título 9" xfId="6630" xr:uid="{00000000-0005-0000-0000-0000E6190000}"/>
    <cellStyle name="titulo_Balanc" xfId="3255" xr:uid="{00000000-0005-0000-0000-0000B70C0000}"/>
    <cellStyle name="Total 10" xfId="3256" xr:uid="{00000000-0005-0000-0000-0000B80C0000}"/>
    <cellStyle name="Total 11" xfId="3257" xr:uid="{00000000-0005-0000-0000-0000B90C0000}"/>
    <cellStyle name="Total 11 2" xfId="6631" xr:uid="{00000000-0005-0000-0000-0000E7190000}"/>
    <cellStyle name="Total 11 2 2" xfId="10511" xr:uid="{37D86454-1457-409D-8073-E9E8A1649BF5}"/>
    <cellStyle name="Total 11 3" xfId="8731" xr:uid="{962581EB-0015-436D-AE07-41C1CC2410A9}"/>
    <cellStyle name="Total 12" xfId="3258" xr:uid="{00000000-0005-0000-0000-0000BA0C0000}"/>
    <cellStyle name="Total 12 2" xfId="6632" xr:uid="{00000000-0005-0000-0000-0000E8190000}"/>
    <cellStyle name="Total 12 2 2" xfId="10512" xr:uid="{A4217563-4D51-43F6-A476-6FBB1C8E25C7}"/>
    <cellStyle name="Total 12 3" xfId="8732" xr:uid="{A30D56CD-DA97-4B94-ABB0-526C7AF08084}"/>
    <cellStyle name="Total 13" xfId="6633" xr:uid="{00000000-0005-0000-0000-0000E9190000}"/>
    <cellStyle name="Total 13 2" xfId="6634" xr:uid="{00000000-0005-0000-0000-0000EA190000}"/>
    <cellStyle name="Total 13 3" xfId="6635" xr:uid="{00000000-0005-0000-0000-0000EB190000}"/>
    <cellStyle name="Total 13 3 2" xfId="10513" xr:uid="{BC60B085-FB41-4C1C-9483-FC38562B7116}"/>
    <cellStyle name="Total 14" xfId="6636" xr:uid="{00000000-0005-0000-0000-0000EC190000}"/>
    <cellStyle name="Total 14 2" xfId="6637" xr:uid="{00000000-0005-0000-0000-0000ED190000}"/>
    <cellStyle name="Total 14 3" xfId="6638" xr:uid="{00000000-0005-0000-0000-0000EE190000}"/>
    <cellStyle name="Total 14 3 2" xfId="10514" xr:uid="{3C6030A0-F6EF-420A-B9B6-B1C04A1BB7D1}"/>
    <cellStyle name="Total 15" xfId="6639" xr:uid="{00000000-0005-0000-0000-0000EF190000}"/>
    <cellStyle name="Total 16" xfId="6640" xr:uid="{00000000-0005-0000-0000-0000F0190000}"/>
    <cellStyle name="Total 17" xfId="6641" xr:uid="{00000000-0005-0000-0000-0000F1190000}"/>
    <cellStyle name="Total 18" xfId="6642" xr:uid="{00000000-0005-0000-0000-0000F2190000}"/>
    <cellStyle name="Total 19" xfId="6643" xr:uid="{00000000-0005-0000-0000-0000F3190000}"/>
    <cellStyle name="Total 2" xfId="3259" xr:uid="{00000000-0005-0000-0000-0000BB0C0000}"/>
    <cellStyle name="Total 2 10" xfId="8733" xr:uid="{181112ED-C83C-4147-9270-A57CC1C50C25}"/>
    <cellStyle name="Total 2 2" xfId="3260" xr:uid="{00000000-0005-0000-0000-0000BC0C0000}"/>
    <cellStyle name="Total 2 2 2" xfId="6644" xr:uid="{00000000-0005-0000-0000-0000F4190000}"/>
    <cellStyle name="Total 2 2 2 2" xfId="10515" xr:uid="{3418CB20-56D8-4D6B-BA1C-FB59D1D615A3}"/>
    <cellStyle name="Total 2 2 3" xfId="8734" xr:uid="{F9A0D811-725E-481B-9CBE-257EF9DAA108}"/>
    <cellStyle name="Total 2 3" xfId="3261" xr:uid="{00000000-0005-0000-0000-0000BD0C0000}"/>
    <cellStyle name="Total 2 3 2" xfId="6645" xr:uid="{00000000-0005-0000-0000-0000F5190000}"/>
    <cellStyle name="Total 2 3 2 2" xfId="10516" xr:uid="{B1E6550B-111E-4C8C-AB2F-8E11A1E20CF4}"/>
    <cellStyle name="Total 2 3 3" xfId="8735" xr:uid="{F65A05A2-C0D2-42B5-9F82-E24441643D91}"/>
    <cellStyle name="Total 2 4" xfId="3262" xr:uid="{00000000-0005-0000-0000-0000BE0C0000}"/>
    <cellStyle name="Total 2 4 2" xfId="6646" xr:uid="{00000000-0005-0000-0000-0000F6190000}"/>
    <cellStyle name="Total 2 4 2 2" xfId="10517" xr:uid="{59407B37-0F81-4092-8DB7-8218BF5A1AF1}"/>
    <cellStyle name="Total 2 4 3" xfId="8736" xr:uid="{14AE724C-6B7A-466E-82CC-7787EAE3829E}"/>
    <cellStyle name="Total 2 5" xfId="3263" xr:uid="{00000000-0005-0000-0000-0000BF0C0000}"/>
    <cellStyle name="Total 2 5 2" xfId="6647" xr:uid="{00000000-0005-0000-0000-0000F7190000}"/>
    <cellStyle name="Total 2 5 2 2" xfId="10518" xr:uid="{575747B5-FEB7-43BD-A2C9-35612FB92BB1}"/>
    <cellStyle name="Total 2 5 3" xfId="8737" xr:uid="{CA4BA9DD-EC86-4D36-8177-6D72AE5A469F}"/>
    <cellStyle name="Total 2 6" xfId="3264" xr:uid="{00000000-0005-0000-0000-0000C00C0000}"/>
    <cellStyle name="Total 2 6 2" xfId="6648" xr:uid="{00000000-0005-0000-0000-0000F8190000}"/>
    <cellStyle name="Total 2 6 2 2" xfId="10519" xr:uid="{1F08BAA1-0CB1-413C-8350-71C70F72FE2B}"/>
    <cellStyle name="Total 2 6 3" xfId="8738" xr:uid="{774EF555-FA18-43C2-92A2-3B6199B4FB4C}"/>
    <cellStyle name="Total 2 7" xfId="6649" xr:uid="{00000000-0005-0000-0000-0000F9190000}"/>
    <cellStyle name="Total 2 7 2" xfId="10520" xr:uid="{35FF081B-4F51-45CD-A44B-224A68E03F75}"/>
    <cellStyle name="Total 2 8" xfId="6650" xr:uid="{00000000-0005-0000-0000-0000FA190000}"/>
    <cellStyle name="Total 2 8 2" xfId="6651" xr:uid="{00000000-0005-0000-0000-0000FB190000}"/>
    <cellStyle name="Total 2 8 2 2" xfId="10522" xr:uid="{AD3798B4-E463-434C-AE76-3A1E77E6FA72}"/>
    <cellStyle name="Total 2 8 3" xfId="10521" xr:uid="{060CE42D-5D92-4F4B-A0E4-3C6C1D261FF1}"/>
    <cellStyle name="Total 2 9" xfId="6652" xr:uid="{00000000-0005-0000-0000-0000FC190000}"/>
    <cellStyle name="Total 2 9 2" xfId="10523" xr:uid="{29E7F8A1-6BAB-4437-B27F-E9CD30669F2B}"/>
    <cellStyle name="Total 2_GRUPO4Q-2009 COMPLETO" xfId="3665" xr:uid="{00000000-0005-0000-0000-0000510E0000}"/>
    <cellStyle name="Total 20" xfId="6653" xr:uid="{00000000-0005-0000-0000-0000FD190000}"/>
    <cellStyle name="Total 21" xfId="6654" xr:uid="{00000000-0005-0000-0000-0000FE190000}"/>
    <cellStyle name="Total 21 2" xfId="6655" xr:uid="{00000000-0005-0000-0000-0000FF190000}"/>
    <cellStyle name="Total 22" xfId="6656" xr:uid="{00000000-0005-0000-0000-0000001A0000}"/>
    <cellStyle name="Total 22 2" xfId="6657" xr:uid="{00000000-0005-0000-0000-0000011A0000}"/>
    <cellStyle name="Total 23" xfId="6658" xr:uid="{00000000-0005-0000-0000-0000021A0000}"/>
    <cellStyle name="Total 23 2" xfId="6659" xr:uid="{00000000-0005-0000-0000-0000031A0000}"/>
    <cellStyle name="Total 24" xfId="6660" xr:uid="{00000000-0005-0000-0000-0000041A0000}"/>
    <cellStyle name="Total 24 2" xfId="6661" xr:uid="{00000000-0005-0000-0000-0000051A0000}"/>
    <cellStyle name="Total 25" xfId="6662" xr:uid="{00000000-0005-0000-0000-0000061A0000}"/>
    <cellStyle name="Total 25 2" xfId="6663" xr:uid="{00000000-0005-0000-0000-0000071A0000}"/>
    <cellStyle name="Total 25 2 2" xfId="10525" xr:uid="{7F23E021-2137-47EF-B51E-0D4F97506016}"/>
    <cellStyle name="Total 25 3" xfId="10524" xr:uid="{F2F16898-50B7-49D3-8526-6CECA04E85E1}"/>
    <cellStyle name="Total 26" xfId="6664" xr:uid="{00000000-0005-0000-0000-0000081A0000}"/>
    <cellStyle name="Total 3" xfId="3265" xr:uid="{00000000-0005-0000-0000-0000C10C0000}"/>
    <cellStyle name="Total 3 2" xfId="3266" xr:uid="{00000000-0005-0000-0000-0000C20C0000}"/>
    <cellStyle name="Total 3 2 2" xfId="6665" xr:uid="{00000000-0005-0000-0000-0000091A0000}"/>
    <cellStyle name="Total 3 2 2 2" xfId="10526" xr:uid="{9F7CFAD8-35AB-44C0-954D-2A54DBFAB0EE}"/>
    <cellStyle name="Total 3 2 3" xfId="8740" xr:uid="{C21E0239-FE16-47B3-934A-D7EB6F3F1F7E}"/>
    <cellStyle name="Total 3 3" xfId="3267" xr:uid="{00000000-0005-0000-0000-0000C30C0000}"/>
    <cellStyle name="Total 3 3 2" xfId="6666" xr:uid="{00000000-0005-0000-0000-00000A1A0000}"/>
    <cellStyle name="Total 3 3 2 2" xfId="10527" xr:uid="{FE010604-6599-4B8C-B935-6E1CE066EDDE}"/>
    <cellStyle name="Total 3 3 3" xfId="8741" xr:uid="{DF63B772-AF6F-47DB-9F62-5132712597BB}"/>
    <cellStyle name="Total 3 4" xfId="3268" xr:uid="{00000000-0005-0000-0000-0000C40C0000}"/>
    <cellStyle name="Total 3 4 2" xfId="6667" xr:uid="{00000000-0005-0000-0000-00000B1A0000}"/>
    <cellStyle name="Total 3 4 2 2" xfId="10528" xr:uid="{4C8E786F-B80F-4F1F-9300-CEBB53DF5334}"/>
    <cellStyle name="Total 3 4 3" xfId="8742" xr:uid="{7B348C3A-8E8F-4E1B-BFC1-ED18E027C131}"/>
    <cellStyle name="Total 3 5" xfId="3269" xr:uid="{00000000-0005-0000-0000-0000C50C0000}"/>
    <cellStyle name="Total 3 5 2" xfId="6668" xr:uid="{00000000-0005-0000-0000-00000C1A0000}"/>
    <cellStyle name="Total 3 5 2 2" xfId="10529" xr:uid="{93809E98-E98C-46D6-A34A-E1CDB6CC9C66}"/>
    <cellStyle name="Total 3 5 3" xfId="8743" xr:uid="{772E54B4-9CEE-4E0C-ABD6-91737CD080DF}"/>
    <cellStyle name="Total 3 6" xfId="3270" xr:uid="{00000000-0005-0000-0000-0000C60C0000}"/>
    <cellStyle name="Total 3 6 2" xfId="6669" xr:uid="{00000000-0005-0000-0000-00000D1A0000}"/>
    <cellStyle name="Total 3 6 2 2" xfId="10530" xr:uid="{0930B02E-B35F-4689-8AB8-86670176CD3C}"/>
    <cellStyle name="Total 3 6 3" xfId="8744" xr:uid="{86B0CDA2-1848-4FB2-9D95-145493D3CB98}"/>
    <cellStyle name="Total 3 7" xfId="6670" xr:uid="{00000000-0005-0000-0000-00000E1A0000}"/>
    <cellStyle name="Total 3 7 2" xfId="10531" xr:uid="{BE42878C-6F4A-4E2E-8DB1-D2D7F4B8F188}"/>
    <cellStyle name="Total 3 8" xfId="8739" xr:uid="{450B0FB6-FD51-4448-B385-169634EE20CC}"/>
    <cellStyle name="Total 3_GRUPO4Q-2009 COMPLETO" xfId="3666" xr:uid="{00000000-0005-0000-0000-0000520E0000}"/>
    <cellStyle name="Total 4" xfId="3271" xr:uid="{00000000-0005-0000-0000-0000C70C0000}"/>
    <cellStyle name="Total 4 2" xfId="3272" xr:uid="{00000000-0005-0000-0000-0000C80C0000}"/>
    <cellStyle name="Total 4 2 2" xfId="6671" xr:uid="{00000000-0005-0000-0000-00000F1A0000}"/>
    <cellStyle name="Total 4 2 2 2" xfId="10532" xr:uid="{989657C8-A854-4735-9BA6-109288EBFD0D}"/>
    <cellStyle name="Total 4 2 3" xfId="8746" xr:uid="{07561215-8E24-4FB1-93F7-042760C66A98}"/>
    <cellStyle name="Total 4 3" xfId="3273" xr:uid="{00000000-0005-0000-0000-0000C90C0000}"/>
    <cellStyle name="Total 4 3 2" xfId="6672" xr:uid="{00000000-0005-0000-0000-0000101A0000}"/>
    <cellStyle name="Total 4 3 2 2" xfId="10533" xr:uid="{34F3271D-AC6C-4630-BE5F-46F167DB07AA}"/>
    <cellStyle name="Total 4 3 3" xfId="8747" xr:uid="{989C182D-5BF1-43F9-A5BC-A685D2EDFEE1}"/>
    <cellStyle name="Total 4 4" xfId="3274" xr:uid="{00000000-0005-0000-0000-0000CA0C0000}"/>
    <cellStyle name="Total 4 4 2" xfId="6673" xr:uid="{00000000-0005-0000-0000-0000111A0000}"/>
    <cellStyle name="Total 4 4 2 2" xfId="10534" xr:uid="{7B60EF49-2425-47EF-AE2C-CDD42B8D2344}"/>
    <cellStyle name="Total 4 4 3" xfId="8748" xr:uid="{F28FF7E1-4B8F-472C-9D4F-0F7548978D95}"/>
    <cellStyle name="Total 4 5" xfId="3275" xr:uid="{00000000-0005-0000-0000-0000CB0C0000}"/>
    <cellStyle name="Total 4 5 2" xfId="6674" xr:uid="{00000000-0005-0000-0000-0000121A0000}"/>
    <cellStyle name="Total 4 5 2 2" xfId="10535" xr:uid="{AAE7F306-672B-4C39-B6B3-7FF41ED91504}"/>
    <cellStyle name="Total 4 5 3" xfId="8749" xr:uid="{D7CA2DF5-ABE7-4F66-B49B-AFA13BE3E3C9}"/>
    <cellStyle name="Total 4 6" xfId="3276" xr:uid="{00000000-0005-0000-0000-0000CC0C0000}"/>
    <cellStyle name="Total 4 6 2" xfId="6675" xr:uid="{00000000-0005-0000-0000-0000131A0000}"/>
    <cellStyle name="Total 4 6 2 2" xfId="10536" xr:uid="{9FC4EE99-CA59-48A9-AB1F-E6401B4421D2}"/>
    <cellStyle name="Total 4 6 3" xfId="8750" xr:uid="{970B3851-9A18-41B8-AF86-FC5C090EF7E5}"/>
    <cellStyle name="Total 4 7" xfId="6676" xr:uid="{00000000-0005-0000-0000-0000141A0000}"/>
    <cellStyle name="Total 4 7 2" xfId="10537" xr:uid="{66E36DDE-F3EB-445D-BCE8-8AB4BD997528}"/>
    <cellStyle name="Total 4 8" xfId="8745" xr:uid="{7923C05B-0095-4514-8C00-5B83FCEA7332}"/>
    <cellStyle name="Total 5" xfId="3277" xr:uid="{00000000-0005-0000-0000-0000CD0C0000}"/>
    <cellStyle name="Total 5 2" xfId="6677" xr:uid="{00000000-0005-0000-0000-0000151A0000}"/>
    <cellStyle name="Total 5 2 2" xfId="10538" xr:uid="{23D20F36-558C-4B33-A324-E2E9BDA29A93}"/>
    <cellStyle name="Total 5 3" xfId="8751" xr:uid="{02361A6B-1DA5-4B03-8905-FE49E0E8304C}"/>
    <cellStyle name="Total 6" xfId="3278" xr:uid="{00000000-0005-0000-0000-0000CE0C0000}"/>
    <cellStyle name="Total 6 2" xfId="6678" xr:uid="{00000000-0005-0000-0000-0000161A0000}"/>
    <cellStyle name="Total 6 2 2" xfId="10539" xr:uid="{CEF4DBEB-1918-4A6E-876C-ECF40E634918}"/>
    <cellStyle name="Total 6 3" xfId="8752" xr:uid="{4997E9CD-5ECD-494E-B09B-A73FE00E18BD}"/>
    <cellStyle name="Total 7" xfId="3279" xr:uid="{00000000-0005-0000-0000-0000CF0C0000}"/>
    <cellStyle name="Total 7 2" xfId="6679" xr:uid="{00000000-0005-0000-0000-0000171A0000}"/>
    <cellStyle name="Total 7 2 2" xfId="10540" xr:uid="{21A54873-B59C-4C7C-A230-D39C59A20B0D}"/>
    <cellStyle name="Total 7 3" xfId="8753" xr:uid="{4958D538-A671-4174-B1F2-EBFC31640818}"/>
    <cellStyle name="Total 8" xfId="3280" xr:uid="{00000000-0005-0000-0000-0000D00C0000}"/>
    <cellStyle name="Total 8 2" xfId="6680" xr:uid="{00000000-0005-0000-0000-0000181A0000}"/>
    <cellStyle name="Total 8 2 2" xfId="10541" xr:uid="{94996091-6A0E-458F-8A9A-00047CBBFE71}"/>
    <cellStyle name="Total 8 3" xfId="8754" xr:uid="{E3CF8BAA-83D9-47BC-AED9-84F2A22E2D67}"/>
    <cellStyle name="Total 9" xfId="3281" xr:uid="{00000000-0005-0000-0000-0000D10C0000}"/>
    <cellStyle name="Total 9 2" xfId="6681" xr:uid="{00000000-0005-0000-0000-0000191A0000}"/>
    <cellStyle name="Total 9 2 2" xfId="10542" xr:uid="{53580935-23D2-4987-9D15-AB4A224D306E}"/>
    <cellStyle name="Total 9 3" xfId="8755" xr:uid="{C19FA7B5-4236-4125-8B49-8F7F8F93DF99}"/>
    <cellStyle name="Total2" xfId="3282" xr:uid="{00000000-0005-0000-0000-0000D20C0000}"/>
    <cellStyle name="Total2 2" xfId="8756" xr:uid="{F081AE8A-316D-4371-8892-D9795D1F3A26}"/>
    <cellStyle name="veces" xfId="3283" xr:uid="{00000000-0005-0000-0000-0000D30C0000}"/>
    <cellStyle name="veces 2" xfId="3284" xr:uid="{00000000-0005-0000-0000-0000D40C0000}"/>
    <cellStyle name="veces 2 2" xfId="3285" xr:uid="{00000000-0005-0000-0000-0000D50C0000}"/>
    <cellStyle name="veces 2 2 2" xfId="6682" xr:uid="{00000000-0005-0000-0000-00001A1A0000}"/>
    <cellStyle name="veces 2 3" xfId="3286" xr:uid="{00000000-0005-0000-0000-0000D60C0000}"/>
    <cellStyle name="veces 2 3 2" xfId="6683" xr:uid="{00000000-0005-0000-0000-00001B1A0000}"/>
    <cellStyle name="veces 2 4" xfId="3287" xr:uid="{00000000-0005-0000-0000-0000D70C0000}"/>
    <cellStyle name="veces 2 4 2" xfId="6684" xr:uid="{00000000-0005-0000-0000-00001C1A0000}"/>
    <cellStyle name="veces 2 5" xfId="3288" xr:uid="{00000000-0005-0000-0000-0000D80C0000}"/>
    <cellStyle name="veces 2 5 2" xfId="6685" xr:uid="{00000000-0005-0000-0000-00001D1A0000}"/>
    <cellStyle name="veces 2 6" xfId="3289" xr:uid="{00000000-0005-0000-0000-0000D90C0000}"/>
    <cellStyle name="veces 2 6 2" xfId="6686" xr:uid="{00000000-0005-0000-0000-00001E1A0000}"/>
    <cellStyle name="veces 2 7" xfId="6687" xr:uid="{00000000-0005-0000-0000-00001F1A0000}"/>
    <cellStyle name="veces 3" xfId="3290" xr:uid="{00000000-0005-0000-0000-0000DA0C0000}"/>
    <cellStyle name="veces 3 2" xfId="3291" xr:uid="{00000000-0005-0000-0000-0000DB0C0000}"/>
    <cellStyle name="veces 3 2 2" xfId="6688" xr:uid="{00000000-0005-0000-0000-0000201A0000}"/>
    <cellStyle name="veces 3 3" xfId="3292" xr:uid="{00000000-0005-0000-0000-0000DC0C0000}"/>
    <cellStyle name="veces 3 3 2" xfId="6689" xr:uid="{00000000-0005-0000-0000-0000211A0000}"/>
    <cellStyle name="veces 3 4" xfId="3293" xr:uid="{00000000-0005-0000-0000-0000DD0C0000}"/>
    <cellStyle name="veces 3 4 2" xfId="6690" xr:uid="{00000000-0005-0000-0000-0000221A0000}"/>
    <cellStyle name="veces 3 5" xfId="3294" xr:uid="{00000000-0005-0000-0000-0000DE0C0000}"/>
    <cellStyle name="veces 3 5 2" xfId="6691" xr:uid="{00000000-0005-0000-0000-0000231A0000}"/>
    <cellStyle name="veces 3 6" xfId="3295" xr:uid="{00000000-0005-0000-0000-0000DF0C0000}"/>
    <cellStyle name="veces 3 6 2" xfId="6692" xr:uid="{00000000-0005-0000-0000-0000241A0000}"/>
    <cellStyle name="veces 3 7" xfId="6693" xr:uid="{00000000-0005-0000-0000-0000251A0000}"/>
    <cellStyle name="veces 4" xfId="3296" xr:uid="{00000000-0005-0000-0000-0000E00C0000}"/>
    <cellStyle name="veces 4 2" xfId="3297" xr:uid="{00000000-0005-0000-0000-0000E10C0000}"/>
    <cellStyle name="veces 4 2 2" xfId="6694" xr:uid="{00000000-0005-0000-0000-0000261A0000}"/>
    <cellStyle name="veces 4 3" xfId="3298" xr:uid="{00000000-0005-0000-0000-0000E20C0000}"/>
    <cellStyle name="veces 4 3 2" xfId="6695" xr:uid="{00000000-0005-0000-0000-0000271A0000}"/>
    <cellStyle name="veces 4 4" xfId="3299" xr:uid="{00000000-0005-0000-0000-0000E30C0000}"/>
    <cellStyle name="veces 4 4 2" xfId="6696" xr:uid="{00000000-0005-0000-0000-0000281A0000}"/>
    <cellStyle name="veces 4 5" xfId="3300" xr:uid="{00000000-0005-0000-0000-0000E40C0000}"/>
    <cellStyle name="veces 4 5 2" xfId="6697" xr:uid="{00000000-0005-0000-0000-0000291A0000}"/>
    <cellStyle name="veces 4 6" xfId="3301" xr:uid="{00000000-0005-0000-0000-0000E50C0000}"/>
    <cellStyle name="veces 4 6 2" xfId="6698" xr:uid="{00000000-0005-0000-0000-00002A1A0000}"/>
    <cellStyle name="veces 4 7" xfId="6699" xr:uid="{00000000-0005-0000-0000-00002B1A0000}"/>
    <cellStyle name="veces 5" xfId="6700" xr:uid="{00000000-0005-0000-0000-00002C1A0000}"/>
    <cellStyle name="Vírgula 13" xfId="18" xr:uid="{00000000-0005-0000-0000-000012000000}"/>
    <cellStyle name="Vírgula 13 2" xfId="6898" xr:uid="{00000000-0005-0000-0000-0000F21A0000}"/>
    <cellStyle name="Vírgula 13 2 2" xfId="7539" xr:uid="{00000000-0005-0000-0000-0000731D0000}"/>
    <cellStyle name="Vírgula 13 2 2 2" xfId="11379" xr:uid="{C12FB3D3-5C4F-4B5F-9019-30E468D8E636}"/>
    <cellStyle name="Vírgula 13 2 3" xfId="10738" xr:uid="{FE7FA68A-7B56-406D-9CA1-00E72D1A7EF0}"/>
    <cellStyle name="Vírgula 13 3" xfId="28" xr:uid="{00000000-0005-0000-0000-00001C000000}"/>
    <cellStyle name="Vírgula 13 3 2" xfId="7869" xr:uid="{E396926E-247B-4320-B412-58AD5DF3C2A1}"/>
    <cellStyle name="Vírgula 13 3 2 2" xfId="11706" xr:uid="{4EECC4FF-3BE8-4F92-96CF-0489733356F4}"/>
    <cellStyle name="Vírgula 13 3 3" xfId="11709" xr:uid="{0CCBCB1F-ACF5-429B-BEF0-EDC1D3833B62}"/>
    <cellStyle name="Vírgula 13 3 4" xfId="7885" xr:uid="{2040EA32-ABC9-40F4-B39E-70A3D2DE6DFE}"/>
    <cellStyle name="Vírgula 2" xfId="7867" xr:uid="{00000000-0005-0000-0000-0000BB1E0000}"/>
    <cellStyle name="Vírgula 2 2" xfId="11705" xr:uid="{E947541D-6677-4EB7-B1C9-3A368493F90A}"/>
  </cellStyles>
  <dxfs count="0"/>
  <tableStyles count="0" defaultTableStyle="TableStyleMedium2" defaultPivotStyle="PivotStyleLight16"/>
  <colors>
    <mruColors>
      <color rgb="FF0030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sharedStrings" Target="sharedStrings.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620230</xdr:colOff>
      <xdr:row>7</xdr:row>
      <xdr:rowOff>134936</xdr:rowOff>
    </xdr:to>
    <xdr:pic>
      <xdr:nvPicPr>
        <xdr:cNvPr id="16" name="Imagen 15">
          <a:extLst>
            <a:ext uri="{FF2B5EF4-FFF2-40B4-BE49-F238E27FC236}">
              <a16:creationId xmlns:a16="http://schemas.microsoft.com/office/drawing/2014/main" id="{D737471B-5CB7-4D82-9476-87D2DEE1C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1730" cy="1428027"/>
        </a:xfrm>
        <a:prstGeom prst="rect">
          <a:avLst/>
        </a:prstGeom>
      </xdr:spPr>
    </xdr:pic>
    <xdr:clientData/>
  </xdr:twoCellAnchor>
  <xdr:twoCellAnchor editAs="oneCell">
    <xdr:from>
      <xdr:col>4</xdr:col>
      <xdr:colOff>655782</xdr:colOff>
      <xdr:row>0</xdr:row>
      <xdr:rowOff>0</xdr:rowOff>
    </xdr:from>
    <xdr:to>
      <xdr:col>7</xdr:col>
      <xdr:colOff>638586</xdr:colOff>
      <xdr:row>7</xdr:row>
      <xdr:rowOff>136025</xdr:rowOff>
    </xdr:to>
    <xdr:pic>
      <xdr:nvPicPr>
        <xdr:cNvPr id="17" name="Imagen 16">
          <a:extLst>
            <a:ext uri="{FF2B5EF4-FFF2-40B4-BE49-F238E27FC236}">
              <a16:creationId xmlns:a16="http://schemas.microsoft.com/office/drawing/2014/main" id="{C68FCB05-3A87-4032-929B-B644A616D5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7282" y="0"/>
          <a:ext cx="2390031" cy="1429116"/>
        </a:xfrm>
        <a:prstGeom prst="rect">
          <a:avLst/>
        </a:prstGeom>
      </xdr:spPr>
    </xdr:pic>
    <xdr:clientData/>
  </xdr:twoCellAnchor>
  <xdr:twoCellAnchor editAs="oneCell">
    <xdr:from>
      <xdr:col>13</xdr:col>
      <xdr:colOff>502853</xdr:colOff>
      <xdr:row>0</xdr:row>
      <xdr:rowOff>0</xdr:rowOff>
    </xdr:from>
    <xdr:to>
      <xdr:col>16</xdr:col>
      <xdr:colOff>59676</xdr:colOff>
      <xdr:row>7</xdr:row>
      <xdr:rowOff>134936</xdr:rowOff>
    </xdr:to>
    <xdr:pic>
      <xdr:nvPicPr>
        <xdr:cNvPr id="18" name="Imagen 17">
          <a:extLst>
            <a:ext uri="{FF2B5EF4-FFF2-40B4-BE49-F238E27FC236}">
              <a16:creationId xmlns:a16="http://schemas.microsoft.com/office/drawing/2014/main" id="{B4F7CC8E-112A-464E-BF5C-46105F0399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2126" y="0"/>
          <a:ext cx="1964050" cy="1428027"/>
        </a:xfrm>
        <a:prstGeom prst="rect">
          <a:avLst/>
        </a:prstGeom>
      </xdr:spPr>
    </xdr:pic>
    <xdr:clientData/>
  </xdr:twoCellAnchor>
  <xdr:twoCellAnchor editAs="oneCell">
    <xdr:from>
      <xdr:col>7</xdr:col>
      <xdr:colOff>691500</xdr:colOff>
      <xdr:row>0</xdr:row>
      <xdr:rowOff>19050</xdr:rowOff>
    </xdr:from>
    <xdr:to>
      <xdr:col>10</xdr:col>
      <xdr:colOff>651812</xdr:colOff>
      <xdr:row>7</xdr:row>
      <xdr:rowOff>153987</xdr:rowOff>
    </xdr:to>
    <xdr:pic>
      <xdr:nvPicPr>
        <xdr:cNvPr id="19" name="Imagen 18">
          <a:extLst>
            <a:ext uri="{FF2B5EF4-FFF2-40B4-BE49-F238E27FC236}">
              <a16:creationId xmlns:a16="http://schemas.microsoft.com/office/drawing/2014/main" id="{20C5D064-AE78-4D78-917A-AE7EE5082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40227" y="19050"/>
          <a:ext cx="2367540" cy="1428028"/>
        </a:xfrm>
        <a:prstGeom prst="rect">
          <a:avLst/>
        </a:prstGeom>
      </xdr:spPr>
    </xdr:pic>
    <xdr:clientData/>
  </xdr:twoCellAnchor>
  <xdr:twoCellAnchor editAs="oneCell">
    <xdr:from>
      <xdr:col>10</xdr:col>
      <xdr:colOff>702877</xdr:colOff>
      <xdr:row>0</xdr:row>
      <xdr:rowOff>25400</xdr:rowOff>
    </xdr:from>
    <xdr:to>
      <xdr:col>13</xdr:col>
      <xdr:colOff>464752</xdr:colOff>
      <xdr:row>7</xdr:row>
      <xdr:rowOff>160336</xdr:rowOff>
    </xdr:to>
    <xdr:pic>
      <xdr:nvPicPr>
        <xdr:cNvPr id="20" name="Imagen 19">
          <a:extLst>
            <a:ext uri="{FF2B5EF4-FFF2-40B4-BE49-F238E27FC236}">
              <a16:creationId xmlns:a16="http://schemas.microsoft.com/office/drawing/2014/main" id="{65146564-BA7C-4F3B-9893-1F4A0ED4C6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54922" y="25400"/>
          <a:ext cx="2169102" cy="1428027"/>
        </a:xfrm>
        <a:prstGeom prst="rect">
          <a:avLst/>
        </a:prstGeom>
      </xdr:spPr>
    </xdr:pic>
    <xdr:clientData/>
  </xdr:twoCellAnchor>
  <xdr:twoCellAnchor editAs="oneCell">
    <xdr:from>
      <xdr:col>13</xdr:col>
      <xdr:colOff>131194</xdr:colOff>
      <xdr:row>7</xdr:row>
      <xdr:rowOff>67137</xdr:rowOff>
    </xdr:from>
    <xdr:to>
      <xdr:col>14</xdr:col>
      <xdr:colOff>758134</xdr:colOff>
      <xdr:row>11</xdr:row>
      <xdr:rowOff>72977</xdr:rowOff>
    </xdr:to>
    <xdr:pic>
      <xdr:nvPicPr>
        <xdr:cNvPr id="21" name="Imagen 20">
          <a:extLst>
            <a:ext uri="{FF2B5EF4-FFF2-40B4-BE49-F238E27FC236}">
              <a16:creationId xmlns:a16="http://schemas.microsoft.com/office/drawing/2014/main" id="{062565C5-33ED-4DCB-AAD1-02741F454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4376" y="1360228"/>
          <a:ext cx="1448399" cy="74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2" name="Imagen 1">
          <a:extLst>
            <a:ext uri="{FF2B5EF4-FFF2-40B4-BE49-F238E27FC236}">
              <a16:creationId xmlns:a16="http://schemas.microsoft.com/office/drawing/2014/main" id="{83FFD8CE-A1AC-4750-AB62-6E9711C6001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438596" y="0"/>
          <a:ext cx="1356658" cy="727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39051</xdr:rowOff>
    </xdr:to>
    <xdr:pic>
      <xdr:nvPicPr>
        <xdr:cNvPr id="2" name="Imagen 1">
          <a:extLst>
            <a:ext uri="{FF2B5EF4-FFF2-40B4-BE49-F238E27FC236}">
              <a16:creationId xmlns:a16="http://schemas.microsoft.com/office/drawing/2014/main" id="{4F2342E5-BF93-4B8E-8CDF-5430FF0114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2575" y="0"/>
          <a:ext cx="1895475" cy="10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707570</xdr:colOff>
      <xdr:row>0</xdr:row>
      <xdr:rowOff>0</xdr:rowOff>
    </xdr:from>
    <xdr:to>
      <xdr:col>13</xdr:col>
      <xdr:colOff>723441</xdr:colOff>
      <xdr:row>4</xdr:row>
      <xdr:rowOff>85725</xdr:rowOff>
    </xdr:to>
    <xdr:pic>
      <xdr:nvPicPr>
        <xdr:cNvPr id="2" name="Imagen 1">
          <a:extLst>
            <a:ext uri="{FF2B5EF4-FFF2-40B4-BE49-F238E27FC236}">
              <a16:creationId xmlns:a16="http://schemas.microsoft.com/office/drawing/2014/main" id="{3E338C5C-A95D-47F6-9AFF-9069472977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28070" y="0"/>
          <a:ext cx="1454146" cy="8191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559594</xdr:colOff>
      <xdr:row>0</xdr:row>
      <xdr:rowOff>23813</xdr:rowOff>
    </xdr:from>
    <xdr:to>
      <xdr:col>12</xdr:col>
      <xdr:colOff>23165</xdr:colOff>
      <xdr:row>4</xdr:row>
      <xdr:rowOff>30957</xdr:rowOff>
    </xdr:to>
    <xdr:pic>
      <xdr:nvPicPr>
        <xdr:cNvPr id="2" name="Imagen 1">
          <a:extLst>
            <a:ext uri="{FF2B5EF4-FFF2-40B4-BE49-F238E27FC236}">
              <a16:creationId xmlns:a16="http://schemas.microsoft.com/office/drawing/2014/main" id="{1ACD0FA3-B73F-4609-A058-8134C16757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58375" y="23813"/>
          <a:ext cx="1249509" cy="7334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1A71F63B-D823-4CDB-882C-98614CD73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9773" y="0"/>
          <a:ext cx="1725726" cy="88463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736600</xdr:colOff>
      <xdr:row>4</xdr:row>
      <xdr:rowOff>154231</xdr:rowOff>
    </xdr:to>
    <xdr:pic>
      <xdr:nvPicPr>
        <xdr:cNvPr id="2" name="Imagen 1">
          <a:extLst>
            <a:ext uri="{FF2B5EF4-FFF2-40B4-BE49-F238E27FC236}">
              <a16:creationId xmlns:a16="http://schemas.microsoft.com/office/drawing/2014/main" id="{2EDF1CF8-DFB0-4FAD-A20A-BC935399ED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41461" y="45720"/>
          <a:ext cx="1634489" cy="8451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 val="10"/>
      <sheetName val="Colombia CE"/>
      <sheetName val="Responsables"/>
      <sheetName val="Impuestos (3)"/>
      <sheetName val="Conc. IFRS vs L.Trib"/>
      <sheetName val="Balance 2016"/>
      <sheetName val="Balances 2015"/>
      <sheetName val="Impuestos (2)"/>
      <sheetName val="Impuestos"/>
      <sheetName val="ingra8"/>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5.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4.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6.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N55"/>
  <sheetViews>
    <sheetView showGridLines="0" tabSelected="1" zoomScale="110" zoomScaleNormal="110" workbookViewId="0">
      <selection activeCell="C9" sqref="C9"/>
    </sheetView>
  </sheetViews>
  <sheetFormatPr baseColWidth="10" defaultColWidth="11.42578125" defaultRowHeight="15"/>
  <cols>
    <col min="1" max="1" width="3.28515625" style="135" customWidth="1"/>
    <col min="2" max="2" width="3.42578125" customWidth="1"/>
    <col min="3" max="3" width="11.42578125" customWidth="1"/>
  </cols>
  <sheetData>
    <row r="1" spans="2:14" s="135" customFormat="1"/>
    <row r="2" spans="2:14" s="135" customFormat="1"/>
    <row r="3" spans="2:14" s="135" customFormat="1"/>
    <row r="4" spans="2:14" s="135" customFormat="1"/>
    <row r="5" spans="2:14" s="135" customFormat="1"/>
    <row r="6" spans="2:14" s="135" customFormat="1"/>
    <row r="7" spans="2:14" s="135" customFormat="1"/>
    <row r="8" spans="2:14" s="135" customFormat="1">
      <c r="C8" s="218" t="s">
        <v>628</v>
      </c>
      <c r="D8" s="218"/>
      <c r="E8" s="218"/>
      <c r="F8" s="218"/>
      <c r="G8" s="218"/>
      <c r="H8" s="218"/>
      <c r="I8" s="218"/>
      <c r="J8" s="218"/>
      <c r="K8" s="218"/>
      <c r="L8" s="218"/>
      <c r="M8" s="218"/>
      <c r="N8" s="218"/>
    </row>
    <row r="9" spans="2:14" s="135" customFormat="1">
      <c r="C9" s="219" t="s">
        <v>1240</v>
      </c>
    </row>
    <row r="10" spans="2:14" s="135" customFormat="1">
      <c r="C10" s="5" t="s">
        <v>629</v>
      </c>
    </row>
    <row r="11" spans="2:14" s="135" customFormat="1">
      <c r="C11" s="220"/>
    </row>
    <row r="12" spans="2:14" s="135" customFormat="1">
      <c r="B12" s="327" t="s">
        <v>630</v>
      </c>
      <c r="C12" s="328"/>
      <c r="D12" s="328"/>
      <c r="E12" s="329"/>
      <c r="F12" s="329"/>
      <c r="G12" s="329"/>
      <c r="H12" s="329"/>
      <c r="I12" s="329"/>
      <c r="J12" s="329"/>
      <c r="K12" s="329"/>
      <c r="L12" s="329"/>
      <c r="M12" s="329"/>
    </row>
    <row r="13" spans="2:14" s="221" customFormat="1">
      <c r="C13" s="222"/>
      <c r="D13" s="223"/>
      <c r="E13" s="223"/>
      <c r="F13" s="223"/>
      <c r="G13" s="223"/>
      <c r="H13" s="223"/>
      <c r="I13" s="223"/>
      <c r="J13" s="223"/>
      <c r="K13" s="223"/>
      <c r="L13" s="223"/>
      <c r="M13" s="223"/>
      <c r="N13" s="223"/>
    </row>
    <row r="14" spans="2:14" ht="15.75" thickBot="1">
      <c r="B14" s="2" t="s">
        <v>0</v>
      </c>
      <c r="F14" s="223"/>
    </row>
    <row r="15" spans="2:14" ht="15.75" thickTop="1">
      <c r="B15" s="3" t="s">
        <v>631</v>
      </c>
      <c r="F15" s="223"/>
    </row>
    <row r="16" spans="2:14">
      <c r="B16" s="3" t="s">
        <v>633</v>
      </c>
      <c r="F16" s="223"/>
    </row>
    <row r="17" spans="1:6" s="135" customFormat="1">
      <c r="B17" s="3"/>
      <c r="C17" s="3" t="s">
        <v>634</v>
      </c>
      <c r="F17" s="223"/>
    </row>
    <row r="18" spans="1:6" s="135" customFormat="1">
      <c r="B18" s="3"/>
      <c r="C18" s="3" t="s">
        <v>635</v>
      </c>
      <c r="F18" s="223"/>
    </row>
    <row r="19" spans="1:6" s="135" customFormat="1">
      <c r="B19" s="3"/>
      <c r="C19" s="3" t="s">
        <v>636</v>
      </c>
      <c r="F19" s="223"/>
    </row>
    <row r="20" spans="1:6" s="1" customFormat="1">
      <c r="A20" s="135"/>
      <c r="B20" s="3" t="s">
        <v>637</v>
      </c>
      <c r="F20" s="223"/>
    </row>
    <row r="21" spans="1:6" s="135" customFormat="1">
      <c r="B21" s="3" t="s">
        <v>483</v>
      </c>
      <c r="F21" s="223"/>
    </row>
    <row r="22" spans="1:6" s="1" customFormat="1">
      <c r="A22" s="135"/>
      <c r="B22" s="3" t="s">
        <v>638</v>
      </c>
      <c r="C22" s="221"/>
      <c r="D22" s="221"/>
      <c r="F22" s="223"/>
    </row>
    <row r="23" spans="1:6" s="135" customFormat="1">
      <c r="B23" s="3"/>
      <c r="C23" s="673" t="s">
        <v>639</v>
      </c>
      <c r="D23" s="221"/>
      <c r="F23" s="223"/>
    </row>
    <row r="24" spans="1:6" s="135" customFormat="1">
      <c r="B24" s="3"/>
      <c r="C24" s="673" t="s">
        <v>640</v>
      </c>
      <c r="D24" s="221"/>
      <c r="F24" s="223"/>
    </row>
    <row r="25" spans="1:6" s="135" customFormat="1">
      <c r="B25" s="3"/>
      <c r="C25" s="673" t="s">
        <v>641</v>
      </c>
      <c r="D25" s="221"/>
      <c r="F25" s="223"/>
    </row>
    <row r="26" spans="1:6" s="1" customFormat="1">
      <c r="A26" s="135"/>
      <c r="B26" s="3" t="s">
        <v>642</v>
      </c>
      <c r="F26" s="223"/>
    </row>
    <row r="27" spans="1:6" s="135" customFormat="1">
      <c r="B27" s="3" t="s">
        <v>1047</v>
      </c>
      <c r="F27" s="223"/>
    </row>
    <row r="28" spans="1:6" s="1" customFormat="1">
      <c r="A28" s="135"/>
      <c r="B28" s="3" t="s">
        <v>643</v>
      </c>
      <c r="F28" s="223"/>
    </row>
    <row r="29" spans="1:6" s="1" customFormat="1" ht="7.5" customHeight="1">
      <c r="A29" s="135"/>
      <c r="B29" s="3"/>
      <c r="F29" s="223"/>
    </row>
    <row r="30" spans="1:6" s="1" customFormat="1" ht="15.75" thickBot="1">
      <c r="A30" s="135"/>
      <c r="B30" s="4" t="s">
        <v>644</v>
      </c>
      <c r="F30" s="223"/>
    </row>
    <row r="31" spans="1:6" s="1" customFormat="1" ht="8.4499999999999993" customHeight="1" thickTop="1">
      <c r="A31" s="135"/>
      <c r="B31" s="3"/>
      <c r="F31" s="223"/>
    </row>
    <row r="32" spans="1:6" s="1" customFormat="1" ht="15.75" thickBot="1">
      <c r="A32" s="135"/>
      <c r="B32" s="4" t="s">
        <v>645</v>
      </c>
      <c r="F32" s="223"/>
    </row>
    <row r="33" spans="1:8" s="1" customFormat="1" ht="9.6" customHeight="1" thickTop="1">
      <c r="A33" s="135"/>
      <c r="B33" s="3"/>
      <c r="F33" s="223"/>
    </row>
    <row r="34" spans="1:8" s="1" customFormat="1" ht="15.75" thickBot="1">
      <c r="A34" s="135"/>
      <c r="B34" s="4" t="s">
        <v>646</v>
      </c>
      <c r="F34" s="223"/>
    </row>
    <row r="35" spans="1:8" s="1" customFormat="1" ht="9.6" customHeight="1" thickTop="1">
      <c r="A35" s="135"/>
      <c r="B35" s="3"/>
      <c r="F35" s="223"/>
    </row>
    <row r="36" spans="1:8" ht="15.75" thickBot="1">
      <c r="B36" s="4" t="s">
        <v>632</v>
      </c>
      <c r="F36" s="223"/>
    </row>
    <row r="37" spans="1:8" ht="8.4499999999999993" customHeight="1" thickTop="1">
      <c r="B37" s="1"/>
      <c r="F37" s="223"/>
    </row>
    <row r="38" spans="1:8" s="135" customFormat="1" ht="15.75" thickBot="1">
      <c r="B38" s="4" t="s">
        <v>996</v>
      </c>
      <c r="F38" s="223"/>
    </row>
    <row r="39" spans="1:8" s="135" customFormat="1" ht="9" customHeight="1" thickTop="1">
      <c r="F39" s="223"/>
    </row>
    <row r="40" spans="1:8" s="135" customFormat="1" ht="19.5" customHeight="1" thickBot="1">
      <c r="B40" s="4" t="s">
        <v>1172</v>
      </c>
      <c r="F40" s="223"/>
    </row>
    <row r="41" spans="1:8" s="135" customFormat="1" ht="5.0999999999999996" customHeight="1" thickTop="1">
      <c r="F41" s="223"/>
    </row>
    <row r="42" spans="1:8" s="1" customFormat="1" ht="15.75" thickBot="1">
      <c r="A42" s="135"/>
      <c r="B42" s="4" t="s">
        <v>647</v>
      </c>
      <c r="F42" s="223"/>
    </row>
    <row r="43" spans="1:8" s="1" customFormat="1" ht="7.5" customHeight="1" thickTop="1">
      <c r="A43" s="135"/>
      <c r="F43" s="223"/>
    </row>
    <row r="44" spans="1:8">
      <c r="B44" s="224" t="s">
        <v>1089</v>
      </c>
      <c r="C44" s="127"/>
      <c r="E44" s="135"/>
      <c r="F44" s="223"/>
    </row>
    <row r="45" spans="1:8" ht="9.6" customHeight="1">
      <c r="B45" s="1"/>
      <c r="E45" s="135"/>
      <c r="F45" s="223"/>
    </row>
    <row r="46" spans="1:8">
      <c r="B46" s="224" t="s">
        <v>1071</v>
      </c>
      <c r="F46" s="223"/>
    </row>
    <row r="47" spans="1:8">
      <c r="F47" s="223"/>
      <c r="G47" s="135"/>
    </row>
    <row r="48" spans="1:8">
      <c r="B48" s="224" t="s">
        <v>1171</v>
      </c>
      <c r="F48" s="223"/>
      <c r="G48" s="135"/>
      <c r="H48" s="135"/>
    </row>
    <row r="49" spans="6:7">
      <c r="F49" s="223"/>
      <c r="G49" s="135"/>
    </row>
    <row r="50" spans="6:7">
      <c r="F50" s="223"/>
    </row>
    <row r="51" spans="6:7">
      <c r="F51" s="223"/>
    </row>
    <row r="52" spans="6:7">
      <c r="F52" s="223"/>
    </row>
    <row r="53" spans="6:7">
      <c r="F53" s="223"/>
    </row>
    <row r="54" spans="6:7">
      <c r="F54" s="223"/>
    </row>
    <row r="55" spans="6:7">
      <c r="F55" s="223"/>
    </row>
  </sheetData>
  <hyperlinks>
    <hyperlink ref="B20" location="'FS ET Br'!A1" display="Quarterly financial statements ET Brazil" xr:uid="{00000000-0004-0000-0000-000002000000}"/>
    <hyperlink ref="B22" location="'FS ET Per'!A1" display="Quarterly financial statements ET Peru" xr:uid="{00000000-0004-0000-0000-000003000000}"/>
    <hyperlink ref="B26" location="'FS ET Ch'!A1" display="Quarterly financial statements ET Chile" xr:uid="{00000000-0004-0000-0000-000004000000}"/>
    <hyperlink ref="B28" location="'FS Road Ch'!A1" display="Quarterly financial statements Roads Chile" xr:uid="{00000000-0004-0000-0000-000005000000}"/>
    <hyperlink ref="B30" location="'Consolidated Debt Credits'!A1" display="Consolidated Debt Credits" xr:uid="{00000000-0004-0000-0000-000007000000}"/>
    <hyperlink ref="B34" location="CAPEX!A1" display="CAPEX" xr:uid="{00000000-0004-0000-0000-000008000000}"/>
    <hyperlink ref="B36" location="'Energy Regulation'!A1" display="Energy Regulation" xr:uid="{00000000-0004-0000-0000-000009000000}"/>
    <hyperlink ref="B32" location="'Consolidated Debt Bonds'!A1" display="Consolidated Debt Bonds" xr:uid="{00000000-0004-0000-0000-00000B000000}"/>
    <hyperlink ref="C19" location="'FS ET Colombia'!A183" display="Transelca" xr:uid="{00000000-0004-0000-0000-00000E000000}"/>
    <hyperlink ref="C23" location="'FS ET Per'!A6" display="Transmantaro" xr:uid="{00000000-0004-0000-0000-00000F000000}"/>
    <hyperlink ref="C24" location="'FS ET Per'!A88" display="REP" xr:uid="{00000000-0004-0000-0000-000010000000}"/>
    <hyperlink ref="C25" location="'FS ET Per'!A168" display="ISA Perú" xr:uid="{00000000-0004-0000-0000-000011000000}"/>
    <hyperlink ref="B21" location="RBSE!A1" display="RBSE" xr:uid="{00000000-0004-0000-0000-000014000000}"/>
    <hyperlink ref="C18" location="'FS ET Colombia'!A92" display="Intercolombia" xr:uid="{00000000-0004-0000-0000-00000D000000}"/>
    <hyperlink ref="C17" location="'FS ET Colombia'!A6" display="ISA" xr:uid="{00000000-0004-0000-0000-00000C000000}"/>
    <hyperlink ref="B16" location="'FS ET Colombia'!A1" display="Quarterly financial statements ET Colombia" xr:uid="{00000000-0004-0000-0000-000001000000}"/>
    <hyperlink ref="B15" location="'FS Consolidated'!A1" display="Quarterly consolidated financial statements" xr:uid="{00000000-0004-0000-0000-000000000000}"/>
    <hyperlink ref="B44" location="Projects!A1" display="Projects under construction" xr:uid="{05933856-BA8E-4438-8D2F-001B18A514CD}"/>
    <hyperlink ref="B42" location="Dividends!A1" display="Dividends" xr:uid="{00000000-0004-0000-0000-00000A000000}"/>
    <hyperlink ref="B38" location="'Roads Regulation'!A1" display="Roads Regulation" xr:uid="{6D22782C-AC80-404A-BDF0-1E0C45E7ED87}"/>
    <hyperlink ref="B27" location="'FS Road Col'!A1" display="Quarterly financial statements Roads Colombia" xr:uid="{5EE77FE9-B736-427D-B61C-9A3BB387FE06}"/>
    <hyperlink ref="B46" location="'Energy Concessions Term'!A1" display="Energy Concessions term" xr:uid="{1CF02E77-2C71-43B3-97BD-AA92CD0A1896}"/>
    <hyperlink ref="B48" location="'Participation in subsidiaries'!A1" display="Participation in subsidiaries" xr:uid="{153C91C6-5768-4081-A119-50E0109EDE8E}"/>
    <hyperlink ref="B40" location="'Roads Traffic'!A1" display="Roads Trafic" xr:uid="{B12236AC-38EC-4FB4-9BFD-75FE2A5DD797}"/>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F14D3-693E-4F03-AA9F-B9F2CE84F3B2}">
  <sheetPr>
    <pageSetUpPr fitToPage="1"/>
  </sheetPr>
  <dimension ref="A1:Q190"/>
  <sheetViews>
    <sheetView showGridLines="0" topLeftCell="A175" zoomScale="70" zoomScaleNormal="70" workbookViewId="0">
      <selection activeCell="M189" sqref="M189"/>
    </sheetView>
  </sheetViews>
  <sheetFormatPr baseColWidth="10" defaultColWidth="11.42578125" defaultRowHeight="14.25" outlineLevelCol="1"/>
  <cols>
    <col min="1" max="1" width="11.42578125" style="319"/>
    <col min="2" max="2" width="21.28515625" style="319" bestFit="1" customWidth="1"/>
    <col min="3" max="3" width="34.5703125" style="319" customWidth="1"/>
    <col min="4" max="4" width="11.140625" style="319" customWidth="1"/>
    <col min="5" max="5" width="16.140625" style="319" customWidth="1"/>
    <col min="6" max="6" width="15.140625" style="319" customWidth="1"/>
    <col min="7" max="7" width="10.7109375" style="319" customWidth="1"/>
    <col min="8" max="8" width="12.7109375" style="319" customWidth="1"/>
    <col min="9" max="9" width="1.85546875" style="319" customWidth="1"/>
    <col min="10" max="10" width="10.42578125" style="319" customWidth="1"/>
    <col min="11" max="11" width="2.5703125" style="319" customWidth="1"/>
    <col min="12" max="12" width="26.28515625" style="319" customWidth="1"/>
    <col min="13" max="13" width="21.5703125" style="319" customWidth="1" outlineLevel="1"/>
    <col min="14" max="14" width="16.5703125" style="319" customWidth="1" outlineLevel="1"/>
    <col min="15" max="15" width="5.140625" style="319" customWidth="1"/>
    <col min="16" max="17" width="11.5703125" style="406" customWidth="1"/>
    <col min="18" max="16384" width="11.42578125" style="319"/>
  </cols>
  <sheetData>
    <row r="1" spans="1:14" ht="15">
      <c r="A1" s="3" t="s">
        <v>627</v>
      </c>
      <c r="B1" s="135"/>
      <c r="E1" s="403"/>
      <c r="H1" s="847"/>
      <c r="I1" s="847"/>
      <c r="J1" s="847"/>
      <c r="K1" s="428"/>
      <c r="M1" s="405"/>
      <c r="N1" s="405"/>
    </row>
    <row r="2" spans="1:14">
      <c r="H2" s="848"/>
      <c r="I2" s="848"/>
      <c r="J2" s="848"/>
      <c r="K2" s="321"/>
      <c r="L2" s="429"/>
      <c r="M2" s="407"/>
      <c r="N2" s="407"/>
    </row>
    <row r="3" spans="1:14">
      <c r="C3" s="430"/>
      <c r="H3" s="408"/>
      <c r="I3" s="408"/>
      <c r="J3" s="408"/>
      <c r="K3" s="321"/>
      <c r="L3" s="429"/>
      <c r="M3" s="407"/>
      <c r="N3" s="407"/>
    </row>
    <row r="4" spans="1:14">
      <c r="C4" s="430"/>
      <c r="H4" s="408"/>
      <c r="I4" s="408"/>
      <c r="J4" s="408"/>
      <c r="K4" s="321"/>
      <c r="L4" s="429"/>
      <c r="M4" s="407"/>
      <c r="N4" s="407"/>
    </row>
    <row r="5" spans="1:14">
      <c r="C5" s="430"/>
      <c r="H5" s="408"/>
      <c r="I5" s="408"/>
      <c r="J5" s="408"/>
      <c r="K5" s="321"/>
      <c r="M5" s="407"/>
      <c r="N5" s="407"/>
    </row>
    <row r="6" spans="1:14" ht="38.25">
      <c r="B6" s="96" t="s">
        <v>146</v>
      </c>
      <c r="C6" s="400" t="s">
        <v>147</v>
      </c>
      <c r="D6" s="399" t="s">
        <v>148</v>
      </c>
      <c r="E6" s="97" t="s">
        <v>149</v>
      </c>
      <c r="F6" s="401" t="s">
        <v>150</v>
      </c>
      <c r="G6" s="97" t="s">
        <v>151</v>
      </c>
      <c r="H6" s="849" t="s">
        <v>152</v>
      </c>
      <c r="I6" s="850"/>
      <c r="J6" s="851"/>
      <c r="K6" s="321"/>
      <c r="L6" s="351" t="s">
        <v>1268</v>
      </c>
      <c r="M6" s="351" t="s">
        <v>1269</v>
      </c>
      <c r="N6" s="351" t="s">
        <v>1270</v>
      </c>
    </row>
    <row r="7" spans="1:14">
      <c r="B7" s="324"/>
      <c r="C7" s="324"/>
      <c r="D7" s="324"/>
      <c r="E7" s="324"/>
      <c r="F7" s="324"/>
      <c r="G7" s="324"/>
      <c r="H7" s="324"/>
      <c r="I7" s="324"/>
      <c r="J7" s="324"/>
      <c r="K7" s="321"/>
      <c r="L7" s="324"/>
      <c r="M7" s="324"/>
      <c r="N7" s="324"/>
    </row>
    <row r="8" spans="1:14" ht="15" thickBot="1">
      <c r="B8" s="91" t="s">
        <v>870</v>
      </c>
      <c r="C8" s="91"/>
      <c r="D8" s="91"/>
      <c r="E8" s="91"/>
      <c r="F8" s="91"/>
      <c r="G8" s="91"/>
      <c r="H8" s="91"/>
      <c r="I8" s="92"/>
      <c r="J8" s="92"/>
      <c r="K8" s="321"/>
      <c r="L8" s="92"/>
      <c r="M8" s="93">
        <f>+M22+M30+M34+M55</f>
        <v>1183751.7296972699</v>
      </c>
      <c r="N8" s="93">
        <f>+N22+N30+N34+N55</f>
        <v>315822.93389999599</v>
      </c>
    </row>
    <row r="9" spans="1:14" ht="15" thickTop="1">
      <c r="B9" s="323"/>
      <c r="C9" s="324"/>
      <c r="D9" s="324"/>
      <c r="E9" s="324"/>
      <c r="F9" s="324"/>
      <c r="G9" s="324"/>
      <c r="H9" s="324"/>
      <c r="I9" s="324"/>
      <c r="J9" s="324"/>
      <c r="K9" s="321"/>
      <c r="L9" s="324"/>
      <c r="M9" s="325"/>
      <c r="N9" s="325"/>
    </row>
    <row r="10" spans="1:14">
      <c r="B10" s="839" t="s">
        <v>634</v>
      </c>
      <c r="C10" s="466" t="s">
        <v>802</v>
      </c>
      <c r="D10" s="467" t="s">
        <v>803</v>
      </c>
      <c r="E10" s="468">
        <v>42061</v>
      </c>
      <c r="F10" s="469">
        <v>44618</v>
      </c>
      <c r="G10" s="470">
        <v>7.0054794520547947</v>
      </c>
      <c r="H10" s="471" t="s">
        <v>804</v>
      </c>
      <c r="I10" s="472" t="s">
        <v>154</v>
      </c>
      <c r="J10" s="473">
        <v>3.5999999999999997E-2</v>
      </c>
      <c r="K10" s="321"/>
      <c r="L10" s="474">
        <v>0</v>
      </c>
      <c r="M10" s="475">
        <v>0</v>
      </c>
      <c r="N10" s="476">
        <v>0</v>
      </c>
    </row>
    <row r="11" spans="1:14">
      <c r="B11" s="840"/>
      <c r="C11" s="466" t="s">
        <v>805</v>
      </c>
      <c r="D11" s="467" t="s">
        <v>803</v>
      </c>
      <c r="E11" s="468">
        <v>42423</v>
      </c>
      <c r="F11" s="469">
        <v>44980</v>
      </c>
      <c r="G11" s="470">
        <v>7.0054794520547947</v>
      </c>
      <c r="H11" s="471" t="s">
        <v>804</v>
      </c>
      <c r="I11" s="472" t="s">
        <v>154</v>
      </c>
      <c r="J11" s="473">
        <v>2.9899999999999999E-2</v>
      </c>
      <c r="K11" s="322"/>
      <c r="L11" s="474">
        <v>0</v>
      </c>
      <c r="M11" s="475">
        <v>0</v>
      </c>
      <c r="N11" s="476">
        <v>0</v>
      </c>
    </row>
    <row r="12" spans="1:14">
      <c r="B12" s="840"/>
      <c r="C12" s="466" t="s">
        <v>805</v>
      </c>
      <c r="D12" s="467" t="s">
        <v>803</v>
      </c>
      <c r="E12" s="468">
        <v>43017</v>
      </c>
      <c r="F12" s="469">
        <v>46669</v>
      </c>
      <c r="G12" s="470">
        <v>10.005479452054795</v>
      </c>
      <c r="H12" s="471" t="s">
        <v>804</v>
      </c>
      <c r="I12" s="472" t="s">
        <v>154</v>
      </c>
      <c r="J12" s="473">
        <v>4.8000000000000001E-2</v>
      </c>
      <c r="K12" s="321"/>
      <c r="L12" s="474">
        <v>0</v>
      </c>
      <c r="M12" s="475">
        <v>0</v>
      </c>
      <c r="N12" s="476">
        <v>0</v>
      </c>
    </row>
    <row r="13" spans="1:14">
      <c r="B13" s="840"/>
      <c r="C13" s="466" t="s">
        <v>806</v>
      </c>
      <c r="D13" s="467" t="s">
        <v>803</v>
      </c>
      <c r="E13" s="468">
        <v>43017</v>
      </c>
      <c r="F13" s="469">
        <v>46669</v>
      </c>
      <c r="G13" s="470">
        <v>10.005479452054795</v>
      </c>
      <c r="H13" s="471" t="s">
        <v>804</v>
      </c>
      <c r="I13" s="472" t="s">
        <v>154</v>
      </c>
      <c r="J13" s="473">
        <v>4.8000000000000001E-2</v>
      </c>
      <c r="K13" s="322"/>
      <c r="L13" s="474">
        <v>0</v>
      </c>
      <c r="M13" s="475">
        <v>0</v>
      </c>
      <c r="N13" s="476">
        <v>0</v>
      </c>
    </row>
    <row r="14" spans="1:14">
      <c r="B14" s="840"/>
      <c r="C14" s="466" t="s">
        <v>805</v>
      </c>
      <c r="D14" s="467" t="s">
        <v>803</v>
      </c>
      <c r="E14" s="468">
        <v>43046</v>
      </c>
      <c r="F14" s="469">
        <v>46698</v>
      </c>
      <c r="G14" s="470">
        <v>10.005479452054795</v>
      </c>
      <c r="H14" s="471" t="s">
        <v>804</v>
      </c>
      <c r="I14" s="472" t="s">
        <v>154</v>
      </c>
      <c r="J14" s="473">
        <v>4.8000000000000001E-2</v>
      </c>
      <c r="K14" s="321"/>
      <c r="L14" s="474">
        <v>0</v>
      </c>
      <c r="M14" s="475">
        <v>0</v>
      </c>
      <c r="N14" s="476">
        <v>0</v>
      </c>
    </row>
    <row r="15" spans="1:14">
      <c r="B15" s="840"/>
      <c r="C15" s="466" t="s">
        <v>806</v>
      </c>
      <c r="D15" s="467" t="s">
        <v>803</v>
      </c>
      <c r="E15" s="468">
        <v>43046</v>
      </c>
      <c r="F15" s="469">
        <v>46698</v>
      </c>
      <c r="G15" s="470">
        <v>10.005479452054795</v>
      </c>
      <c r="H15" s="471" t="s">
        <v>804</v>
      </c>
      <c r="I15" s="472" t="s">
        <v>154</v>
      </c>
      <c r="J15" s="473">
        <v>4.8000000000000001E-2</v>
      </c>
      <c r="K15" s="322"/>
      <c r="L15" s="474">
        <v>0</v>
      </c>
      <c r="M15" s="475">
        <v>0</v>
      </c>
      <c r="N15" s="476">
        <v>0</v>
      </c>
    </row>
    <row r="16" spans="1:14">
      <c r="B16" s="840"/>
      <c r="C16" s="466" t="s">
        <v>807</v>
      </c>
      <c r="D16" s="467" t="s">
        <v>808</v>
      </c>
      <c r="E16" s="468">
        <v>43461</v>
      </c>
      <c r="F16" s="469">
        <v>45287</v>
      </c>
      <c r="G16" s="470">
        <v>5.0027397260273974</v>
      </c>
      <c r="H16" s="471" t="s">
        <v>809</v>
      </c>
      <c r="I16" s="472" t="s">
        <v>154</v>
      </c>
      <c r="J16" s="477">
        <v>1.2E-2</v>
      </c>
      <c r="K16" s="321"/>
      <c r="L16" s="474">
        <v>0</v>
      </c>
      <c r="M16" s="475">
        <v>0</v>
      </c>
      <c r="N16" s="476">
        <v>0</v>
      </c>
    </row>
    <row r="17" spans="2:14">
      <c r="B17" s="840"/>
      <c r="C17" s="466" t="s">
        <v>807</v>
      </c>
      <c r="D17" s="467" t="s">
        <v>808</v>
      </c>
      <c r="E17" s="468">
        <v>43522</v>
      </c>
      <c r="F17" s="469">
        <v>45287</v>
      </c>
      <c r="G17" s="470">
        <v>4.8356164383561646</v>
      </c>
      <c r="H17" s="471" t="s">
        <v>809</v>
      </c>
      <c r="I17" s="472" t="s">
        <v>154</v>
      </c>
      <c r="J17" s="477">
        <v>1.2E-2</v>
      </c>
      <c r="K17" s="322"/>
      <c r="L17" s="474">
        <v>0</v>
      </c>
      <c r="M17" s="475">
        <v>0</v>
      </c>
      <c r="N17" s="476">
        <v>0</v>
      </c>
    </row>
    <row r="18" spans="2:14">
      <c r="B18" s="840"/>
      <c r="C18" s="466" t="s">
        <v>810</v>
      </c>
      <c r="D18" s="467" t="s">
        <v>803</v>
      </c>
      <c r="E18" s="468">
        <v>43788</v>
      </c>
      <c r="F18" s="469">
        <v>47441</v>
      </c>
      <c r="G18" s="470">
        <v>10.008219178082191</v>
      </c>
      <c r="H18" s="471" t="s">
        <v>811</v>
      </c>
      <c r="I18" s="472" t="s">
        <v>154</v>
      </c>
      <c r="J18" s="477">
        <v>2.5600000000000001E-2</v>
      </c>
      <c r="K18" s="321"/>
      <c r="L18" s="474">
        <v>0</v>
      </c>
      <c r="M18" s="475">
        <v>0</v>
      </c>
      <c r="N18" s="476">
        <v>0</v>
      </c>
    </row>
    <row r="19" spans="2:14">
      <c r="B19" s="840"/>
      <c r="C19" s="466" t="s">
        <v>806</v>
      </c>
      <c r="D19" s="467" t="s">
        <v>803</v>
      </c>
      <c r="E19" s="468">
        <v>43788</v>
      </c>
      <c r="F19" s="469">
        <v>48171</v>
      </c>
      <c r="G19" s="470">
        <v>12.008219178082191</v>
      </c>
      <c r="H19" s="471" t="s">
        <v>804</v>
      </c>
      <c r="I19" s="472" t="s">
        <v>154</v>
      </c>
      <c r="J19" s="473">
        <v>4.65E-2</v>
      </c>
      <c r="K19" s="322"/>
      <c r="L19" s="474">
        <v>0</v>
      </c>
      <c r="M19" s="475">
        <v>0</v>
      </c>
      <c r="N19" s="476">
        <v>0</v>
      </c>
    </row>
    <row r="20" spans="2:14">
      <c r="B20" s="840"/>
      <c r="C20" s="466" t="s">
        <v>810</v>
      </c>
      <c r="D20" s="467" t="s">
        <v>803</v>
      </c>
      <c r="E20" s="468">
        <v>43970</v>
      </c>
      <c r="F20" s="469">
        <v>47441</v>
      </c>
      <c r="G20" s="470">
        <v>9.5095890410958912</v>
      </c>
      <c r="H20" s="471" t="s">
        <v>811</v>
      </c>
      <c r="I20" s="472" t="s">
        <v>154</v>
      </c>
      <c r="J20" s="477">
        <v>2.5600000000000001E-2</v>
      </c>
      <c r="K20" s="321"/>
      <c r="L20" s="474">
        <v>0</v>
      </c>
      <c r="M20" s="475">
        <v>0</v>
      </c>
      <c r="N20" s="476">
        <v>0</v>
      </c>
    </row>
    <row r="21" spans="2:14">
      <c r="B21" s="842"/>
      <c r="C21" s="466" t="s">
        <v>806</v>
      </c>
      <c r="D21" s="467" t="s">
        <v>803</v>
      </c>
      <c r="E21" s="468">
        <v>43970</v>
      </c>
      <c r="F21" s="469">
        <v>48171</v>
      </c>
      <c r="G21" s="470">
        <v>11.509589041095891</v>
      </c>
      <c r="H21" s="471" t="s">
        <v>804</v>
      </c>
      <c r="I21" s="472" t="s">
        <v>154</v>
      </c>
      <c r="J21" s="473">
        <v>4.65E-2</v>
      </c>
      <c r="K21" s="322"/>
      <c r="L21" s="474">
        <v>0</v>
      </c>
      <c r="M21" s="475">
        <v>0</v>
      </c>
      <c r="N21" s="476">
        <v>0</v>
      </c>
    </row>
    <row r="22" spans="2:14">
      <c r="B22" s="478"/>
      <c r="C22" s="478"/>
      <c r="D22" s="478"/>
      <c r="E22" s="478"/>
      <c r="F22" s="478"/>
      <c r="G22" s="478"/>
      <c r="H22" s="479"/>
      <c r="I22" s="478"/>
      <c r="J22" s="480"/>
      <c r="K22" s="322"/>
      <c r="L22" s="481"/>
      <c r="M22" s="482">
        <f>SUM(M10:M21)</f>
        <v>0</v>
      </c>
      <c r="N22" s="482">
        <f>SUM(N10:N21)</f>
        <v>0</v>
      </c>
    </row>
    <row r="23" spans="2:14" ht="15">
      <c r="B23" s="334"/>
      <c r="C23" s="334"/>
      <c r="D23" s="334"/>
      <c r="E23" s="334"/>
      <c r="F23" s="334"/>
      <c r="G23" s="334"/>
      <c r="H23" s="335"/>
      <c r="I23" s="334"/>
      <c r="J23" s="336"/>
      <c r="K23" s="311"/>
      <c r="L23" s="309"/>
      <c r="M23" s="484"/>
      <c r="N23" s="348"/>
    </row>
    <row r="24" spans="2:14" ht="15">
      <c r="B24" s="334"/>
      <c r="C24" s="334"/>
      <c r="D24" s="334"/>
      <c r="E24" s="334"/>
      <c r="F24" s="334"/>
      <c r="G24" s="334"/>
      <c r="H24" s="335"/>
      <c r="I24" s="334"/>
      <c r="J24" s="336"/>
      <c r="K24" s="311"/>
      <c r="L24" s="309"/>
      <c r="M24" s="325"/>
      <c r="N24" s="325"/>
    </row>
    <row r="25" spans="2:14">
      <c r="B25" s="839" t="s">
        <v>871</v>
      </c>
      <c r="C25" s="485" t="s">
        <v>810</v>
      </c>
      <c r="D25" s="466" t="s">
        <v>803</v>
      </c>
      <c r="E25" s="468">
        <v>42725</v>
      </c>
      <c r="F25" s="468">
        <v>46767</v>
      </c>
      <c r="G25" s="470">
        <v>11.073972602739726</v>
      </c>
      <c r="H25" s="486" t="s">
        <v>804</v>
      </c>
      <c r="I25" s="472" t="s">
        <v>154</v>
      </c>
      <c r="J25" s="487">
        <v>7.4999999999999997E-2</v>
      </c>
      <c r="K25" s="322"/>
      <c r="L25" s="474">
        <v>242124999999</v>
      </c>
      <c r="M25" s="474">
        <v>241873.00978054912</v>
      </c>
      <c r="N25" s="474">
        <v>64531.304718474217</v>
      </c>
    </row>
    <row r="26" spans="2:14">
      <c r="B26" s="840"/>
      <c r="C26" s="485" t="s">
        <v>802</v>
      </c>
      <c r="D26" s="466" t="s">
        <v>803</v>
      </c>
      <c r="E26" s="468">
        <v>42725</v>
      </c>
      <c r="F26" s="468">
        <v>48959</v>
      </c>
      <c r="G26" s="470">
        <v>17.079452054794519</v>
      </c>
      <c r="H26" s="486" t="s">
        <v>804</v>
      </c>
      <c r="I26" s="472" t="s">
        <v>154</v>
      </c>
      <c r="J26" s="487">
        <v>0.09</v>
      </c>
      <c r="K26" s="322"/>
      <c r="L26" s="474">
        <v>146999999999</v>
      </c>
      <c r="M26" s="474">
        <v>146847.01058397809</v>
      </c>
      <c r="N26" s="474">
        <v>39178.530897636992</v>
      </c>
    </row>
    <row r="27" spans="2:14">
      <c r="B27" s="840"/>
      <c r="C27" s="485" t="s">
        <v>813</v>
      </c>
      <c r="D27" s="466" t="s">
        <v>803</v>
      </c>
      <c r="E27" s="468">
        <v>42725</v>
      </c>
      <c r="F27" s="468">
        <v>48959</v>
      </c>
      <c r="G27" s="470">
        <v>17.079452054794519</v>
      </c>
      <c r="H27" s="486" t="s">
        <v>804</v>
      </c>
      <c r="I27" s="472" t="s">
        <v>154</v>
      </c>
      <c r="J27" s="487">
        <v>0.09</v>
      </c>
      <c r="K27" s="322"/>
      <c r="L27" s="474">
        <v>146999999999</v>
      </c>
      <c r="M27" s="474">
        <v>146847.01058397809</v>
      </c>
      <c r="N27" s="474">
        <v>39178.530897636992</v>
      </c>
    </row>
    <row r="28" spans="2:14">
      <c r="B28" s="840"/>
      <c r="C28" s="485" t="s">
        <v>872</v>
      </c>
      <c r="D28" s="466" t="s">
        <v>873</v>
      </c>
      <c r="E28" s="468">
        <v>42725</v>
      </c>
      <c r="F28" s="468">
        <v>48959</v>
      </c>
      <c r="G28" s="470">
        <v>17.079452054794519</v>
      </c>
      <c r="H28" s="488" t="s">
        <v>816</v>
      </c>
      <c r="I28" s="472"/>
      <c r="J28" s="487">
        <v>7.3999999999999996E-2</v>
      </c>
      <c r="K28" s="322"/>
      <c r="L28" s="474">
        <v>560961563</v>
      </c>
      <c r="M28" s="474">
        <v>167428.76617806128</v>
      </c>
      <c r="N28" s="474">
        <v>44669.70803678115</v>
      </c>
    </row>
    <row r="29" spans="2:14">
      <c r="B29" s="842"/>
      <c r="C29" s="485" t="s">
        <v>874</v>
      </c>
      <c r="D29" s="466" t="s">
        <v>803</v>
      </c>
      <c r="E29" s="468">
        <v>43286</v>
      </c>
      <c r="F29" s="468">
        <v>49498</v>
      </c>
      <c r="G29" s="470">
        <v>17.019178082191782</v>
      </c>
      <c r="H29" s="486" t="s">
        <v>812</v>
      </c>
      <c r="I29" s="472" t="s">
        <v>154</v>
      </c>
      <c r="J29" s="487">
        <v>8.2000000000000003E-2</v>
      </c>
      <c r="K29" s="322"/>
      <c r="L29" s="474">
        <v>4651032241.0900021</v>
      </c>
      <c r="M29" s="474">
        <v>4646.1917057034898</v>
      </c>
      <c r="N29" s="474">
        <v>1239.5959888754423</v>
      </c>
    </row>
    <row r="30" spans="2:14">
      <c r="B30" s="478"/>
      <c r="C30" s="478"/>
      <c r="D30" s="478"/>
      <c r="E30" s="478"/>
      <c r="F30" s="478"/>
      <c r="G30" s="478"/>
      <c r="H30" s="479"/>
      <c r="I30" s="478"/>
      <c r="J30" s="480"/>
      <c r="K30" s="322"/>
      <c r="L30" s="481"/>
      <c r="M30" s="482">
        <v>707641.98883227003</v>
      </c>
      <c r="N30" s="483">
        <v>188797.67053940476</v>
      </c>
    </row>
    <row r="31" spans="2:14" ht="15">
      <c r="B31" s="334"/>
      <c r="C31" s="478"/>
      <c r="D31" s="478"/>
      <c r="E31" s="478"/>
      <c r="F31" s="478"/>
      <c r="G31" s="478"/>
      <c r="H31" s="479"/>
      <c r="I31" s="478"/>
      <c r="J31" s="480"/>
      <c r="K31" s="322"/>
      <c r="L31" s="481"/>
      <c r="M31" s="511"/>
      <c r="N31" s="511"/>
    </row>
    <row r="32" spans="2:14">
      <c r="B32" s="839" t="s">
        <v>636</v>
      </c>
      <c r="C32" s="466" t="s">
        <v>805</v>
      </c>
      <c r="D32" s="467" t="s">
        <v>803</v>
      </c>
      <c r="E32" s="468">
        <v>44496</v>
      </c>
      <c r="F32" s="469">
        <v>48148</v>
      </c>
      <c r="G32" s="470">
        <v>10.005479452054795</v>
      </c>
      <c r="H32" s="471" t="s">
        <v>804</v>
      </c>
      <c r="I32" s="472" t="s">
        <v>154</v>
      </c>
      <c r="J32" s="477">
        <v>3.0499999999999999E-2</v>
      </c>
      <c r="K32" s="321"/>
      <c r="L32" s="474">
        <v>158049999998</v>
      </c>
      <c r="M32" s="475">
        <v>158049.99999800001</v>
      </c>
      <c r="N32" s="476">
        <v>42167.4692843136</v>
      </c>
    </row>
    <row r="33" spans="2:14">
      <c r="B33" s="842"/>
      <c r="C33" s="466" t="s">
        <v>805</v>
      </c>
      <c r="D33" s="467" t="s">
        <v>803</v>
      </c>
      <c r="E33" s="468">
        <v>44476</v>
      </c>
      <c r="F33" s="469">
        <v>47033</v>
      </c>
      <c r="G33" s="470">
        <v>7.0054794520547947</v>
      </c>
      <c r="H33" s="471" t="s">
        <v>804</v>
      </c>
      <c r="I33" s="472" t="s">
        <v>154</v>
      </c>
      <c r="J33" s="477">
        <v>2.5000000000000001E-2</v>
      </c>
      <c r="K33" s="322"/>
      <c r="L33" s="474">
        <v>70500000000</v>
      </c>
      <c r="M33" s="475">
        <v>70500</v>
      </c>
      <c r="N33" s="476">
        <v>18809.279244427253</v>
      </c>
    </row>
    <row r="34" spans="2:14">
      <c r="B34" s="489"/>
      <c r="C34" s="490"/>
      <c r="D34" s="490"/>
      <c r="E34" s="491"/>
      <c r="F34" s="491"/>
      <c r="G34" s="492"/>
      <c r="H34" s="493"/>
      <c r="I34" s="494"/>
      <c r="J34" s="495"/>
      <c r="K34" s="321"/>
      <c r="L34" s="496"/>
      <c r="M34" s="482">
        <v>228549.99999800001</v>
      </c>
      <c r="N34" s="483">
        <v>60976.748528740849</v>
      </c>
    </row>
    <row r="35" spans="2:14" ht="15">
      <c r="B35" s="334"/>
      <c r="C35" s="490"/>
      <c r="D35" s="517"/>
      <c r="E35" s="491"/>
      <c r="F35" s="491"/>
      <c r="G35" s="703"/>
      <c r="H35" s="704"/>
      <c r="I35" s="555"/>
      <c r="J35" s="495"/>
      <c r="K35" s="322"/>
      <c r="L35" s="496"/>
      <c r="M35" s="511"/>
      <c r="N35" s="511"/>
    </row>
    <row r="36" spans="2:14">
      <c r="B36" s="852" t="s">
        <v>875</v>
      </c>
      <c r="C36" s="466" t="s">
        <v>814</v>
      </c>
      <c r="D36" s="467" t="s">
        <v>803</v>
      </c>
      <c r="E36" s="468">
        <v>42894</v>
      </c>
      <c r="F36" s="468">
        <v>45451</v>
      </c>
      <c r="G36" s="497">
        <v>7.0054794520547947</v>
      </c>
      <c r="H36" s="471" t="s">
        <v>812</v>
      </c>
      <c r="I36" s="472" t="s">
        <v>154</v>
      </c>
      <c r="J36" s="477">
        <v>0.03</v>
      </c>
      <c r="K36" s="321"/>
      <c r="L36" s="474">
        <v>8716894730.625</v>
      </c>
      <c r="M36" s="475">
        <v>8716.8947305765832</v>
      </c>
      <c r="N36" s="476">
        <v>2325.652583428247</v>
      </c>
    </row>
    <row r="37" spans="2:14">
      <c r="B37" s="853"/>
      <c r="C37" s="466" t="s">
        <v>814</v>
      </c>
      <c r="D37" s="467" t="s">
        <v>803</v>
      </c>
      <c r="E37" s="468">
        <v>42957</v>
      </c>
      <c r="F37" s="468">
        <v>45514</v>
      </c>
      <c r="G37" s="497">
        <v>7.0054794520547947</v>
      </c>
      <c r="H37" s="471" t="s">
        <v>812</v>
      </c>
      <c r="I37" s="472" t="s">
        <v>154</v>
      </c>
      <c r="J37" s="477">
        <v>0.03</v>
      </c>
      <c r="K37" s="322"/>
      <c r="L37" s="474">
        <v>19885489197.5</v>
      </c>
      <c r="M37" s="475">
        <v>19885.48919738955</v>
      </c>
      <c r="N37" s="476">
        <v>5305.4144571027173</v>
      </c>
    </row>
    <row r="38" spans="2:14">
      <c r="B38" s="853"/>
      <c r="C38" s="466" t="s">
        <v>814</v>
      </c>
      <c r="D38" s="467" t="s">
        <v>803</v>
      </c>
      <c r="E38" s="468">
        <v>43095</v>
      </c>
      <c r="F38" s="468">
        <v>45652</v>
      </c>
      <c r="G38" s="497">
        <v>7.0054794520547947</v>
      </c>
      <c r="H38" s="471" t="s">
        <v>812</v>
      </c>
      <c r="I38" s="472" t="s">
        <v>154</v>
      </c>
      <c r="J38" s="477">
        <v>0.03</v>
      </c>
      <c r="K38" s="321"/>
      <c r="L38" s="474">
        <v>7471624160.25</v>
      </c>
      <c r="M38" s="475">
        <v>7471.6241602085011</v>
      </c>
      <c r="N38" s="476">
        <v>1993.4165282095169</v>
      </c>
    </row>
    <row r="39" spans="2:14">
      <c r="B39" s="853"/>
      <c r="C39" s="466" t="s">
        <v>810</v>
      </c>
      <c r="D39" s="467" t="s">
        <v>803</v>
      </c>
      <c r="E39" s="468">
        <v>43231</v>
      </c>
      <c r="F39" s="468">
        <v>47068</v>
      </c>
      <c r="G39" s="497">
        <v>10.512328767123288</v>
      </c>
      <c r="H39" s="471" t="s">
        <v>811</v>
      </c>
      <c r="I39" s="472" t="s">
        <v>154</v>
      </c>
      <c r="J39" s="477">
        <v>2.1999999999999999E-2</v>
      </c>
      <c r="K39" s="322"/>
      <c r="L39" s="474">
        <v>59466666666</v>
      </c>
      <c r="M39" s="475">
        <v>59466.666665669705</v>
      </c>
      <c r="N39" s="476">
        <v>15865.604809217801</v>
      </c>
    </row>
    <row r="40" spans="2:14">
      <c r="B40" s="853"/>
      <c r="C40" s="466" t="s">
        <v>810</v>
      </c>
      <c r="D40" s="467" t="s">
        <v>803</v>
      </c>
      <c r="E40" s="468">
        <v>43406</v>
      </c>
      <c r="F40" s="468">
        <v>47059</v>
      </c>
      <c r="G40" s="497">
        <v>10.008219178082191</v>
      </c>
      <c r="H40" s="471" t="s">
        <v>811</v>
      </c>
      <c r="I40" s="472" t="s">
        <v>154</v>
      </c>
      <c r="J40" s="477">
        <v>2.1999999999999999E-2</v>
      </c>
      <c r="K40" s="321"/>
      <c r="L40" s="474">
        <v>23000000000</v>
      </c>
      <c r="M40" s="475">
        <v>22999.999999872252</v>
      </c>
      <c r="N40" s="476">
        <v>6136.3606045308361</v>
      </c>
    </row>
    <row r="41" spans="2:14">
      <c r="B41" s="853"/>
      <c r="C41" s="466" t="s">
        <v>810</v>
      </c>
      <c r="D41" s="467" t="s">
        <v>803</v>
      </c>
      <c r="E41" s="468">
        <v>43515</v>
      </c>
      <c r="F41" s="468">
        <v>47168</v>
      </c>
      <c r="G41" s="497">
        <v>10.008219178082191</v>
      </c>
      <c r="H41" s="471" t="s">
        <v>811</v>
      </c>
      <c r="I41" s="472" t="s">
        <v>154</v>
      </c>
      <c r="J41" s="477">
        <v>2.1999999999999999E-2</v>
      </c>
      <c r="K41" s="322"/>
      <c r="L41" s="474">
        <v>5519066114</v>
      </c>
      <c r="M41" s="475">
        <v>5519.0661139693457</v>
      </c>
      <c r="N41" s="476">
        <v>1472.4773859022041</v>
      </c>
    </row>
    <row r="42" spans="2:14">
      <c r="B42" s="853"/>
      <c r="C42" s="466" t="s">
        <v>815</v>
      </c>
      <c r="D42" s="467" t="s">
        <v>803</v>
      </c>
      <c r="E42" s="468">
        <v>43608</v>
      </c>
      <c r="F42" s="468">
        <v>47261</v>
      </c>
      <c r="G42" s="497">
        <v>10.008219178082191</v>
      </c>
      <c r="H42" s="471" t="s">
        <v>811</v>
      </c>
      <c r="I42" s="472" t="s">
        <v>154</v>
      </c>
      <c r="J42" s="477">
        <v>3.3000000000000002E-2</v>
      </c>
      <c r="K42" s="322"/>
      <c r="L42" s="474">
        <v>9000000000</v>
      </c>
      <c r="M42" s="475">
        <v>8999.9999999500124</v>
      </c>
      <c r="N42" s="476">
        <v>2401.1845843816313</v>
      </c>
    </row>
    <row r="43" spans="2:14">
      <c r="B43" s="853"/>
      <c r="C43" s="466" t="s">
        <v>815</v>
      </c>
      <c r="D43" s="467" t="s">
        <v>803</v>
      </c>
      <c r="E43" s="468">
        <v>43608</v>
      </c>
      <c r="F43" s="468">
        <v>47261</v>
      </c>
      <c r="G43" s="497">
        <v>10.008219178082191</v>
      </c>
      <c r="H43" s="471" t="s">
        <v>811</v>
      </c>
      <c r="I43" s="472" t="s">
        <v>154</v>
      </c>
      <c r="J43" s="477">
        <v>3.3000000000000002E-2</v>
      </c>
      <c r="K43" s="321"/>
      <c r="L43" s="474">
        <v>9000000000</v>
      </c>
      <c r="M43" s="475">
        <v>8999.9999999500124</v>
      </c>
      <c r="N43" s="476">
        <v>2401.1845843816313</v>
      </c>
    </row>
    <row r="44" spans="2:14">
      <c r="B44" s="853"/>
      <c r="C44" s="466" t="s">
        <v>815</v>
      </c>
      <c r="D44" s="467" t="s">
        <v>803</v>
      </c>
      <c r="E44" s="468">
        <v>43936</v>
      </c>
      <c r="F44" s="468">
        <v>47588</v>
      </c>
      <c r="G44" s="497">
        <v>10.005479452054795</v>
      </c>
      <c r="H44" s="471" t="s">
        <v>812</v>
      </c>
      <c r="I44" s="472" t="s">
        <v>154</v>
      </c>
      <c r="J44" s="477">
        <v>3.1899999999999998E-2</v>
      </c>
      <c r="K44" s="322"/>
      <c r="L44" s="474">
        <v>10000000000</v>
      </c>
      <c r="M44" s="475">
        <v>9999.9999999444572</v>
      </c>
      <c r="N44" s="476">
        <v>2667.9828715351455</v>
      </c>
    </row>
    <row r="45" spans="2:14">
      <c r="B45" s="853"/>
      <c r="C45" s="466" t="s">
        <v>814</v>
      </c>
      <c r="D45" s="467" t="s">
        <v>803</v>
      </c>
      <c r="E45" s="468">
        <v>43977</v>
      </c>
      <c r="F45" s="468">
        <v>46533</v>
      </c>
      <c r="G45" s="497">
        <v>7.0027397260273974</v>
      </c>
      <c r="H45" s="471" t="s">
        <v>812</v>
      </c>
      <c r="I45" s="472" t="s">
        <v>154</v>
      </c>
      <c r="J45" s="477">
        <v>4.8500000000000001E-2</v>
      </c>
      <c r="K45" s="322"/>
      <c r="L45" s="474">
        <v>12000000000</v>
      </c>
      <c r="M45" s="475">
        <v>11999.999999933349</v>
      </c>
      <c r="N45" s="476">
        <v>3201.5794458421751</v>
      </c>
    </row>
    <row r="46" spans="2:14">
      <c r="B46" s="853"/>
      <c r="C46" s="466" t="s">
        <v>806</v>
      </c>
      <c r="D46" s="467" t="s">
        <v>803</v>
      </c>
      <c r="E46" s="468">
        <v>44088</v>
      </c>
      <c r="F46" s="468">
        <v>47740</v>
      </c>
      <c r="G46" s="497">
        <v>10.005479452054795</v>
      </c>
      <c r="H46" s="471" t="s">
        <v>812</v>
      </c>
      <c r="I46" s="472" t="s">
        <v>154</v>
      </c>
      <c r="J46" s="477">
        <v>3.4500000000000003E-2</v>
      </c>
      <c r="K46" s="321"/>
      <c r="L46" s="474">
        <v>3800000000</v>
      </c>
      <c r="M46" s="475">
        <v>3799.9999999788938</v>
      </c>
      <c r="N46" s="476">
        <v>1013.8334911833555</v>
      </c>
    </row>
    <row r="47" spans="2:14">
      <c r="B47" s="853"/>
      <c r="C47" s="466" t="s">
        <v>806</v>
      </c>
      <c r="D47" s="467" t="s">
        <v>803</v>
      </c>
      <c r="E47" s="468">
        <v>44160</v>
      </c>
      <c r="F47" s="468">
        <v>47740</v>
      </c>
      <c r="G47" s="497">
        <v>9.8082191780821919</v>
      </c>
      <c r="H47" s="471" t="s">
        <v>812</v>
      </c>
      <c r="I47" s="472" t="s">
        <v>154</v>
      </c>
      <c r="J47" s="477">
        <v>3.4500000000000003E-2</v>
      </c>
      <c r="K47" s="321"/>
      <c r="L47" s="474">
        <v>8000000000</v>
      </c>
      <c r="M47" s="475">
        <v>7999.9999999555657</v>
      </c>
      <c r="N47" s="476">
        <v>2134.3862972281163</v>
      </c>
    </row>
    <row r="48" spans="2:14">
      <c r="B48" s="853"/>
      <c r="C48" s="466" t="s">
        <v>806</v>
      </c>
      <c r="D48" s="467" t="s">
        <v>803</v>
      </c>
      <c r="E48" s="468">
        <v>44183</v>
      </c>
      <c r="F48" s="468">
        <v>47740</v>
      </c>
      <c r="G48" s="497">
        <v>9.7452054794520553</v>
      </c>
      <c r="H48" s="471" t="s">
        <v>812</v>
      </c>
      <c r="I48" s="472" t="s">
        <v>154</v>
      </c>
      <c r="J48" s="477">
        <v>3.4500000000000003E-2</v>
      </c>
      <c r="K48" s="321"/>
      <c r="L48" s="474">
        <v>8200000000</v>
      </c>
      <c r="M48" s="475">
        <v>8199.9999999544543</v>
      </c>
      <c r="N48" s="476">
        <v>2187.7459546588198</v>
      </c>
    </row>
    <row r="49" spans="2:17">
      <c r="B49" s="853"/>
      <c r="C49" s="466" t="s">
        <v>814</v>
      </c>
      <c r="D49" s="467" t="s">
        <v>803</v>
      </c>
      <c r="E49" s="468">
        <v>44186</v>
      </c>
      <c r="F49" s="468">
        <v>46533</v>
      </c>
      <c r="G49" s="497">
        <v>6.4301369863013695</v>
      </c>
      <c r="H49" s="471" t="s">
        <v>812</v>
      </c>
      <c r="I49" s="472" t="s">
        <v>154</v>
      </c>
      <c r="J49" s="477">
        <v>4.8500000000000001E-2</v>
      </c>
      <c r="K49" s="322"/>
      <c r="L49" s="474">
        <v>6000000000</v>
      </c>
      <c r="M49" s="475">
        <v>5999.9999999666743</v>
      </c>
      <c r="N49" s="476">
        <v>1600.7897229210876</v>
      </c>
    </row>
    <row r="50" spans="2:17">
      <c r="B50" s="853"/>
      <c r="C50" s="466" t="s">
        <v>806</v>
      </c>
      <c r="D50" s="467" t="s">
        <v>803</v>
      </c>
      <c r="E50" s="468">
        <v>43998</v>
      </c>
      <c r="F50" s="468">
        <v>47923</v>
      </c>
      <c r="G50" s="497">
        <v>10.753424657534246</v>
      </c>
      <c r="H50" s="471" t="s">
        <v>812</v>
      </c>
      <c r="I50" s="472" t="s">
        <v>154</v>
      </c>
      <c r="J50" s="477">
        <v>3.9899999999999998E-2</v>
      </c>
      <c r="K50" s="478"/>
      <c r="L50" s="474">
        <v>7000000000</v>
      </c>
      <c r="M50" s="475">
        <v>6999.99999996112</v>
      </c>
      <c r="N50" s="476">
        <v>1867.5880100746022</v>
      </c>
    </row>
    <row r="51" spans="2:17">
      <c r="B51" s="853"/>
      <c r="C51" s="466" t="s">
        <v>806</v>
      </c>
      <c r="D51" s="467" t="s">
        <v>803</v>
      </c>
      <c r="E51" s="468">
        <v>44476</v>
      </c>
      <c r="F51" s="468">
        <v>48015</v>
      </c>
      <c r="G51" s="497">
        <v>9.6958904109589046</v>
      </c>
      <c r="H51" s="471" t="s">
        <v>812</v>
      </c>
      <c r="I51" s="472" t="s">
        <v>154</v>
      </c>
      <c r="J51" s="477">
        <v>3.9899999999999998E-2</v>
      </c>
      <c r="K51" s="478"/>
      <c r="L51" s="474">
        <v>7000000000</v>
      </c>
      <c r="M51" s="475">
        <v>6999.99999996112</v>
      </c>
      <c r="N51" s="476">
        <v>1867.5880100746022</v>
      </c>
    </row>
    <row r="52" spans="2:17">
      <c r="B52" s="853"/>
      <c r="C52" s="466" t="s">
        <v>806</v>
      </c>
      <c r="D52" s="467" t="s">
        <v>803</v>
      </c>
      <c r="E52" s="468">
        <v>44511</v>
      </c>
      <c r="F52" s="468">
        <v>48015</v>
      </c>
      <c r="G52" s="497">
        <v>9.6</v>
      </c>
      <c r="H52" s="471" t="s">
        <v>812</v>
      </c>
      <c r="I52" s="472" t="s">
        <v>154</v>
      </c>
      <c r="J52" s="477">
        <v>3.9899999999999998E-2</v>
      </c>
      <c r="K52" s="478"/>
      <c r="L52" s="474">
        <v>16000000000</v>
      </c>
      <c r="M52" s="475">
        <v>15999.999999911131</v>
      </c>
      <c r="N52" s="476">
        <v>4268.7725944562326</v>
      </c>
    </row>
    <row r="53" spans="2:17">
      <c r="B53" s="853"/>
      <c r="C53" s="466" t="s">
        <v>806</v>
      </c>
      <c r="D53" s="467" t="s">
        <v>803</v>
      </c>
      <c r="E53" s="468">
        <v>44529</v>
      </c>
      <c r="F53" s="468">
        <v>48015</v>
      </c>
      <c r="G53" s="497">
        <v>9.5506849315068489</v>
      </c>
      <c r="H53" s="471" t="s">
        <v>812</v>
      </c>
      <c r="I53" s="472" t="s">
        <v>154</v>
      </c>
      <c r="J53" s="477">
        <v>3.9899999999999998E-2</v>
      </c>
      <c r="K53" s="478"/>
      <c r="L53" s="474">
        <v>20000000000</v>
      </c>
      <c r="M53" s="475">
        <v>19999.999999888914</v>
      </c>
      <c r="N53" s="476">
        <v>5335.965743070291</v>
      </c>
    </row>
    <row r="54" spans="2:17">
      <c r="B54" s="855"/>
      <c r="C54" s="466" t="s">
        <v>810</v>
      </c>
      <c r="D54" s="467" t="s">
        <v>803</v>
      </c>
      <c r="E54" s="468">
        <v>44644</v>
      </c>
      <c r="F54" s="468">
        <v>45009</v>
      </c>
      <c r="G54" s="497">
        <v>1</v>
      </c>
      <c r="H54" s="471" t="s">
        <v>812</v>
      </c>
      <c r="I54" s="472" t="s">
        <v>154</v>
      </c>
      <c r="J54" s="477">
        <v>2.2599999999999999E-2</v>
      </c>
      <c r="K54" s="478"/>
      <c r="L54" s="474">
        <v>7500000000</v>
      </c>
      <c r="M54" s="475">
        <v>7499.9999999583433</v>
      </c>
      <c r="N54" s="476">
        <v>2000.9871536513594</v>
      </c>
    </row>
    <row r="55" spans="2:17">
      <c r="B55" s="478"/>
      <c r="C55" s="490"/>
      <c r="D55" s="490"/>
      <c r="E55" s="491"/>
      <c r="F55" s="491"/>
      <c r="G55" s="492"/>
      <c r="H55" s="493"/>
      <c r="I55" s="494"/>
      <c r="J55" s="495"/>
      <c r="K55" s="321"/>
      <c r="L55" s="495"/>
      <c r="M55" s="482">
        <v>247559.74086699996</v>
      </c>
      <c r="N55" s="483">
        <v>66048.514831850378</v>
      </c>
    </row>
    <row r="56" spans="2:17" s="498" customFormat="1">
      <c r="B56" s="499"/>
      <c r="C56" s="500"/>
      <c r="D56" s="500"/>
      <c r="E56" s="491"/>
      <c r="F56" s="491"/>
      <c r="G56" s="501"/>
      <c r="H56" s="493"/>
      <c r="I56" s="494"/>
      <c r="J56" s="495"/>
      <c r="K56" s="321"/>
      <c r="L56" s="495"/>
      <c r="M56" s="502"/>
      <c r="N56" s="503"/>
      <c r="P56" s="504"/>
      <c r="Q56" s="504"/>
    </row>
    <row r="57" spans="2:17" ht="15" thickBot="1">
      <c r="B57" s="505" t="s">
        <v>876</v>
      </c>
      <c r="C57" s="505"/>
      <c r="D57" s="505"/>
      <c r="E57" s="505"/>
      <c r="F57" s="505"/>
      <c r="G57" s="505"/>
      <c r="H57" s="505"/>
      <c r="I57" s="506"/>
      <c r="J57" s="506"/>
      <c r="K57" s="321"/>
      <c r="L57" s="506"/>
      <c r="M57" s="507">
        <f>+M62+M66+M70+M73+M78</f>
        <v>1226131.1954373757</v>
      </c>
      <c r="N57" s="507">
        <f>+N62+N66+N70+N73+N78</f>
        <v>327129.70277000003</v>
      </c>
    </row>
    <row r="58" spans="2:17" ht="15" thickTop="1">
      <c r="B58" s="508"/>
      <c r="C58" s="509"/>
      <c r="D58" s="510"/>
      <c r="E58" s="509"/>
      <c r="F58" s="509"/>
      <c r="G58" s="509"/>
      <c r="H58" s="509"/>
      <c r="I58" s="509"/>
      <c r="J58" s="509"/>
      <c r="K58" s="322"/>
      <c r="L58" s="509"/>
      <c r="M58" s="511"/>
      <c r="N58" s="511"/>
    </row>
    <row r="59" spans="2:17">
      <c r="B59" s="856" t="s">
        <v>640</v>
      </c>
      <c r="C59" s="466" t="s">
        <v>807</v>
      </c>
      <c r="D59" s="512" t="s">
        <v>808</v>
      </c>
      <c r="E59" s="469">
        <v>43728</v>
      </c>
      <c r="F59" s="469">
        <v>45913</v>
      </c>
      <c r="G59" s="513">
        <v>5.9863013698630141</v>
      </c>
      <c r="H59" s="514" t="s">
        <v>816</v>
      </c>
      <c r="I59" s="515"/>
      <c r="J59" s="473">
        <v>3.1E-2</v>
      </c>
      <c r="K59" s="321"/>
      <c r="L59" s="474">
        <v>70000000</v>
      </c>
      <c r="M59" s="475">
        <v>262369.72600702499</v>
      </c>
      <c r="N59" s="476">
        <v>69999.7935</v>
      </c>
    </row>
    <row r="60" spans="2:17">
      <c r="B60" s="857"/>
      <c r="C60" s="466" t="s">
        <v>1054</v>
      </c>
      <c r="D60" s="512" t="s">
        <v>808</v>
      </c>
      <c r="E60" s="469">
        <v>44362</v>
      </c>
      <c r="F60" s="469">
        <v>44727</v>
      </c>
      <c r="G60" s="513">
        <v>1</v>
      </c>
      <c r="H60" s="514" t="s">
        <v>816</v>
      </c>
      <c r="I60" s="515"/>
      <c r="J60" s="473">
        <v>1.0800000000000001E-2</v>
      </c>
      <c r="K60" s="321"/>
      <c r="L60" s="474">
        <v>40000000</v>
      </c>
      <c r="M60" s="475">
        <v>149925.5577183</v>
      </c>
      <c r="N60" s="476">
        <v>39999.881999999998</v>
      </c>
    </row>
    <row r="61" spans="2:17">
      <c r="B61" s="858"/>
      <c r="C61" s="466" t="s">
        <v>1055</v>
      </c>
      <c r="D61" s="512" t="s">
        <v>808</v>
      </c>
      <c r="E61" s="469">
        <v>44362</v>
      </c>
      <c r="F61" s="469">
        <v>44727</v>
      </c>
      <c r="G61" s="513">
        <v>1</v>
      </c>
      <c r="H61" s="514" t="s">
        <v>816</v>
      </c>
      <c r="I61" s="515"/>
      <c r="J61" s="473">
        <v>2.1000000000000001E-2</v>
      </c>
      <c r="K61" s="322"/>
      <c r="L61" s="474">
        <v>10000000</v>
      </c>
      <c r="M61" s="475">
        <v>37481.389429575</v>
      </c>
      <c r="N61" s="476">
        <v>9999.9704999999994</v>
      </c>
    </row>
    <row r="62" spans="2:17">
      <c r="B62" s="516"/>
      <c r="C62" s="490"/>
      <c r="D62" s="517"/>
      <c r="E62" s="491"/>
      <c r="F62" s="491"/>
      <c r="G62" s="518"/>
      <c r="H62" s="494"/>
      <c r="I62" s="494"/>
      <c r="J62" s="519"/>
      <c r="K62" s="321"/>
      <c r="L62" s="520"/>
      <c r="M62" s="482">
        <v>449776.67315490003</v>
      </c>
      <c r="N62" s="483">
        <v>119999.64599999999</v>
      </c>
    </row>
    <row r="63" spans="2:17">
      <c r="B63" s="508"/>
      <c r="C63" s="509"/>
      <c r="D63" s="510"/>
      <c r="E63" s="509"/>
      <c r="F63" s="509"/>
      <c r="G63" s="509"/>
      <c r="H63" s="509"/>
      <c r="I63" s="509"/>
      <c r="J63" s="509"/>
      <c r="K63" s="322"/>
      <c r="L63" s="521"/>
      <c r="M63" s="511"/>
      <c r="N63" s="511"/>
    </row>
    <row r="64" spans="2:17">
      <c r="B64" s="856" t="s">
        <v>877</v>
      </c>
      <c r="C64" s="466" t="s">
        <v>1054</v>
      </c>
      <c r="D64" s="467" t="s">
        <v>808</v>
      </c>
      <c r="E64" s="468">
        <v>44362</v>
      </c>
      <c r="F64" s="468">
        <v>44727</v>
      </c>
      <c r="G64" s="470">
        <v>1</v>
      </c>
      <c r="H64" s="471" t="s">
        <v>816</v>
      </c>
      <c r="I64" s="472"/>
      <c r="J64" s="473">
        <v>1.0800000000000001E-2</v>
      </c>
      <c r="K64" s="321"/>
      <c r="L64" s="474">
        <v>40000000</v>
      </c>
      <c r="M64" s="475">
        <v>149926</v>
      </c>
      <c r="N64" s="476">
        <v>40000</v>
      </c>
    </row>
    <row r="65" spans="2:14">
      <c r="B65" s="858"/>
      <c r="C65" s="466" t="s">
        <v>1055</v>
      </c>
      <c r="D65" s="467" t="s">
        <v>808</v>
      </c>
      <c r="E65" s="468">
        <v>44362</v>
      </c>
      <c r="F65" s="468">
        <v>44727</v>
      </c>
      <c r="G65" s="470">
        <v>1</v>
      </c>
      <c r="H65" s="471" t="s">
        <v>816</v>
      </c>
      <c r="I65" s="472"/>
      <c r="J65" s="473">
        <v>2.1000000000000001E-2</v>
      </c>
      <c r="K65" s="321"/>
      <c r="L65" s="474">
        <v>10000000</v>
      </c>
      <c r="M65" s="475">
        <v>37481.5</v>
      </c>
      <c r="N65" s="476">
        <v>10000</v>
      </c>
    </row>
    <row r="66" spans="2:14">
      <c r="B66" s="489"/>
      <c r="C66" s="522"/>
      <c r="D66" s="523"/>
      <c r="E66" s="524"/>
      <c r="F66" s="524"/>
      <c r="G66" s="525"/>
      <c r="H66" s="526"/>
      <c r="I66" s="527"/>
      <c r="J66" s="528"/>
      <c r="K66" s="322"/>
      <c r="L66" s="529"/>
      <c r="M66" s="482">
        <v>187407.5</v>
      </c>
      <c r="N66" s="483">
        <v>50000</v>
      </c>
    </row>
    <row r="67" spans="2:14">
      <c r="B67" s="508"/>
      <c r="C67" s="509"/>
      <c r="D67" s="510"/>
      <c r="E67" s="509"/>
      <c r="F67" s="509"/>
      <c r="G67" s="509"/>
      <c r="H67" s="509"/>
      <c r="I67" s="509"/>
      <c r="J67" s="509"/>
      <c r="K67" s="321"/>
      <c r="L67" s="521"/>
      <c r="M67" s="511"/>
      <c r="N67" s="511"/>
    </row>
    <row r="68" spans="2:14">
      <c r="B68" s="856" t="s">
        <v>878</v>
      </c>
      <c r="C68" s="466" t="s">
        <v>1241</v>
      </c>
      <c r="D68" s="467" t="s">
        <v>808</v>
      </c>
      <c r="E68" s="468">
        <v>44067</v>
      </c>
      <c r="F68" s="468">
        <v>44797</v>
      </c>
      <c r="G68" s="470">
        <v>2</v>
      </c>
      <c r="H68" s="471" t="s">
        <v>818</v>
      </c>
      <c r="I68" s="472" t="s">
        <v>154</v>
      </c>
      <c r="J68" s="473">
        <v>1.2500000000000001E-2</v>
      </c>
      <c r="K68" s="322"/>
      <c r="L68" s="474">
        <v>82500000</v>
      </c>
      <c r="M68" s="475">
        <v>311249.3561663552</v>
      </c>
      <c r="N68" s="476">
        <v>83040.795103279001</v>
      </c>
    </row>
    <row r="69" spans="2:14">
      <c r="B69" s="857"/>
      <c r="C69" s="466" t="s">
        <v>807</v>
      </c>
      <c r="D69" s="467" t="s">
        <v>819</v>
      </c>
      <c r="E69" s="468">
        <v>44524</v>
      </c>
      <c r="F69" s="468">
        <v>44674</v>
      </c>
      <c r="G69" s="470">
        <v>0.41095890410958902</v>
      </c>
      <c r="H69" s="471" t="s">
        <v>816</v>
      </c>
      <c r="I69" s="472">
        <v>0</v>
      </c>
      <c r="J69" s="473">
        <v>7.1499999999999994E-2</v>
      </c>
      <c r="K69" s="322"/>
      <c r="L69" s="474">
        <v>249258000</v>
      </c>
      <c r="M69" s="475">
        <v>252247.99069876887</v>
      </c>
      <c r="N69" s="476">
        <v>67299.331856721008</v>
      </c>
    </row>
    <row r="70" spans="2:14">
      <c r="B70" s="489"/>
      <c r="C70" s="522"/>
      <c r="D70" s="523"/>
      <c r="E70" s="524"/>
      <c r="F70" s="524"/>
      <c r="G70" s="525"/>
      <c r="H70" s="526"/>
      <c r="I70" s="527"/>
      <c r="J70" s="528"/>
      <c r="K70" s="321"/>
      <c r="L70" s="529"/>
      <c r="M70" s="482">
        <v>563497.34686512407</v>
      </c>
      <c r="N70" s="483">
        <v>150340.12696000002</v>
      </c>
    </row>
    <row r="71" spans="2:14">
      <c r="B71" s="478"/>
      <c r="C71" s="522"/>
      <c r="D71" s="523"/>
      <c r="E71" s="524"/>
      <c r="F71" s="524"/>
      <c r="G71" s="525"/>
      <c r="H71" s="526"/>
      <c r="I71" s="527"/>
      <c r="J71" s="528"/>
      <c r="K71" s="322"/>
      <c r="L71" s="529"/>
      <c r="M71" s="511"/>
      <c r="N71" s="511"/>
    </row>
    <row r="72" spans="2:14">
      <c r="B72" s="530" t="s">
        <v>1056</v>
      </c>
      <c r="C72" s="466" t="s">
        <v>1222</v>
      </c>
      <c r="D72" s="467" t="s">
        <v>808</v>
      </c>
      <c r="E72" s="468">
        <v>44305</v>
      </c>
      <c r="F72" s="468">
        <v>44844</v>
      </c>
      <c r="G72" s="497">
        <v>1.4767123287671233</v>
      </c>
      <c r="H72" s="514" t="s">
        <v>816</v>
      </c>
      <c r="I72" s="472">
        <v>0</v>
      </c>
      <c r="J72" s="477">
        <v>2.23E-2</v>
      </c>
      <c r="K72" s="321"/>
      <c r="L72" s="474">
        <v>1100000</v>
      </c>
      <c r="M72" s="475">
        <v>4122.9650000000001</v>
      </c>
      <c r="N72" s="476">
        <v>1100</v>
      </c>
    </row>
    <row r="73" spans="2:14">
      <c r="B73" s="478"/>
      <c r="C73" s="478"/>
      <c r="D73" s="478"/>
      <c r="E73" s="478"/>
      <c r="F73" s="478"/>
      <c r="G73" s="478"/>
      <c r="H73" s="478"/>
      <c r="I73" s="478"/>
      <c r="J73" s="478"/>
      <c r="K73" s="478"/>
      <c r="L73" s="478"/>
      <c r="M73" s="482">
        <v>4122.9650000000001</v>
      </c>
      <c r="N73" s="483">
        <v>1100</v>
      </c>
    </row>
    <row r="74" spans="2:14">
      <c r="B74" s="478"/>
      <c r="C74" s="478"/>
      <c r="D74" s="478"/>
      <c r="E74" s="478"/>
      <c r="F74" s="478"/>
      <c r="G74" s="478"/>
      <c r="H74" s="478"/>
      <c r="I74" s="478"/>
      <c r="J74" s="478"/>
      <c r="K74" s="478"/>
      <c r="L74" s="478"/>
      <c r="M74" s="478"/>
      <c r="N74" s="478"/>
    </row>
    <row r="75" spans="2:14">
      <c r="B75" s="859" t="s">
        <v>879</v>
      </c>
      <c r="C75" s="773" t="s">
        <v>817</v>
      </c>
      <c r="D75" s="466" t="s">
        <v>808</v>
      </c>
      <c r="E75" s="468">
        <v>42405</v>
      </c>
      <c r="F75" s="468">
        <v>45501</v>
      </c>
      <c r="G75" s="470">
        <v>8.4821917808219176</v>
      </c>
      <c r="H75" s="471" t="s">
        <v>809</v>
      </c>
      <c r="I75" s="472" t="s">
        <v>154</v>
      </c>
      <c r="J75" s="477">
        <v>2.2499999999999999E-2</v>
      </c>
      <c r="K75" s="321"/>
      <c r="L75" s="474">
        <v>3200000</v>
      </c>
      <c r="M75" s="475">
        <v>11994.079921959208</v>
      </c>
      <c r="N75" s="476">
        <v>3199.9999791788505</v>
      </c>
    </row>
    <row r="76" spans="2:14">
      <c r="B76" s="860"/>
      <c r="C76" s="773" t="s">
        <v>817</v>
      </c>
      <c r="D76" s="466" t="s">
        <v>819</v>
      </c>
      <c r="E76" s="468">
        <v>43959</v>
      </c>
      <c r="F76" s="468">
        <v>45039</v>
      </c>
      <c r="G76" s="470">
        <v>2.9589041095890409</v>
      </c>
      <c r="H76" s="471" t="s">
        <v>816</v>
      </c>
      <c r="I76" s="472"/>
      <c r="J76" s="477">
        <v>9.7999999999999997E-3</v>
      </c>
      <c r="K76" s="321"/>
      <c r="L76" s="474">
        <v>3690458.4696985758</v>
      </c>
      <c r="M76" s="475">
        <v>3710.4055319739132</v>
      </c>
      <c r="N76" s="476">
        <v>989.92984058106344</v>
      </c>
    </row>
    <row r="77" spans="2:14">
      <c r="B77" s="861"/>
      <c r="C77" s="773" t="s">
        <v>817</v>
      </c>
      <c r="D77" s="466" t="s">
        <v>808</v>
      </c>
      <c r="E77" s="468">
        <v>44650</v>
      </c>
      <c r="F77" s="468">
        <v>44830</v>
      </c>
      <c r="G77" s="470">
        <v>0.49315068493150682</v>
      </c>
      <c r="H77" s="471" t="s">
        <v>816</v>
      </c>
      <c r="I77" s="472"/>
      <c r="J77" s="477">
        <v>3.3300000000000003E-2</v>
      </c>
      <c r="K77" s="322"/>
      <c r="L77" s="474">
        <v>1500000</v>
      </c>
      <c r="M77" s="475">
        <v>5622.224963418379</v>
      </c>
      <c r="N77" s="476">
        <v>1499.9999902400862</v>
      </c>
    </row>
    <row r="78" spans="2:14">
      <c r="B78" s="774"/>
      <c r="C78" s="490"/>
      <c r="D78" s="531"/>
      <c r="E78" s="491"/>
      <c r="F78" s="491"/>
      <c r="G78" s="492"/>
      <c r="H78" s="494"/>
      <c r="I78" s="494"/>
      <c r="J78" s="494"/>
      <c r="K78" s="321"/>
      <c r="L78" s="494"/>
      <c r="M78" s="482">
        <v>21326.7104173515</v>
      </c>
      <c r="N78" s="483">
        <v>5689.9298099999996</v>
      </c>
    </row>
    <row r="79" spans="2:14" ht="15">
      <c r="B79" s="339"/>
      <c r="C79" s="312"/>
      <c r="D79" s="340"/>
      <c r="E79" s="314"/>
      <c r="F79" s="314"/>
      <c r="G79" s="320"/>
      <c r="H79" s="316"/>
      <c r="I79" s="316"/>
      <c r="J79" s="316"/>
      <c r="K79" s="311"/>
      <c r="L79" s="316"/>
      <c r="M79" s="325"/>
      <c r="N79" s="325"/>
    </row>
    <row r="80" spans="2:14" ht="15" thickBot="1">
      <c r="B80" s="505" t="s">
        <v>880</v>
      </c>
      <c r="C80" s="505"/>
      <c r="D80" s="505"/>
      <c r="E80" s="505"/>
      <c r="F80" s="505"/>
      <c r="G80" s="505"/>
      <c r="H80" s="505"/>
      <c r="I80" s="506"/>
      <c r="J80" s="506"/>
      <c r="K80" s="321"/>
      <c r="L80" s="506"/>
      <c r="M80" s="507">
        <f>+M89+M92+M97+M101+M104+M109+M112+M124</f>
        <v>1217130.0970440195</v>
      </c>
      <c r="N80" s="507">
        <f>+N89+N92+N97+N101+N104+N109+N112+N124</f>
        <v>324728.22513613914</v>
      </c>
    </row>
    <row r="81" spans="2:14" ht="15" thickTop="1">
      <c r="B81" s="508"/>
      <c r="C81" s="509"/>
      <c r="D81" s="510"/>
      <c r="E81" s="509"/>
      <c r="F81" s="509"/>
      <c r="G81" s="509"/>
      <c r="H81" s="509"/>
      <c r="I81" s="509"/>
      <c r="J81" s="509"/>
      <c r="K81" s="322"/>
      <c r="L81" s="509"/>
      <c r="M81" s="532"/>
      <c r="N81" s="532"/>
    </row>
    <row r="82" spans="2:14">
      <c r="B82" s="852" t="s">
        <v>881</v>
      </c>
      <c r="C82" s="466" t="s">
        <v>821</v>
      </c>
      <c r="D82" s="466" t="s">
        <v>820</v>
      </c>
      <c r="E82" s="468">
        <v>41668</v>
      </c>
      <c r="F82" s="468">
        <v>47192</v>
      </c>
      <c r="G82" s="470">
        <v>15.134246575342466</v>
      </c>
      <c r="H82" s="514" t="s">
        <v>822</v>
      </c>
      <c r="I82" s="472" t="s">
        <v>154</v>
      </c>
      <c r="J82" s="477">
        <v>1.7999999999999999E-2</v>
      </c>
      <c r="K82" s="321"/>
      <c r="L82" s="474">
        <v>134484278.50999999</v>
      </c>
      <c r="M82" s="475">
        <v>106392.68227504184</v>
      </c>
      <c r="N82" s="476">
        <v>28385.385396806912</v>
      </c>
    </row>
    <row r="83" spans="2:14">
      <c r="B83" s="853"/>
      <c r="C83" s="466" t="s">
        <v>823</v>
      </c>
      <c r="D83" s="466" t="s">
        <v>820</v>
      </c>
      <c r="E83" s="468">
        <v>41668</v>
      </c>
      <c r="F83" s="468">
        <v>45306</v>
      </c>
      <c r="G83" s="470">
        <v>9.9671232876712335</v>
      </c>
      <c r="H83" s="471" t="s">
        <v>816</v>
      </c>
      <c r="I83" s="472">
        <v>0</v>
      </c>
      <c r="J83" s="477">
        <v>3.5000000000000003E-2</v>
      </c>
      <c r="K83" s="322"/>
      <c r="L83" s="474">
        <v>18720309.880000003</v>
      </c>
      <c r="M83" s="475">
        <v>14809.939148426689</v>
      </c>
      <c r="N83" s="476">
        <v>3951.2663976699678</v>
      </c>
    </row>
    <row r="84" spans="2:14">
      <c r="B84" s="853"/>
      <c r="C84" s="466" t="s">
        <v>824</v>
      </c>
      <c r="D84" s="466" t="s">
        <v>820</v>
      </c>
      <c r="E84" s="468">
        <v>41668</v>
      </c>
      <c r="F84" s="468">
        <v>47192</v>
      </c>
      <c r="G84" s="470">
        <v>15.134246575342466</v>
      </c>
      <c r="H84" s="514" t="s">
        <v>822</v>
      </c>
      <c r="I84" s="472" t="s">
        <v>154</v>
      </c>
      <c r="J84" s="477">
        <v>0</v>
      </c>
      <c r="K84" s="321"/>
      <c r="L84" s="533">
        <v>1118297.45</v>
      </c>
      <c r="M84" s="475">
        <v>884.70315344698429</v>
      </c>
      <c r="N84" s="476">
        <v>236.03728598027939</v>
      </c>
    </row>
    <row r="85" spans="2:14">
      <c r="B85" s="853"/>
      <c r="C85" s="466" t="s">
        <v>827</v>
      </c>
      <c r="D85" s="466" t="s">
        <v>820</v>
      </c>
      <c r="E85" s="468">
        <v>42955</v>
      </c>
      <c r="F85" s="468">
        <v>48288</v>
      </c>
      <c r="G85" s="470">
        <v>14.610958904109589</v>
      </c>
      <c r="H85" s="514" t="s">
        <v>822</v>
      </c>
      <c r="I85" s="472" t="s">
        <v>154</v>
      </c>
      <c r="J85" s="477">
        <v>2.6200000000000001E-2</v>
      </c>
      <c r="K85" s="322"/>
      <c r="L85" s="474">
        <v>194793002.70000002</v>
      </c>
      <c r="M85" s="475">
        <v>154103.88690244884</v>
      </c>
      <c r="N85" s="476">
        <v>41114.653069500644</v>
      </c>
    </row>
    <row r="86" spans="2:14">
      <c r="B86" s="853"/>
      <c r="C86" s="466" t="s">
        <v>828</v>
      </c>
      <c r="D86" s="466" t="s">
        <v>820</v>
      </c>
      <c r="E86" s="468">
        <v>42955</v>
      </c>
      <c r="F86" s="468">
        <v>48288</v>
      </c>
      <c r="G86" s="470">
        <v>14.610958904109589</v>
      </c>
      <c r="H86" s="514" t="s">
        <v>822</v>
      </c>
      <c r="I86" s="472" t="s">
        <v>154</v>
      </c>
      <c r="J86" s="477">
        <v>0</v>
      </c>
      <c r="K86" s="322"/>
      <c r="L86" s="474">
        <v>1156629.48</v>
      </c>
      <c r="M86" s="475">
        <v>915.02824076523257</v>
      </c>
      <c r="N86" s="476">
        <v>244.12796733461374</v>
      </c>
    </row>
    <row r="87" spans="2:14">
      <c r="B87" s="853"/>
      <c r="C87" s="466" t="s">
        <v>829</v>
      </c>
      <c r="D87" s="466" t="s">
        <v>820</v>
      </c>
      <c r="E87" s="468">
        <v>43951</v>
      </c>
      <c r="F87" s="468">
        <v>44671</v>
      </c>
      <c r="G87" s="470">
        <v>1.9726027397260273</v>
      </c>
      <c r="H87" s="514" t="s">
        <v>830</v>
      </c>
      <c r="I87" s="472" t="s">
        <v>154</v>
      </c>
      <c r="J87" s="477">
        <v>2.4989999999999998E-2</v>
      </c>
      <c r="K87" s="321"/>
      <c r="L87" s="474">
        <v>649999996.07000005</v>
      </c>
      <c r="M87" s="475">
        <v>514225.48291034409</v>
      </c>
      <c r="N87" s="476">
        <v>137194.4780519307</v>
      </c>
    </row>
    <row r="88" spans="2:14">
      <c r="B88" s="854"/>
      <c r="C88" s="466" t="s">
        <v>1271</v>
      </c>
      <c r="D88" s="466" t="s">
        <v>820</v>
      </c>
      <c r="E88" s="468">
        <v>44641</v>
      </c>
      <c r="F88" s="468">
        <v>51850</v>
      </c>
      <c r="G88" s="470">
        <v>19.75068493150685</v>
      </c>
      <c r="H88" s="514" t="s">
        <v>822</v>
      </c>
      <c r="I88" s="472" t="s">
        <v>154</v>
      </c>
      <c r="J88" s="477">
        <v>2.01E-2</v>
      </c>
      <c r="K88" s="322"/>
      <c r="L88" s="474">
        <v>226960000</v>
      </c>
      <c r="M88" s="475">
        <v>179551.71739533838</v>
      </c>
      <c r="N88" s="476">
        <v>47904.09065681426</v>
      </c>
    </row>
    <row r="89" spans="2:14">
      <c r="B89" s="478"/>
      <c r="C89" s="490"/>
      <c r="D89" s="517"/>
      <c r="E89" s="491"/>
      <c r="F89" s="491"/>
      <c r="G89" s="518"/>
      <c r="H89" s="494"/>
      <c r="I89" s="494"/>
      <c r="J89" s="519"/>
      <c r="K89" s="321"/>
      <c r="L89" s="520"/>
      <c r="M89" s="482">
        <v>970883.4400258119</v>
      </c>
      <c r="N89" s="483">
        <v>259030.03882603737</v>
      </c>
    </row>
    <row r="90" spans="2:14">
      <c r="B90" s="478"/>
      <c r="C90" s="490"/>
      <c r="D90" s="517"/>
      <c r="E90" s="491"/>
      <c r="F90" s="491"/>
      <c r="G90" s="518"/>
      <c r="H90" s="494"/>
      <c r="I90" s="494"/>
      <c r="J90" s="519"/>
      <c r="K90" s="322"/>
      <c r="L90" s="520"/>
      <c r="M90" s="511"/>
      <c r="N90" s="511"/>
    </row>
    <row r="91" spans="2:14">
      <c r="B91" s="534" t="s">
        <v>882</v>
      </c>
      <c r="C91" s="466" t="s">
        <v>831</v>
      </c>
      <c r="D91" s="466" t="s">
        <v>820</v>
      </c>
      <c r="E91" s="468">
        <v>39899</v>
      </c>
      <c r="F91" s="468">
        <v>45031</v>
      </c>
      <c r="G91" s="470">
        <v>14.06027397260274</v>
      </c>
      <c r="H91" s="471" t="s">
        <v>822</v>
      </c>
      <c r="I91" s="472" t="s">
        <v>154</v>
      </c>
      <c r="J91" s="477">
        <v>2.3900000000000001E-2</v>
      </c>
      <c r="K91" s="321"/>
      <c r="L91" s="474">
        <v>0</v>
      </c>
      <c r="M91" s="475">
        <v>0</v>
      </c>
      <c r="N91" s="476">
        <v>0</v>
      </c>
    </row>
    <row r="92" spans="2:14">
      <c r="B92" s="478"/>
      <c r="C92" s="490"/>
      <c r="D92" s="517"/>
      <c r="E92" s="491"/>
      <c r="F92" s="491"/>
      <c r="G92" s="518"/>
      <c r="H92" s="494"/>
      <c r="I92" s="494"/>
      <c r="J92" s="519"/>
      <c r="K92" s="322"/>
      <c r="L92" s="520"/>
      <c r="M92" s="482">
        <v>0</v>
      </c>
      <c r="N92" s="483">
        <v>0</v>
      </c>
    </row>
    <row r="93" spans="2:14">
      <c r="B93" s="478"/>
      <c r="C93" s="490"/>
      <c r="D93" s="517"/>
      <c r="E93" s="491"/>
      <c r="F93" s="491"/>
      <c r="G93" s="518"/>
      <c r="H93" s="494"/>
      <c r="I93" s="494"/>
      <c r="J93" s="519"/>
      <c r="K93" s="321"/>
      <c r="L93" s="520"/>
      <c r="M93" s="511"/>
      <c r="N93" s="511"/>
    </row>
    <row r="94" spans="2:14">
      <c r="B94" s="535"/>
      <c r="C94" s="466" t="s">
        <v>831</v>
      </c>
      <c r="D94" s="466" t="s">
        <v>820</v>
      </c>
      <c r="E94" s="469">
        <v>40571</v>
      </c>
      <c r="F94" s="469">
        <v>46157</v>
      </c>
      <c r="G94" s="470">
        <v>15.304109589041095</v>
      </c>
      <c r="H94" s="471" t="s">
        <v>822</v>
      </c>
      <c r="I94" s="472" t="s">
        <v>154</v>
      </c>
      <c r="J94" s="477">
        <v>2.6200000000000001E-2</v>
      </c>
      <c r="K94" s="321"/>
      <c r="L94" s="474">
        <v>14883811.439999999</v>
      </c>
      <c r="M94" s="475">
        <v>11774.823303819518</v>
      </c>
      <c r="N94" s="476">
        <v>3141.5026890117838</v>
      </c>
    </row>
    <row r="95" spans="2:14">
      <c r="B95" s="536" t="s">
        <v>1057</v>
      </c>
      <c r="C95" s="466" t="s">
        <v>832</v>
      </c>
      <c r="D95" s="466" t="s">
        <v>820</v>
      </c>
      <c r="E95" s="469">
        <v>41529</v>
      </c>
      <c r="F95" s="469">
        <v>45033</v>
      </c>
      <c r="G95" s="470">
        <v>9.6</v>
      </c>
      <c r="H95" s="514" t="s">
        <v>816</v>
      </c>
      <c r="I95" s="472"/>
      <c r="J95" s="477">
        <v>3.5000000000000003E-2</v>
      </c>
      <c r="K95" s="322"/>
      <c r="L95" s="474">
        <v>1959159.8699999999</v>
      </c>
      <c r="M95" s="475">
        <v>1549.9229741104552</v>
      </c>
      <c r="N95" s="476">
        <v>413.51679471484738</v>
      </c>
    </row>
    <row r="96" spans="2:14">
      <c r="B96" s="537"/>
      <c r="C96" s="466" t="s">
        <v>831</v>
      </c>
      <c r="D96" s="466" t="s">
        <v>820</v>
      </c>
      <c r="E96" s="469">
        <v>41529</v>
      </c>
      <c r="F96" s="469">
        <v>46798</v>
      </c>
      <c r="G96" s="470">
        <v>14.435616438356165</v>
      </c>
      <c r="H96" s="471" t="s">
        <v>822</v>
      </c>
      <c r="I96" s="472" t="s">
        <v>154</v>
      </c>
      <c r="J96" s="473">
        <v>2.06E-2</v>
      </c>
      <c r="K96" s="321"/>
      <c r="L96" s="474">
        <v>3237675.54</v>
      </c>
      <c r="M96" s="475">
        <v>2561.3773429125386</v>
      </c>
      <c r="N96" s="476">
        <v>683.37108784668135</v>
      </c>
    </row>
    <row r="97" spans="2:14">
      <c r="B97" s="478"/>
      <c r="C97" s="490"/>
      <c r="D97" s="490"/>
      <c r="E97" s="491"/>
      <c r="F97" s="491"/>
      <c r="G97" s="492"/>
      <c r="H97" s="494"/>
      <c r="I97" s="494"/>
      <c r="J97" s="519"/>
      <c r="K97" s="322"/>
      <c r="L97" s="520"/>
      <c r="M97" s="482">
        <v>15886.123620842511</v>
      </c>
      <c r="N97" s="482">
        <v>4238.3905715733126</v>
      </c>
    </row>
    <row r="98" spans="2:14">
      <c r="B98" s="478"/>
      <c r="C98" s="490"/>
      <c r="D98" s="490"/>
      <c r="E98" s="491"/>
      <c r="F98" s="491"/>
      <c r="G98" s="492"/>
      <c r="H98" s="494"/>
      <c r="I98" s="494"/>
      <c r="J98" s="519"/>
      <c r="K98" s="321"/>
      <c r="L98" s="520"/>
      <c r="M98" s="511"/>
      <c r="N98" s="511"/>
    </row>
    <row r="99" spans="2:14">
      <c r="B99" s="837" t="s">
        <v>883</v>
      </c>
      <c r="C99" s="466" t="s">
        <v>831</v>
      </c>
      <c r="D99" s="466" t="s">
        <v>820</v>
      </c>
      <c r="E99" s="469">
        <v>40865</v>
      </c>
      <c r="F99" s="469">
        <v>46157</v>
      </c>
      <c r="G99" s="470">
        <v>14.498630136986302</v>
      </c>
      <c r="H99" s="471" t="s">
        <v>822</v>
      </c>
      <c r="I99" s="472" t="s">
        <v>154</v>
      </c>
      <c r="J99" s="477">
        <v>1.95E-2</v>
      </c>
      <c r="K99" s="322"/>
      <c r="L99" s="474">
        <v>16057126.960000001</v>
      </c>
      <c r="M99" s="475">
        <v>12703.052137093986</v>
      </c>
      <c r="N99" s="476">
        <v>3389.152551817293</v>
      </c>
    </row>
    <row r="100" spans="2:14">
      <c r="B100" s="838"/>
      <c r="C100" s="466" t="s">
        <v>831</v>
      </c>
      <c r="D100" s="466" t="s">
        <v>820</v>
      </c>
      <c r="E100" s="469">
        <v>40865</v>
      </c>
      <c r="F100" s="469">
        <v>46157</v>
      </c>
      <c r="G100" s="470">
        <v>14.498630136986302</v>
      </c>
      <c r="H100" s="471" t="s">
        <v>822</v>
      </c>
      <c r="I100" s="472" t="s">
        <v>154</v>
      </c>
      <c r="J100" s="477">
        <v>1.55E-2</v>
      </c>
      <c r="K100" s="321"/>
      <c r="L100" s="474">
        <v>13877844.51</v>
      </c>
      <c r="M100" s="475">
        <v>10978.986639401493</v>
      </c>
      <c r="N100" s="476">
        <v>2929.1748300899094</v>
      </c>
    </row>
    <row r="101" spans="2:14">
      <c r="B101" s="538"/>
      <c r="C101" s="490"/>
      <c r="D101" s="490"/>
      <c r="E101" s="491"/>
      <c r="F101" s="491"/>
      <c r="G101" s="492"/>
      <c r="H101" s="494"/>
      <c r="I101" s="494"/>
      <c r="J101" s="519"/>
      <c r="K101" s="322"/>
      <c r="L101" s="520"/>
      <c r="M101" s="482">
        <v>23682.038776495479</v>
      </c>
      <c r="N101" s="482">
        <v>6318.3273819072019</v>
      </c>
    </row>
    <row r="102" spans="2:14">
      <c r="B102" s="478"/>
      <c r="C102" s="490"/>
      <c r="D102" s="490"/>
      <c r="E102" s="491"/>
      <c r="F102" s="491"/>
      <c r="G102" s="492"/>
      <c r="H102" s="494"/>
      <c r="I102" s="494"/>
      <c r="J102" s="519"/>
      <c r="K102" s="321"/>
      <c r="L102" s="520"/>
      <c r="M102" s="511"/>
      <c r="N102" s="511"/>
    </row>
    <row r="103" spans="2:14">
      <c r="B103" s="539" t="s">
        <v>884</v>
      </c>
      <c r="C103" s="466" t="s">
        <v>833</v>
      </c>
      <c r="D103" s="466" t="s">
        <v>820</v>
      </c>
      <c r="E103" s="468">
        <v>40317</v>
      </c>
      <c r="F103" s="468">
        <v>47622</v>
      </c>
      <c r="G103" s="470">
        <v>20.013698630136986</v>
      </c>
      <c r="H103" s="514" t="s">
        <v>816</v>
      </c>
      <c r="I103" s="472">
        <v>0</v>
      </c>
      <c r="J103" s="477">
        <v>8.5000000000000006E-2</v>
      </c>
      <c r="K103" s="322"/>
      <c r="L103" s="474">
        <v>131713694.47999999</v>
      </c>
      <c r="M103" s="475">
        <v>104200.82822517033</v>
      </c>
      <c r="N103" s="476">
        <v>27800.602490607456</v>
      </c>
    </row>
    <row r="104" spans="2:14">
      <c r="B104" s="478"/>
      <c r="C104" s="490"/>
      <c r="D104" s="517"/>
      <c r="E104" s="491"/>
      <c r="F104" s="491"/>
      <c r="G104" s="518"/>
      <c r="H104" s="494"/>
      <c r="I104" s="494"/>
      <c r="J104" s="519"/>
      <c r="K104" s="321"/>
      <c r="L104" s="520"/>
      <c r="M104" s="482">
        <v>104200.82822517033</v>
      </c>
      <c r="N104" s="482">
        <v>27800.602490607456</v>
      </c>
    </row>
    <row r="105" spans="2:14">
      <c r="B105" s="478"/>
      <c r="C105" s="490"/>
      <c r="D105" s="490"/>
      <c r="E105" s="491"/>
      <c r="F105" s="491"/>
      <c r="G105" s="492"/>
      <c r="H105" s="494"/>
      <c r="I105" s="494"/>
      <c r="J105" s="519"/>
      <c r="K105" s="322"/>
      <c r="L105" s="520"/>
      <c r="M105" s="511"/>
      <c r="N105" s="511"/>
    </row>
    <row r="106" spans="2:14">
      <c r="B106" s="839" t="s">
        <v>885</v>
      </c>
      <c r="C106" s="466" t="s">
        <v>834</v>
      </c>
      <c r="D106" s="466" t="s">
        <v>820</v>
      </c>
      <c r="E106" s="468">
        <v>41483</v>
      </c>
      <c r="F106" s="468">
        <v>46798</v>
      </c>
      <c r="G106" s="470">
        <v>14.561643835616438</v>
      </c>
      <c r="H106" s="471" t="s">
        <v>822</v>
      </c>
      <c r="I106" s="472" t="s">
        <v>154</v>
      </c>
      <c r="J106" s="477">
        <v>2.58E-2</v>
      </c>
      <c r="K106" s="321"/>
      <c r="L106" s="474">
        <v>0</v>
      </c>
      <c r="M106" s="475">
        <v>0</v>
      </c>
      <c r="N106" s="476">
        <v>0</v>
      </c>
    </row>
    <row r="107" spans="2:14">
      <c r="B107" s="840"/>
      <c r="C107" s="466" t="s">
        <v>834</v>
      </c>
      <c r="D107" s="466" t="s">
        <v>820</v>
      </c>
      <c r="E107" s="468">
        <v>41483</v>
      </c>
      <c r="F107" s="468">
        <v>45031</v>
      </c>
      <c r="G107" s="470">
        <v>9.7205479452054799</v>
      </c>
      <c r="H107" s="514" t="s">
        <v>816</v>
      </c>
      <c r="I107" s="472"/>
      <c r="J107" s="477">
        <v>0.03</v>
      </c>
      <c r="K107" s="322"/>
      <c r="L107" s="474">
        <v>0</v>
      </c>
      <c r="M107" s="475">
        <v>0</v>
      </c>
      <c r="N107" s="476">
        <v>0</v>
      </c>
    </row>
    <row r="108" spans="2:14">
      <c r="B108" s="841"/>
      <c r="C108" s="466" t="s">
        <v>834</v>
      </c>
      <c r="D108" s="466" t="s">
        <v>820</v>
      </c>
      <c r="E108" s="468">
        <v>40533</v>
      </c>
      <c r="F108" s="468">
        <v>45792</v>
      </c>
      <c r="G108" s="470">
        <v>14.408219178082192</v>
      </c>
      <c r="H108" s="471" t="s">
        <v>822</v>
      </c>
      <c r="I108" s="472" t="s">
        <v>154</v>
      </c>
      <c r="J108" s="477">
        <v>2.58E-2</v>
      </c>
      <c r="K108" s="321"/>
      <c r="L108" s="474">
        <v>0</v>
      </c>
      <c r="M108" s="475">
        <v>0</v>
      </c>
      <c r="N108" s="476">
        <v>0</v>
      </c>
    </row>
    <row r="109" spans="2:14">
      <c r="B109" s="540"/>
      <c r="C109" s="490"/>
      <c r="D109" s="517"/>
      <c r="E109" s="491"/>
      <c r="F109" s="491"/>
      <c r="G109" s="518"/>
      <c r="H109" s="494"/>
      <c r="I109" s="494"/>
      <c r="J109" s="519"/>
      <c r="K109" s="321"/>
      <c r="L109" s="520"/>
      <c r="M109" s="482">
        <v>0</v>
      </c>
      <c r="N109" s="482">
        <v>0</v>
      </c>
    </row>
    <row r="110" spans="2:14">
      <c r="B110" s="478"/>
      <c r="C110" s="490"/>
      <c r="D110" s="517"/>
      <c r="E110" s="491"/>
      <c r="F110" s="491"/>
      <c r="G110" s="518"/>
      <c r="H110" s="494"/>
      <c r="I110" s="494"/>
      <c r="J110" s="519"/>
      <c r="K110" s="321"/>
      <c r="L110" s="520"/>
      <c r="M110" s="520"/>
      <c r="N110" s="520"/>
    </row>
    <row r="111" spans="2:14">
      <c r="B111" s="539" t="s">
        <v>1011</v>
      </c>
      <c r="C111" s="466" t="s">
        <v>835</v>
      </c>
      <c r="D111" s="466" t="s">
        <v>820</v>
      </c>
      <c r="E111" s="468">
        <v>44014</v>
      </c>
      <c r="F111" s="468">
        <v>44379</v>
      </c>
      <c r="G111" s="470">
        <v>1</v>
      </c>
      <c r="H111" s="514" t="s">
        <v>830</v>
      </c>
      <c r="I111" s="541"/>
      <c r="J111" s="473">
        <v>1.6E-2</v>
      </c>
      <c r="K111" s="322"/>
      <c r="L111" s="474">
        <v>0</v>
      </c>
      <c r="M111" s="475">
        <v>0</v>
      </c>
      <c r="N111" s="475">
        <v>0</v>
      </c>
    </row>
    <row r="112" spans="2:14">
      <c r="B112" s="542"/>
      <c r="C112" s="542"/>
      <c r="D112" s="542"/>
      <c r="E112" s="543"/>
      <c r="F112" s="543"/>
      <c r="G112" s="544"/>
      <c r="H112" s="545"/>
      <c r="I112" s="546"/>
      <c r="J112" s="496"/>
      <c r="K112" s="321"/>
      <c r="L112" s="547"/>
      <c r="M112" s="482">
        <v>0</v>
      </c>
      <c r="N112" s="482">
        <v>0</v>
      </c>
    </row>
    <row r="113" spans="2:14">
      <c r="B113" s="478"/>
      <c r="C113" s="490"/>
      <c r="D113" s="490"/>
      <c r="E113" s="491"/>
      <c r="F113" s="491"/>
      <c r="G113" s="492"/>
      <c r="H113" s="494"/>
      <c r="I113" s="494"/>
      <c r="J113" s="519"/>
      <c r="K113" s="322"/>
      <c r="L113" s="520"/>
      <c r="M113" s="511"/>
      <c r="N113" s="511"/>
    </row>
    <row r="114" spans="2:14">
      <c r="B114" s="844" t="s">
        <v>1012</v>
      </c>
      <c r="C114" s="712" t="s">
        <v>836</v>
      </c>
      <c r="D114" s="548" t="s">
        <v>820</v>
      </c>
      <c r="E114" s="549">
        <v>43056</v>
      </c>
      <c r="F114" s="549">
        <v>44914</v>
      </c>
      <c r="G114" s="470">
        <v>5.0904109589041093</v>
      </c>
      <c r="H114" s="550" t="s">
        <v>830</v>
      </c>
      <c r="I114" s="551"/>
      <c r="J114" s="552">
        <v>2.3E-2</v>
      </c>
      <c r="K114" s="322"/>
      <c r="L114" s="476">
        <v>7500000.0900000259</v>
      </c>
      <c r="M114" s="475">
        <v>5933.3710457015659</v>
      </c>
      <c r="N114" s="476">
        <v>1583.013232048228</v>
      </c>
    </row>
    <row r="115" spans="2:14">
      <c r="B115" s="845"/>
      <c r="C115" s="712" t="s">
        <v>837</v>
      </c>
      <c r="D115" s="548" t="s">
        <v>820</v>
      </c>
      <c r="E115" s="549">
        <v>43103</v>
      </c>
      <c r="F115" s="549">
        <v>44991</v>
      </c>
      <c r="G115" s="470">
        <v>5.1726027397260275</v>
      </c>
      <c r="H115" s="550" t="s">
        <v>830</v>
      </c>
      <c r="I115" s="551"/>
      <c r="J115" s="552">
        <v>3.9079999999999997E-2</v>
      </c>
      <c r="K115" s="321"/>
      <c r="L115" s="476">
        <v>4470416.2562162159</v>
      </c>
      <c r="M115" s="475">
        <v>3536.6184078094857</v>
      </c>
      <c r="N115" s="476">
        <v>943.56373352440153</v>
      </c>
    </row>
    <row r="116" spans="2:14">
      <c r="B116" s="845"/>
      <c r="C116" s="712" t="s">
        <v>837</v>
      </c>
      <c r="D116" s="548" t="s">
        <v>820</v>
      </c>
      <c r="E116" s="549">
        <v>43276</v>
      </c>
      <c r="F116" s="549">
        <v>44991</v>
      </c>
      <c r="G116" s="470">
        <v>4.6986301369863011</v>
      </c>
      <c r="H116" s="550" t="s">
        <v>830</v>
      </c>
      <c r="I116" s="551"/>
      <c r="J116" s="552">
        <v>3.4119999999999998E-2</v>
      </c>
      <c r="K116" s="322"/>
      <c r="L116" s="476">
        <v>8981288.9299999978</v>
      </c>
      <c r="M116" s="475">
        <v>7105.2425401159962</v>
      </c>
      <c r="N116" s="476">
        <v>1895.666539523764</v>
      </c>
    </row>
    <row r="117" spans="2:14">
      <c r="B117" s="845"/>
      <c r="C117" s="712" t="s">
        <v>836</v>
      </c>
      <c r="D117" s="548" t="s">
        <v>820</v>
      </c>
      <c r="E117" s="549">
        <v>43595</v>
      </c>
      <c r="F117" s="549">
        <v>45422</v>
      </c>
      <c r="G117" s="470">
        <v>5.0054794520547947</v>
      </c>
      <c r="H117" s="550" t="s">
        <v>830</v>
      </c>
      <c r="I117" s="551"/>
      <c r="J117" s="552">
        <v>2.5000000000000001E-2</v>
      </c>
      <c r="K117" s="321"/>
      <c r="L117" s="476">
        <v>10833333.399999999</v>
      </c>
      <c r="M117" s="475">
        <v>8570.4247936870997</v>
      </c>
      <c r="N117" s="476">
        <v>2286.5746551464322</v>
      </c>
    </row>
    <row r="118" spans="2:14">
      <c r="B118" s="845"/>
      <c r="C118" s="712" t="s">
        <v>1272</v>
      </c>
      <c r="D118" s="548" t="s">
        <v>820</v>
      </c>
      <c r="E118" s="549">
        <v>43896</v>
      </c>
      <c r="F118" s="549">
        <v>45516</v>
      </c>
      <c r="G118" s="470">
        <v>4.4383561643835616</v>
      </c>
      <c r="H118" s="550" t="s">
        <v>830</v>
      </c>
      <c r="I118" s="551"/>
      <c r="J118" s="552">
        <v>3.2800000000000003E-2</v>
      </c>
      <c r="K118" s="321"/>
      <c r="L118" s="476">
        <v>31150525.609999999</v>
      </c>
      <c r="M118" s="475">
        <v>24643.683265976928</v>
      </c>
      <c r="N118" s="476">
        <v>6574.8924845528927</v>
      </c>
    </row>
    <row r="119" spans="2:14">
      <c r="B119" s="845"/>
      <c r="C119" s="713" t="s">
        <v>838</v>
      </c>
      <c r="D119" s="512" t="s">
        <v>820</v>
      </c>
      <c r="E119" s="549">
        <v>43924</v>
      </c>
      <c r="F119" s="549">
        <v>44921</v>
      </c>
      <c r="G119" s="513">
        <v>2.7315068493150685</v>
      </c>
      <c r="H119" s="514" t="s">
        <v>830</v>
      </c>
      <c r="I119" s="515"/>
      <c r="J119" s="473">
        <v>4.2799999999999998E-2</v>
      </c>
      <c r="K119" s="322"/>
      <c r="L119" s="476">
        <v>30000000</v>
      </c>
      <c r="M119" s="475">
        <v>23733.483898004371</v>
      </c>
      <c r="N119" s="476">
        <v>6332.052852208255</v>
      </c>
    </row>
    <row r="120" spans="2:14">
      <c r="B120" s="845"/>
      <c r="C120" s="713" t="s">
        <v>837</v>
      </c>
      <c r="D120" s="512" t="s">
        <v>820</v>
      </c>
      <c r="E120" s="549">
        <v>44158</v>
      </c>
      <c r="F120" s="549">
        <v>45253</v>
      </c>
      <c r="G120" s="513">
        <v>3</v>
      </c>
      <c r="H120" s="514" t="s">
        <v>830</v>
      </c>
      <c r="I120" s="515"/>
      <c r="J120" s="473">
        <v>3.9E-2</v>
      </c>
      <c r="K120" s="322"/>
      <c r="L120" s="476">
        <v>4800000</v>
      </c>
      <c r="M120" s="475">
        <v>3797.3574236806999</v>
      </c>
      <c r="N120" s="476">
        <v>1013.128456353321</v>
      </c>
    </row>
    <row r="121" spans="2:14">
      <c r="B121" s="845"/>
      <c r="C121" s="713" t="s">
        <v>1223</v>
      </c>
      <c r="D121" s="512" t="s">
        <v>820</v>
      </c>
      <c r="E121" s="549">
        <v>44161</v>
      </c>
      <c r="F121" s="549">
        <v>45257</v>
      </c>
      <c r="G121" s="513">
        <v>3.0027397260273974</v>
      </c>
      <c r="H121" s="514" t="s">
        <v>830</v>
      </c>
      <c r="I121" s="515"/>
      <c r="J121" s="473">
        <v>3.1E-2</v>
      </c>
      <c r="K121" s="322"/>
      <c r="L121" s="476">
        <v>7799990</v>
      </c>
      <c r="M121" s="475">
        <v>6170.6979023198382</v>
      </c>
      <c r="N121" s="476">
        <v>1646.3316308898625</v>
      </c>
    </row>
    <row r="122" spans="2:14">
      <c r="B122" s="845"/>
      <c r="C122" s="713" t="s">
        <v>838</v>
      </c>
      <c r="D122" s="512" t="s">
        <v>820</v>
      </c>
      <c r="E122" s="549">
        <v>44266</v>
      </c>
      <c r="F122" s="549">
        <v>44987</v>
      </c>
      <c r="G122" s="553">
        <v>1.9753424657534246</v>
      </c>
      <c r="H122" s="514" t="s">
        <v>830</v>
      </c>
      <c r="I122" s="515"/>
      <c r="J122" s="473">
        <v>4.9001246830012279E-2</v>
      </c>
      <c r="K122" s="553"/>
      <c r="L122" s="476">
        <v>20000000</v>
      </c>
      <c r="M122" s="475">
        <v>15822.322598669582</v>
      </c>
      <c r="N122" s="476">
        <v>4221.3685681388361</v>
      </c>
    </row>
    <row r="123" spans="2:14">
      <c r="B123" s="846"/>
      <c r="C123" s="713" t="s">
        <v>836</v>
      </c>
      <c r="D123" s="512" t="s">
        <v>820</v>
      </c>
      <c r="E123" s="549">
        <v>44426</v>
      </c>
      <c r="F123" s="549">
        <v>44669</v>
      </c>
      <c r="G123" s="513">
        <v>0.66575342465753429</v>
      </c>
      <c r="H123" s="514" t="s">
        <v>830</v>
      </c>
      <c r="I123" s="515"/>
      <c r="J123" s="473">
        <v>4.5940000000000002E-2</v>
      </c>
      <c r="K123" s="321"/>
      <c r="L123" s="474">
        <v>4000000</v>
      </c>
      <c r="M123" s="475">
        <v>3164.4645197339164</v>
      </c>
      <c r="N123" s="476">
        <v>844.27371362776739</v>
      </c>
    </row>
    <row r="124" spans="2:14">
      <c r="B124" s="538"/>
      <c r="C124" s="542"/>
      <c r="D124" s="542"/>
      <c r="E124" s="543"/>
      <c r="F124" s="543"/>
      <c r="G124" s="544"/>
      <c r="H124" s="545"/>
      <c r="I124" s="546"/>
      <c r="J124" s="496"/>
      <c r="K124" s="321"/>
      <c r="L124" s="547"/>
      <c r="M124" s="482">
        <v>102477.66639569947</v>
      </c>
      <c r="N124" s="482">
        <v>27340.865866013763</v>
      </c>
    </row>
    <row r="125" spans="2:14" ht="15">
      <c r="B125" s="339"/>
      <c r="C125" s="312"/>
      <c r="D125" s="312"/>
      <c r="E125" s="314"/>
      <c r="F125" s="314"/>
      <c r="G125" s="320"/>
      <c r="H125" s="316"/>
      <c r="I125" s="316"/>
      <c r="J125" s="317"/>
      <c r="K125" s="310"/>
      <c r="L125" s="318"/>
      <c r="M125" s="431"/>
      <c r="N125" s="432"/>
    </row>
    <row r="126" spans="2:14" ht="15.75" thickBot="1">
      <c r="B126" s="330" t="s">
        <v>886</v>
      </c>
      <c r="C126" s="330"/>
      <c r="D126" s="330"/>
      <c r="E126" s="330"/>
      <c r="F126" s="330"/>
      <c r="G126" s="330"/>
      <c r="H126" s="330"/>
      <c r="I126" s="331"/>
      <c r="J126" s="331"/>
      <c r="K126" s="311"/>
      <c r="L126" s="331"/>
      <c r="M126" s="93">
        <f>+M133+M147+M155+M161+M167+M187</f>
        <v>1199636.2248668184</v>
      </c>
      <c r="N126" s="93">
        <f>+N133+N147+N155+N161+N167+N187</f>
        <v>320060.8900035533</v>
      </c>
    </row>
    <row r="127" spans="2:14" ht="15.75" thickTop="1">
      <c r="B127" s="332"/>
      <c r="C127" s="333"/>
      <c r="D127" s="338"/>
      <c r="E127" s="333"/>
      <c r="F127" s="333"/>
      <c r="G127" s="333"/>
      <c r="H127" s="333"/>
      <c r="I127" s="333"/>
      <c r="J127" s="341"/>
      <c r="K127" s="310"/>
      <c r="L127" s="341"/>
      <c r="M127" s="325"/>
      <c r="N127" s="325"/>
    </row>
    <row r="128" spans="2:14">
      <c r="B128" s="839" t="s">
        <v>887</v>
      </c>
      <c r="C128" s="466" t="s">
        <v>807</v>
      </c>
      <c r="D128" s="467" t="s">
        <v>839</v>
      </c>
      <c r="E128" s="468">
        <v>42032</v>
      </c>
      <c r="F128" s="468">
        <v>44770</v>
      </c>
      <c r="G128" s="470">
        <v>7.5013698630136982</v>
      </c>
      <c r="H128" s="471" t="s">
        <v>840</v>
      </c>
      <c r="I128" s="472" t="s">
        <v>154</v>
      </c>
      <c r="J128" s="554">
        <v>1.4E-2</v>
      </c>
      <c r="K128" s="322"/>
      <c r="L128" s="474">
        <v>1336260361.618</v>
      </c>
      <c r="M128" s="475">
        <v>6356.1323619156183</v>
      </c>
      <c r="N128" s="476">
        <v>1695.8052270895289</v>
      </c>
    </row>
    <row r="129" spans="2:14">
      <c r="B129" s="840"/>
      <c r="C129" s="466" t="s">
        <v>841</v>
      </c>
      <c r="D129" s="467" t="s">
        <v>839</v>
      </c>
      <c r="E129" s="468">
        <v>42802</v>
      </c>
      <c r="F129" s="468">
        <v>44624</v>
      </c>
      <c r="G129" s="470">
        <v>4.9917808219178079</v>
      </c>
      <c r="H129" s="471" t="s">
        <v>840</v>
      </c>
      <c r="I129" s="472" t="s">
        <v>154</v>
      </c>
      <c r="J129" s="554">
        <v>1.4999999999999999E-2</v>
      </c>
      <c r="K129" s="321"/>
      <c r="L129" s="474">
        <v>0</v>
      </c>
      <c r="M129" s="475">
        <v>0</v>
      </c>
      <c r="N129" s="476">
        <v>0</v>
      </c>
    </row>
    <row r="130" spans="2:14">
      <c r="B130" s="840"/>
      <c r="C130" s="466" t="s">
        <v>841</v>
      </c>
      <c r="D130" s="467" t="s">
        <v>839</v>
      </c>
      <c r="E130" s="468">
        <v>43976</v>
      </c>
      <c r="F130" s="468">
        <v>45407</v>
      </c>
      <c r="G130" s="470">
        <v>3.9205479452054797</v>
      </c>
      <c r="H130" s="471" t="s">
        <v>816</v>
      </c>
      <c r="I130" s="472"/>
      <c r="J130" s="554">
        <v>2.8999999999999998E-3</v>
      </c>
      <c r="K130" s="322"/>
      <c r="L130" s="474">
        <v>420986635.64201045</v>
      </c>
      <c r="M130" s="475">
        <v>2002.489077426598</v>
      </c>
      <c r="N130" s="476">
        <v>534.26065590400538</v>
      </c>
    </row>
    <row r="131" spans="2:14">
      <c r="B131" s="840"/>
      <c r="C131" s="466" t="s">
        <v>841</v>
      </c>
      <c r="D131" s="467" t="s">
        <v>839</v>
      </c>
      <c r="E131" s="468">
        <v>43976</v>
      </c>
      <c r="F131" s="468">
        <v>45407</v>
      </c>
      <c r="G131" s="470">
        <v>3.9205479452054797</v>
      </c>
      <c r="H131" s="471" t="s">
        <v>816</v>
      </c>
      <c r="I131" s="472"/>
      <c r="J131" s="554">
        <v>3.225E-3</v>
      </c>
      <c r="K131" s="478"/>
      <c r="L131" s="474">
        <v>0</v>
      </c>
      <c r="M131" s="475">
        <v>0</v>
      </c>
      <c r="N131" s="476">
        <v>0</v>
      </c>
    </row>
    <row r="132" spans="2:14">
      <c r="B132" s="842"/>
      <c r="C132" s="466" t="s">
        <v>841</v>
      </c>
      <c r="D132" s="467" t="s">
        <v>839</v>
      </c>
      <c r="E132" s="468">
        <v>44259</v>
      </c>
      <c r="F132" s="468">
        <v>46083</v>
      </c>
      <c r="G132" s="470">
        <v>4.9972602739726026</v>
      </c>
      <c r="H132" s="471" t="s">
        <v>816</v>
      </c>
      <c r="I132" s="472"/>
      <c r="J132" s="554">
        <v>4.8599999999999997E-2</v>
      </c>
      <c r="K132" s="321"/>
      <c r="L132" s="474">
        <v>1841987635</v>
      </c>
      <c r="M132" s="475">
        <v>8761.7035971159657</v>
      </c>
      <c r="N132" s="476">
        <v>2337.607512270311</v>
      </c>
    </row>
    <row r="133" spans="2:14">
      <c r="B133" s="478"/>
      <c r="C133" s="490"/>
      <c r="D133" s="517"/>
      <c r="E133" s="491"/>
      <c r="F133" s="491"/>
      <c r="G133" s="518"/>
      <c r="H133" s="555"/>
      <c r="I133" s="555"/>
      <c r="J133" s="519"/>
      <c r="K133" s="322"/>
      <c r="L133" s="520"/>
      <c r="M133" s="482">
        <v>17120.325036458184</v>
      </c>
      <c r="N133" s="482">
        <v>4567.6733952638451</v>
      </c>
    </row>
    <row r="134" spans="2:14" ht="15">
      <c r="B134" s="334"/>
      <c r="C134" s="490"/>
      <c r="D134" s="517"/>
      <c r="E134" s="491"/>
      <c r="F134" s="491"/>
      <c r="G134" s="518"/>
      <c r="H134" s="555"/>
      <c r="I134" s="555"/>
      <c r="J134" s="519"/>
      <c r="K134" s="321"/>
      <c r="L134" s="520"/>
      <c r="M134" s="511"/>
      <c r="N134" s="503"/>
    </row>
    <row r="135" spans="2:14">
      <c r="B135" s="837" t="s">
        <v>1013</v>
      </c>
      <c r="C135" s="466" t="s">
        <v>843</v>
      </c>
      <c r="D135" s="467" t="s">
        <v>842</v>
      </c>
      <c r="E135" s="468">
        <v>42809</v>
      </c>
      <c r="F135" s="468">
        <v>45366</v>
      </c>
      <c r="G135" s="470">
        <v>7.0054794520547947</v>
      </c>
      <c r="H135" s="471" t="s">
        <v>816</v>
      </c>
      <c r="I135" s="472" t="s">
        <v>154</v>
      </c>
      <c r="J135" s="477">
        <v>1.15E-2</v>
      </c>
      <c r="K135" s="321"/>
      <c r="L135" s="474">
        <v>0</v>
      </c>
      <c r="M135" s="475">
        <v>0</v>
      </c>
      <c r="N135" s="476">
        <v>0</v>
      </c>
    </row>
    <row r="136" spans="2:14">
      <c r="B136" s="843"/>
      <c r="C136" s="466" t="s">
        <v>845</v>
      </c>
      <c r="D136" s="467" t="s">
        <v>842</v>
      </c>
      <c r="E136" s="468">
        <v>41167</v>
      </c>
      <c r="F136" s="468">
        <v>45184</v>
      </c>
      <c r="G136" s="470">
        <v>11.005479452054795</v>
      </c>
      <c r="H136" s="471" t="s">
        <v>816</v>
      </c>
      <c r="I136" s="472" t="s">
        <v>154</v>
      </c>
      <c r="J136" s="477">
        <v>0.01</v>
      </c>
      <c r="K136" s="322"/>
      <c r="L136" s="476">
        <v>258093.82</v>
      </c>
      <c r="M136" s="475">
        <v>38950.991213123401</v>
      </c>
      <c r="N136" s="476">
        <v>10392.057738650641</v>
      </c>
    </row>
    <row r="137" spans="2:14">
      <c r="B137" s="843"/>
      <c r="C137" s="466" t="s">
        <v>846</v>
      </c>
      <c r="D137" s="467" t="s">
        <v>839</v>
      </c>
      <c r="E137" s="468">
        <v>43376</v>
      </c>
      <c r="F137" s="468">
        <v>45731</v>
      </c>
      <c r="G137" s="470">
        <v>6.4520547945205475</v>
      </c>
      <c r="H137" s="514" t="s">
        <v>847</v>
      </c>
      <c r="I137" s="472" t="s">
        <v>154</v>
      </c>
      <c r="J137" s="477">
        <v>1.3299999999999999E-2</v>
      </c>
      <c r="K137" s="321"/>
      <c r="L137" s="474">
        <v>7875559286</v>
      </c>
      <c r="M137" s="475">
        <v>37461.32856572645</v>
      </c>
      <c r="N137" s="476">
        <v>9994.6182958863556</v>
      </c>
    </row>
    <row r="138" spans="2:14">
      <c r="B138" s="843"/>
      <c r="C138" s="466" t="s">
        <v>848</v>
      </c>
      <c r="D138" s="467" t="s">
        <v>842</v>
      </c>
      <c r="E138" s="556">
        <v>40617</v>
      </c>
      <c r="F138" s="468">
        <v>45366</v>
      </c>
      <c r="G138" s="470">
        <v>13.010958904109589</v>
      </c>
      <c r="H138" s="471" t="s">
        <v>816</v>
      </c>
      <c r="I138" s="472" t="s">
        <v>154</v>
      </c>
      <c r="J138" s="477">
        <v>1.15E-2</v>
      </c>
      <c r="K138" s="321"/>
      <c r="L138" s="474">
        <v>0</v>
      </c>
      <c r="M138" s="475">
        <v>0</v>
      </c>
      <c r="N138" s="476">
        <v>0</v>
      </c>
    </row>
    <row r="139" spans="2:14">
      <c r="B139" s="843"/>
      <c r="C139" s="466" t="s">
        <v>849</v>
      </c>
      <c r="D139" s="467" t="s">
        <v>842</v>
      </c>
      <c r="E139" s="556">
        <v>41167</v>
      </c>
      <c r="F139" s="468">
        <v>45184</v>
      </c>
      <c r="G139" s="470">
        <v>11.005479452054795</v>
      </c>
      <c r="H139" s="471" t="s">
        <v>816</v>
      </c>
      <c r="I139" s="472" t="s">
        <v>154</v>
      </c>
      <c r="J139" s="477">
        <v>0.01</v>
      </c>
      <c r="K139" s="322"/>
      <c r="L139" s="474">
        <v>101426.45</v>
      </c>
      <c r="M139" s="475">
        <v>15307.072299244897</v>
      </c>
      <c r="N139" s="476">
        <v>4083.9006707962317</v>
      </c>
    </row>
    <row r="140" spans="2:14">
      <c r="B140" s="843"/>
      <c r="C140" s="466" t="s">
        <v>850</v>
      </c>
      <c r="D140" s="467" t="s">
        <v>839</v>
      </c>
      <c r="E140" s="468">
        <v>43376</v>
      </c>
      <c r="F140" s="468">
        <v>45731</v>
      </c>
      <c r="G140" s="470">
        <v>6.4520547945205475</v>
      </c>
      <c r="H140" s="514" t="s">
        <v>847</v>
      </c>
      <c r="I140" s="472" t="s">
        <v>154</v>
      </c>
      <c r="J140" s="477">
        <v>1.3299999999999999E-2</v>
      </c>
      <c r="K140" s="321"/>
      <c r="L140" s="474">
        <v>3241333123</v>
      </c>
      <c r="M140" s="475">
        <v>15417.907567215696</v>
      </c>
      <c r="N140" s="476">
        <v>4113.4713304472061</v>
      </c>
    </row>
    <row r="141" spans="2:14">
      <c r="B141" s="843"/>
      <c r="C141" s="466" t="s">
        <v>851</v>
      </c>
      <c r="D141" s="467" t="s">
        <v>842</v>
      </c>
      <c r="E141" s="556">
        <v>40617</v>
      </c>
      <c r="F141" s="468">
        <v>44635</v>
      </c>
      <c r="G141" s="470">
        <v>11.008219178082191</v>
      </c>
      <c r="H141" s="471" t="s">
        <v>816</v>
      </c>
      <c r="I141" s="472" t="s">
        <v>154</v>
      </c>
      <c r="J141" s="477">
        <v>1.15E-2</v>
      </c>
      <c r="K141" s="321"/>
      <c r="L141" s="474">
        <v>0</v>
      </c>
      <c r="M141" s="475">
        <v>0</v>
      </c>
      <c r="N141" s="476">
        <v>0</v>
      </c>
    </row>
    <row r="142" spans="2:14">
      <c r="B142" s="843"/>
      <c r="C142" s="466" t="s">
        <v>852</v>
      </c>
      <c r="D142" s="467" t="s">
        <v>842</v>
      </c>
      <c r="E142" s="556">
        <v>41167</v>
      </c>
      <c r="F142" s="468">
        <v>45184</v>
      </c>
      <c r="G142" s="470">
        <v>11.005479452054795</v>
      </c>
      <c r="H142" s="471" t="s">
        <v>816</v>
      </c>
      <c r="I142" s="472" t="s">
        <v>154</v>
      </c>
      <c r="J142" s="477">
        <v>0.01</v>
      </c>
      <c r="K142" s="322"/>
      <c r="L142" s="474">
        <v>146546.29999999999</v>
      </c>
      <c r="M142" s="475">
        <v>22116.4677388081</v>
      </c>
      <c r="N142" s="476">
        <v>5900.6357106327387</v>
      </c>
    </row>
    <row r="143" spans="2:14">
      <c r="B143" s="843"/>
      <c r="C143" s="466" t="s">
        <v>853</v>
      </c>
      <c r="D143" s="467" t="s">
        <v>839</v>
      </c>
      <c r="E143" s="468">
        <v>43376</v>
      </c>
      <c r="F143" s="468">
        <v>45731</v>
      </c>
      <c r="G143" s="470">
        <v>6.4520547945205475</v>
      </c>
      <c r="H143" s="514" t="s">
        <v>847</v>
      </c>
      <c r="I143" s="472" t="s">
        <v>154</v>
      </c>
      <c r="J143" s="477">
        <v>1.3299999999999999E-2</v>
      </c>
      <c r="K143" s="321"/>
      <c r="L143" s="474">
        <v>4325380694</v>
      </c>
      <c r="M143" s="475">
        <v>20574.349257686976</v>
      </c>
      <c r="N143" s="476">
        <v>5489.2011412795582</v>
      </c>
    </row>
    <row r="144" spans="2:14">
      <c r="B144" s="843"/>
      <c r="C144" s="466" t="s">
        <v>1059</v>
      </c>
      <c r="D144" s="467" t="s">
        <v>839</v>
      </c>
      <c r="E144" s="468">
        <v>44336</v>
      </c>
      <c r="F144" s="468">
        <v>45366</v>
      </c>
      <c r="G144" s="470">
        <v>2.8219178082191783</v>
      </c>
      <c r="H144" s="514" t="s">
        <v>816</v>
      </c>
      <c r="I144" s="472"/>
      <c r="J144" s="477">
        <v>2.1499999999999998E-2</v>
      </c>
      <c r="K144" s="321"/>
      <c r="L144" s="474">
        <v>6750331472</v>
      </c>
      <c r="M144" s="475">
        <v>32109.006613623238</v>
      </c>
      <c r="N144" s="476">
        <v>8566.6279667631316</v>
      </c>
    </row>
    <row r="145" spans="2:14">
      <c r="B145" s="843"/>
      <c r="C145" s="466" t="s">
        <v>1060</v>
      </c>
      <c r="D145" s="467" t="s">
        <v>839</v>
      </c>
      <c r="E145" s="468">
        <v>44336</v>
      </c>
      <c r="F145" s="468">
        <v>45366</v>
      </c>
      <c r="G145" s="470">
        <v>2.8219178082191783</v>
      </c>
      <c r="H145" s="514" t="s">
        <v>816</v>
      </c>
      <c r="I145" s="472"/>
      <c r="J145" s="477">
        <v>2.1499999999999998E-2</v>
      </c>
      <c r="K145" s="321"/>
      <c r="L145" s="474">
        <v>2778178448</v>
      </c>
      <c r="M145" s="475">
        <v>13214.839972032938</v>
      </c>
      <c r="N145" s="476">
        <v>3525.6966695657688</v>
      </c>
    </row>
    <row r="146" spans="2:14">
      <c r="B146" s="838"/>
      <c r="C146" s="466" t="s">
        <v>860</v>
      </c>
      <c r="D146" s="467" t="s">
        <v>839</v>
      </c>
      <c r="E146" s="468">
        <v>44336</v>
      </c>
      <c r="F146" s="468">
        <v>45366</v>
      </c>
      <c r="G146" s="470">
        <v>2.8219178082191783</v>
      </c>
      <c r="H146" s="514" t="s">
        <v>816</v>
      </c>
      <c r="I146" s="472"/>
      <c r="J146" s="477">
        <v>2.1499999999999998E-2</v>
      </c>
      <c r="K146" s="321"/>
      <c r="L146" s="474">
        <v>3707375914</v>
      </c>
      <c r="M146" s="475">
        <v>17634.712937518023</v>
      </c>
      <c r="N146" s="476">
        <v>4704.911206199864</v>
      </c>
    </row>
    <row r="147" spans="2:14">
      <c r="B147" s="489"/>
      <c r="C147" s="490"/>
      <c r="D147" s="517"/>
      <c r="E147" s="491"/>
      <c r="F147" s="491"/>
      <c r="G147" s="518"/>
      <c r="H147" s="555"/>
      <c r="I147" s="555"/>
      <c r="J147" s="519"/>
      <c r="K147" s="322"/>
      <c r="L147" s="478"/>
      <c r="M147" s="482">
        <v>212786.6761649797</v>
      </c>
      <c r="N147" s="482">
        <v>56771.120730221504</v>
      </c>
    </row>
    <row r="148" spans="2:14" ht="15">
      <c r="B148" s="342"/>
      <c r="C148" s="312"/>
      <c r="D148" s="313"/>
      <c r="E148" s="314"/>
      <c r="F148" s="314"/>
      <c r="G148" s="315"/>
      <c r="H148" s="337"/>
      <c r="I148" s="337"/>
      <c r="J148" s="317"/>
      <c r="K148" s="310"/>
      <c r="L148" s="318"/>
      <c r="M148" s="433"/>
      <c r="N148" s="325"/>
    </row>
    <row r="149" spans="2:14">
      <c r="B149" s="837" t="s">
        <v>888</v>
      </c>
      <c r="C149" s="466" t="s">
        <v>854</v>
      </c>
      <c r="D149" s="467" t="s">
        <v>842</v>
      </c>
      <c r="E149" s="556">
        <v>42634</v>
      </c>
      <c r="F149" s="468">
        <v>44788</v>
      </c>
      <c r="G149" s="470">
        <v>5.9013698630136986</v>
      </c>
      <c r="H149" s="514" t="s">
        <v>816</v>
      </c>
      <c r="I149" s="557"/>
      <c r="J149" s="477">
        <v>3.4000000000000002E-2</v>
      </c>
      <c r="K149" s="322"/>
      <c r="L149" s="474">
        <v>169382.18449999992</v>
      </c>
      <c r="M149" s="475">
        <v>25562.757808855058</v>
      </c>
      <c r="N149" s="476">
        <v>6820.0999983605398</v>
      </c>
    </row>
    <row r="150" spans="2:14">
      <c r="B150" s="843"/>
      <c r="C150" s="466" t="s">
        <v>855</v>
      </c>
      <c r="D150" s="467" t="s">
        <v>842</v>
      </c>
      <c r="E150" s="556">
        <v>42634</v>
      </c>
      <c r="F150" s="468">
        <v>44788</v>
      </c>
      <c r="G150" s="470">
        <v>5.9013698630136986</v>
      </c>
      <c r="H150" s="514" t="s">
        <v>816</v>
      </c>
      <c r="I150" s="557"/>
      <c r="J150" s="477">
        <v>3.4000000000000002E-2</v>
      </c>
      <c r="K150" s="321"/>
      <c r="L150" s="474">
        <v>62438.878799999875</v>
      </c>
      <c r="M150" s="475">
        <v>9423.1275935684498</v>
      </c>
      <c r="N150" s="476">
        <v>2514.074301607046</v>
      </c>
    </row>
    <row r="151" spans="2:14">
      <c r="B151" s="843"/>
      <c r="C151" s="466" t="s">
        <v>854</v>
      </c>
      <c r="D151" s="467" t="s">
        <v>842</v>
      </c>
      <c r="E151" s="556">
        <v>43469</v>
      </c>
      <c r="F151" s="468">
        <v>44910</v>
      </c>
      <c r="G151" s="470">
        <v>3.9479452054794519</v>
      </c>
      <c r="H151" s="514" t="s">
        <v>816</v>
      </c>
      <c r="I151" s="557"/>
      <c r="J151" s="477">
        <v>3.15E-2</v>
      </c>
      <c r="K151" s="322"/>
      <c r="L151" s="474">
        <v>69196.62</v>
      </c>
      <c r="M151" s="475">
        <v>10442.989878025672</v>
      </c>
      <c r="N151" s="476">
        <v>2786.1718122342145</v>
      </c>
    </row>
    <row r="152" spans="2:14">
      <c r="B152" s="843"/>
      <c r="C152" s="466" t="s">
        <v>856</v>
      </c>
      <c r="D152" s="467" t="s">
        <v>842</v>
      </c>
      <c r="E152" s="556">
        <v>43469</v>
      </c>
      <c r="F152" s="468">
        <v>44910</v>
      </c>
      <c r="G152" s="470">
        <v>3.9479452054794519</v>
      </c>
      <c r="H152" s="514" t="s">
        <v>816</v>
      </c>
      <c r="I152" s="557"/>
      <c r="J152" s="477">
        <v>3.15E-2</v>
      </c>
      <c r="K152" s="321"/>
      <c r="L152" s="474">
        <v>80803.37</v>
      </c>
      <c r="M152" s="475">
        <v>12194.653077279834</v>
      </c>
      <c r="N152" s="476">
        <v>3253.5125534676667</v>
      </c>
    </row>
    <row r="153" spans="2:14">
      <c r="B153" s="843"/>
      <c r="C153" s="466" t="s">
        <v>856</v>
      </c>
      <c r="D153" s="467" t="s">
        <v>842</v>
      </c>
      <c r="E153" s="556">
        <v>43539</v>
      </c>
      <c r="F153" s="468">
        <v>45641</v>
      </c>
      <c r="G153" s="470">
        <v>5.7589041095890412</v>
      </c>
      <c r="H153" s="471" t="s">
        <v>844</v>
      </c>
      <c r="I153" s="472" t="s">
        <v>1058</v>
      </c>
      <c r="J153" s="477">
        <v>8.9999999999999993E-3</v>
      </c>
      <c r="K153" s="322"/>
      <c r="L153" s="474">
        <v>52126.559999999998</v>
      </c>
      <c r="M153" s="475">
        <v>7866.8168829098568</v>
      </c>
      <c r="N153" s="476">
        <v>2098.8532697223582</v>
      </c>
    </row>
    <row r="154" spans="2:14">
      <c r="B154" s="838"/>
      <c r="C154" s="466" t="s">
        <v>854</v>
      </c>
      <c r="D154" s="467" t="s">
        <v>842</v>
      </c>
      <c r="E154" s="556">
        <v>43539</v>
      </c>
      <c r="F154" s="468">
        <v>45641</v>
      </c>
      <c r="G154" s="470">
        <v>5.7589041095890412</v>
      </c>
      <c r="H154" s="471" t="s">
        <v>844</v>
      </c>
      <c r="I154" s="472" t="s">
        <v>1058</v>
      </c>
      <c r="J154" s="477">
        <v>8.9999999999999993E-3</v>
      </c>
      <c r="K154" s="321"/>
      <c r="L154" s="474">
        <v>44639.42</v>
      </c>
      <c r="M154" s="475">
        <v>6736.8754604045225</v>
      </c>
      <c r="N154" s="476">
        <v>1797.3868336124547</v>
      </c>
    </row>
    <row r="155" spans="2:14">
      <c r="B155" s="478"/>
      <c r="C155" s="478"/>
      <c r="D155" s="478"/>
      <c r="E155" s="478"/>
      <c r="F155" s="478"/>
      <c r="G155" s="558"/>
      <c r="H155" s="558"/>
      <c r="I155" s="558"/>
      <c r="J155" s="559"/>
      <c r="K155" s="322"/>
      <c r="L155" s="520"/>
      <c r="M155" s="482">
        <v>72227.220701043392</v>
      </c>
      <c r="N155" s="483">
        <v>19270.098769004278</v>
      </c>
    </row>
    <row r="156" spans="2:14" ht="15">
      <c r="B156" s="332"/>
      <c r="C156" s="509"/>
      <c r="D156" s="510"/>
      <c r="E156" s="509"/>
      <c r="F156" s="509"/>
      <c r="G156" s="509"/>
      <c r="H156" s="509"/>
      <c r="I156" s="509"/>
      <c r="J156" s="579"/>
      <c r="K156" s="321"/>
      <c r="L156" s="705"/>
      <c r="M156" s="511"/>
      <c r="N156" s="511"/>
    </row>
    <row r="157" spans="2:14">
      <c r="B157" s="839" t="s">
        <v>889</v>
      </c>
      <c r="C157" s="512" t="s">
        <v>857</v>
      </c>
      <c r="D157" s="467" t="s">
        <v>842</v>
      </c>
      <c r="E157" s="556">
        <v>43370</v>
      </c>
      <c r="F157" s="468">
        <v>54954</v>
      </c>
      <c r="G157" s="470">
        <v>31.736986301369864</v>
      </c>
      <c r="H157" s="514" t="s">
        <v>816</v>
      </c>
      <c r="I157" s="557"/>
      <c r="J157" s="477">
        <v>3.85E-2</v>
      </c>
      <c r="K157" s="322"/>
      <c r="L157" s="474">
        <v>55500</v>
      </c>
      <c r="M157" s="475">
        <v>8375.9466084655396</v>
      </c>
      <c r="N157" s="476">
        <v>2234.6882084403078</v>
      </c>
    </row>
    <row r="158" spans="2:14">
      <c r="B158" s="840"/>
      <c r="C158" s="512" t="s">
        <v>858</v>
      </c>
      <c r="D158" s="467" t="s">
        <v>842</v>
      </c>
      <c r="E158" s="556">
        <v>43370</v>
      </c>
      <c r="F158" s="468">
        <v>54954</v>
      </c>
      <c r="G158" s="470">
        <v>31.736986301369864</v>
      </c>
      <c r="H158" s="514" t="s">
        <v>816</v>
      </c>
      <c r="I158" s="557"/>
      <c r="J158" s="477">
        <v>3.85E-2</v>
      </c>
      <c r="K158" s="321"/>
      <c r="L158" s="474">
        <v>543000</v>
      </c>
      <c r="M158" s="475">
        <v>81948.450601743942</v>
      </c>
      <c r="N158" s="476">
        <v>21863.706255551122</v>
      </c>
    </row>
    <row r="159" spans="2:14">
      <c r="B159" s="840"/>
      <c r="C159" s="512" t="s">
        <v>859</v>
      </c>
      <c r="D159" s="467" t="s">
        <v>842</v>
      </c>
      <c r="E159" s="556">
        <v>43370</v>
      </c>
      <c r="F159" s="468">
        <v>54954</v>
      </c>
      <c r="G159" s="470">
        <v>31.736986301369864</v>
      </c>
      <c r="H159" s="514" t="s">
        <v>816</v>
      </c>
      <c r="I159" s="557"/>
      <c r="J159" s="477">
        <v>3.85E-2</v>
      </c>
      <c r="K159" s="322"/>
      <c r="L159" s="474">
        <v>218000</v>
      </c>
      <c r="M159" s="475">
        <v>32900.114606225012</v>
      </c>
      <c r="N159" s="476">
        <v>8777.6942241439137</v>
      </c>
    </row>
    <row r="160" spans="2:14">
      <c r="B160" s="842"/>
      <c r="C160" s="512" t="s">
        <v>857</v>
      </c>
      <c r="D160" s="467" t="s">
        <v>839</v>
      </c>
      <c r="E160" s="556">
        <v>43370</v>
      </c>
      <c r="F160" s="468">
        <v>44910</v>
      </c>
      <c r="G160" s="470">
        <v>4.2191780821917808</v>
      </c>
      <c r="H160" s="514" t="s">
        <v>847</v>
      </c>
      <c r="I160" s="557" t="s">
        <v>154</v>
      </c>
      <c r="J160" s="477">
        <v>1.0999999999999999E-2</v>
      </c>
      <c r="K160" s="321"/>
      <c r="L160" s="474">
        <v>5538874710.5900002</v>
      </c>
      <c r="M160" s="475">
        <v>26346.52373282094</v>
      </c>
      <c r="N160" s="476">
        <v>7029.2074044050905</v>
      </c>
    </row>
    <row r="161" spans="2:15">
      <c r="B161" s="478"/>
      <c r="C161" s="490"/>
      <c r="D161" s="517"/>
      <c r="E161" s="491"/>
      <c r="F161" s="491"/>
      <c r="G161" s="518"/>
      <c r="H161" s="494"/>
      <c r="I161" s="494"/>
      <c r="J161" s="519"/>
      <c r="K161" s="321"/>
      <c r="L161" s="520"/>
      <c r="M161" s="482">
        <v>149571.03554925544</v>
      </c>
      <c r="N161" s="483">
        <v>39905.296092540433</v>
      </c>
    </row>
    <row r="162" spans="2:15" ht="15">
      <c r="B162" s="334"/>
      <c r="C162" s="312"/>
      <c r="D162" s="313"/>
      <c r="E162" s="314"/>
      <c r="F162" s="314"/>
      <c r="G162" s="315"/>
      <c r="H162" s="316"/>
      <c r="I162" s="316"/>
      <c r="J162" s="317"/>
      <c r="K162" s="310"/>
      <c r="L162" s="318"/>
      <c r="M162" s="318"/>
      <c r="N162" s="318"/>
      <c r="O162" s="318"/>
    </row>
    <row r="163" spans="2:15" ht="15">
      <c r="B163" s="334"/>
      <c r="C163" s="312"/>
      <c r="D163" s="313"/>
      <c r="E163" s="314"/>
      <c r="F163" s="314"/>
      <c r="G163" s="315"/>
      <c r="H163" s="316"/>
      <c r="I163" s="316"/>
      <c r="J163" s="317"/>
      <c r="K163" s="310"/>
      <c r="L163" s="318"/>
      <c r="M163" s="95"/>
      <c r="N163" s="95"/>
    </row>
    <row r="164" spans="2:15">
      <c r="B164" s="839" t="s">
        <v>890</v>
      </c>
      <c r="C164" s="512" t="s">
        <v>1060</v>
      </c>
      <c r="D164" s="467" t="s">
        <v>839</v>
      </c>
      <c r="E164" s="556">
        <v>44319</v>
      </c>
      <c r="F164" s="468">
        <v>45782</v>
      </c>
      <c r="G164" s="470">
        <v>4.0082191780821921</v>
      </c>
      <c r="H164" s="514" t="s">
        <v>816</v>
      </c>
      <c r="I164" s="560"/>
      <c r="J164" s="477">
        <v>2.0500000000000001E-2</v>
      </c>
      <c r="K164" s="322"/>
      <c r="L164" s="474">
        <v>88517730000</v>
      </c>
      <c r="M164" s="475">
        <v>421048.41455303435</v>
      </c>
      <c r="N164" s="476">
        <v>112334.99581207645</v>
      </c>
    </row>
    <row r="165" spans="2:15">
      <c r="B165" s="840"/>
      <c r="C165" s="512" t="s">
        <v>807</v>
      </c>
      <c r="D165" s="467" t="s">
        <v>839</v>
      </c>
      <c r="E165" s="556">
        <v>44336</v>
      </c>
      <c r="F165" s="468">
        <v>46162</v>
      </c>
      <c r="G165" s="470">
        <v>5.0027397260273974</v>
      </c>
      <c r="H165" s="514" t="s">
        <v>816</v>
      </c>
      <c r="I165" s="560"/>
      <c r="J165" s="477">
        <v>2.5000000000000001E-2</v>
      </c>
      <c r="K165" s="322"/>
      <c r="L165" s="474">
        <v>59142680000</v>
      </c>
      <c r="M165" s="475">
        <v>281321.39907358057</v>
      </c>
      <c r="N165" s="476">
        <v>75056.067412878503</v>
      </c>
    </row>
    <row r="166" spans="2:15">
      <c r="B166" s="842"/>
      <c r="C166" s="512" t="s">
        <v>826</v>
      </c>
      <c r="D166" s="467" t="s">
        <v>839</v>
      </c>
      <c r="E166" s="556">
        <v>44319</v>
      </c>
      <c r="F166" s="468">
        <v>45782</v>
      </c>
      <c r="G166" s="470">
        <v>4.0082191780821921</v>
      </c>
      <c r="H166" s="514" t="s">
        <v>816</v>
      </c>
      <c r="I166" s="560"/>
      <c r="J166" s="477">
        <v>-6.1999999999999998E-3</v>
      </c>
      <c r="K166" s="322"/>
      <c r="L166" s="474">
        <v>9578399467</v>
      </c>
      <c r="M166" s="475">
        <v>45561.15378846677</v>
      </c>
      <c r="N166" s="476">
        <v>12155.637791568312</v>
      </c>
    </row>
    <row r="167" spans="2:15">
      <c r="B167" s="478"/>
      <c r="C167" s="490"/>
      <c r="D167" s="517"/>
      <c r="E167" s="491"/>
      <c r="F167" s="491"/>
      <c r="G167" s="518"/>
      <c r="H167" s="494"/>
      <c r="I167" s="494"/>
      <c r="J167" s="519"/>
      <c r="K167" s="321"/>
      <c r="L167" s="520"/>
      <c r="M167" s="482">
        <v>747930.96741508169</v>
      </c>
      <c r="N167" s="483">
        <v>199546.70101652324</v>
      </c>
    </row>
    <row r="168" spans="2:15" ht="15">
      <c r="B168" s="334"/>
      <c r="C168" s="312"/>
      <c r="D168" s="313"/>
      <c r="E168" s="314"/>
      <c r="F168" s="314"/>
      <c r="G168" s="315"/>
      <c r="H168" s="316"/>
      <c r="I168" s="316"/>
      <c r="J168" s="317"/>
      <c r="K168" s="310"/>
      <c r="L168" s="318"/>
      <c r="M168" s="484"/>
      <c r="N168" s="348"/>
    </row>
    <row r="169" spans="2:15" ht="15">
      <c r="B169" s="334"/>
      <c r="C169" s="312"/>
      <c r="D169" s="313"/>
      <c r="E169" s="314"/>
      <c r="F169" s="314"/>
      <c r="G169" s="315"/>
      <c r="H169" s="316"/>
      <c r="I169" s="316"/>
      <c r="J169" s="317"/>
      <c r="K169" s="310"/>
      <c r="L169" s="318"/>
      <c r="M169" s="484"/>
      <c r="N169" s="348"/>
    </row>
    <row r="170" spans="2:15" ht="15">
      <c r="B170" s="334"/>
      <c r="C170" s="312"/>
      <c r="D170" s="313"/>
      <c r="E170" s="314"/>
      <c r="F170" s="314"/>
      <c r="G170" s="315"/>
      <c r="H170" s="316"/>
      <c r="I170" s="316"/>
      <c r="J170" s="317"/>
      <c r="K170" s="310"/>
      <c r="L170" s="318"/>
      <c r="M170" s="95"/>
      <c r="N170" s="95"/>
    </row>
    <row r="171" spans="2:15">
      <c r="B171" s="839" t="s">
        <v>156</v>
      </c>
      <c r="C171" s="512" t="s">
        <v>860</v>
      </c>
      <c r="D171" s="467" t="s">
        <v>808</v>
      </c>
      <c r="E171" s="556">
        <v>42514</v>
      </c>
      <c r="F171" s="468">
        <v>47938</v>
      </c>
      <c r="G171" s="470">
        <v>14.860273972602739</v>
      </c>
      <c r="H171" s="514" t="s">
        <v>818</v>
      </c>
      <c r="I171" s="515" t="s">
        <v>154</v>
      </c>
      <c r="J171" s="561">
        <v>2.2499999999999999E-2</v>
      </c>
      <c r="K171" s="321"/>
      <c r="L171" s="474"/>
      <c r="M171" s="475"/>
      <c r="N171" s="476"/>
    </row>
    <row r="172" spans="2:15">
      <c r="B172" s="840"/>
      <c r="C172" s="512" t="s">
        <v>861</v>
      </c>
      <c r="D172" s="467" t="s">
        <v>808</v>
      </c>
      <c r="E172" s="556">
        <v>42514</v>
      </c>
      <c r="F172" s="468">
        <v>47938</v>
      </c>
      <c r="G172" s="470">
        <v>14.860273972602739</v>
      </c>
      <c r="H172" s="514" t="s">
        <v>818</v>
      </c>
      <c r="I172" s="515" t="s">
        <v>154</v>
      </c>
      <c r="J172" s="561">
        <v>2.2499999999999999E-2</v>
      </c>
      <c r="K172" s="322"/>
      <c r="L172" s="474"/>
      <c r="M172" s="475"/>
      <c r="N172" s="476"/>
    </row>
    <row r="173" spans="2:15">
      <c r="B173" s="840"/>
      <c r="C173" s="512" t="s">
        <v>825</v>
      </c>
      <c r="D173" s="467" t="s">
        <v>808</v>
      </c>
      <c r="E173" s="556">
        <v>42514</v>
      </c>
      <c r="F173" s="468">
        <v>47938</v>
      </c>
      <c r="G173" s="470">
        <v>14.860273972602739</v>
      </c>
      <c r="H173" s="514" t="s">
        <v>818</v>
      </c>
      <c r="I173" s="515" t="s">
        <v>154</v>
      </c>
      <c r="J173" s="561">
        <v>2.2499999999999999E-2</v>
      </c>
      <c r="K173" s="321"/>
      <c r="L173" s="474"/>
      <c r="M173" s="475"/>
      <c r="N173" s="476"/>
    </row>
    <row r="174" spans="2:15">
      <c r="B174" s="840"/>
      <c r="C174" s="512" t="s">
        <v>862</v>
      </c>
      <c r="D174" s="467" t="s">
        <v>808</v>
      </c>
      <c r="E174" s="556">
        <v>42514</v>
      </c>
      <c r="F174" s="468">
        <v>47938</v>
      </c>
      <c r="G174" s="470">
        <v>14.860273972602739</v>
      </c>
      <c r="H174" s="514" t="s">
        <v>818</v>
      </c>
      <c r="I174" s="515" t="s">
        <v>154</v>
      </c>
      <c r="J174" s="561">
        <v>2.2499999999999999E-2</v>
      </c>
      <c r="K174" s="322"/>
      <c r="L174" s="474"/>
      <c r="M174" s="475"/>
      <c r="N174" s="476"/>
    </row>
    <row r="175" spans="2:15">
      <c r="B175" s="840"/>
      <c r="C175" s="512" t="s">
        <v>863</v>
      </c>
      <c r="D175" s="467" t="s">
        <v>808</v>
      </c>
      <c r="E175" s="556">
        <v>42514</v>
      </c>
      <c r="F175" s="468">
        <v>47938</v>
      </c>
      <c r="G175" s="470">
        <v>14.860273972602739</v>
      </c>
      <c r="H175" s="514" t="s">
        <v>818</v>
      </c>
      <c r="I175" s="515" t="s">
        <v>154</v>
      </c>
      <c r="J175" s="561">
        <v>2.2499999999999999E-2</v>
      </c>
      <c r="K175" s="321"/>
      <c r="L175" s="474"/>
      <c r="M175" s="475"/>
      <c r="N175" s="476"/>
    </row>
    <row r="176" spans="2:15">
      <c r="B176" s="840"/>
      <c r="C176" s="512" t="s">
        <v>864</v>
      </c>
      <c r="D176" s="467" t="s">
        <v>808</v>
      </c>
      <c r="E176" s="556">
        <v>42514</v>
      </c>
      <c r="F176" s="468">
        <v>47938</v>
      </c>
      <c r="G176" s="470">
        <v>14.860273972602739</v>
      </c>
      <c r="H176" s="514" t="s">
        <v>818</v>
      </c>
      <c r="I176" s="515" t="s">
        <v>154</v>
      </c>
      <c r="J176" s="561">
        <v>2.2499999999999999E-2</v>
      </c>
      <c r="K176" s="322"/>
      <c r="L176" s="474"/>
      <c r="M176" s="475"/>
      <c r="N176" s="476"/>
    </row>
    <row r="177" spans="2:14">
      <c r="B177" s="840"/>
      <c r="C177" s="512" t="s">
        <v>865</v>
      </c>
      <c r="D177" s="467" t="s">
        <v>808</v>
      </c>
      <c r="E177" s="556">
        <v>42514</v>
      </c>
      <c r="F177" s="468">
        <v>47938</v>
      </c>
      <c r="G177" s="470">
        <v>14.860273972602739</v>
      </c>
      <c r="H177" s="514" t="s">
        <v>818</v>
      </c>
      <c r="I177" s="515" t="s">
        <v>154</v>
      </c>
      <c r="J177" s="561">
        <v>2.2499999999999999E-2</v>
      </c>
      <c r="K177" s="321"/>
      <c r="L177" s="474"/>
      <c r="M177" s="475"/>
      <c r="N177" s="476"/>
    </row>
    <row r="178" spans="2:14">
      <c r="B178" s="840"/>
      <c r="C178" s="512" t="s">
        <v>866</v>
      </c>
      <c r="D178" s="467" t="s">
        <v>808</v>
      </c>
      <c r="E178" s="556">
        <v>42514</v>
      </c>
      <c r="F178" s="468">
        <v>47938</v>
      </c>
      <c r="G178" s="470">
        <v>14.860273972602739</v>
      </c>
      <c r="H178" s="514" t="s">
        <v>818</v>
      </c>
      <c r="I178" s="515" t="s">
        <v>154</v>
      </c>
      <c r="J178" s="561">
        <v>2.2499999999999999E-2</v>
      </c>
      <c r="K178" s="322"/>
      <c r="L178" s="474"/>
      <c r="M178" s="475"/>
      <c r="N178" s="476"/>
    </row>
    <row r="179" spans="2:14">
      <c r="B179" s="840"/>
      <c r="C179" s="512" t="s">
        <v>867</v>
      </c>
      <c r="D179" s="467" t="s">
        <v>808</v>
      </c>
      <c r="E179" s="556">
        <v>42514</v>
      </c>
      <c r="F179" s="468">
        <v>47938</v>
      </c>
      <c r="G179" s="470">
        <v>14.860273972602739</v>
      </c>
      <c r="H179" s="514" t="s">
        <v>818</v>
      </c>
      <c r="I179" s="515" t="s">
        <v>154</v>
      </c>
      <c r="J179" s="561">
        <v>2.2499999999999999E-2</v>
      </c>
      <c r="K179" s="321"/>
      <c r="L179" s="474"/>
      <c r="M179" s="475"/>
      <c r="N179" s="476"/>
    </row>
    <row r="180" spans="2:14">
      <c r="B180" s="840"/>
      <c r="C180" s="512" t="s">
        <v>868</v>
      </c>
      <c r="D180" s="467" t="s">
        <v>808</v>
      </c>
      <c r="E180" s="556">
        <v>42514</v>
      </c>
      <c r="F180" s="468">
        <v>47938</v>
      </c>
      <c r="G180" s="470">
        <v>14.860273972602739</v>
      </c>
      <c r="H180" s="514" t="s">
        <v>818</v>
      </c>
      <c r="I180" s="515" t="s">
        <v>154</v>
      </c>
      <c r="J180" s="561">
        <v>2.2499999999999999E-2</v>
      </c>
      <c r="K180" s="322"/>
      <c r="L180" s="474"/>
      <c r="M180" s="475"/>
      <c r="N180" s="476"/>
    </row>
    <row r="181" spans="2:14">
      <c r="B181" s="840"/>
      <c r="C181" s="512" t="s">
        <v>869</v>
      </c>
      <c r="D181" s="467" t="s">
        <v>808</v>
      </c>
      <c r="E181" s="556">
        <v>42514</v>
      </c>
      <c r="F181" s="468">
        <v>47938</v>
      </c>
      <c r="G181" s="470">
        <v>14.860273972602739</v>
      </c>
      <c r="H181" s="514" t="s">
        <v>818</v>
      </c>
      <c r="I181" s="515" t="s">
        <v>154</v>
      </c>
      <c r="J181" s="561">
        <v>2.2499999999999999E-2</v>
      </c>
      <c r="K181" s="321"/>
      <c r="L181" s="474"/>
      <c r="M181" s="475"/>
      <c r="N181" s="476"/>
    </row>
    <row r="182" spans="2:14">
      <c r="B182" s="840"/>
      <c r="C182" s="466" t="s">
        <v>826</v>
      </c>
      <c r="D182" s="467" t="s">
        <v>808</v>
      </c>
      <c r="E182" s="556">
        <v>0</v>
      </c>
      <c r="F182" s="468">
        <v>0</v>
      </c>
      <c r="G182" s="470">
        <v>0</v>
      </c>
      <c r="H182" s="514" t="s">
        <v>818</v>
      </c>
      <c r="I182" s="515" t="s">
        <v>154</v>
      </c>
      <c r="J182" s="561">
        <v>2.2499999999999999E-2</v>
      </c>
      <c r="K182" s="322"/>
      <c r="L182" s="474"/>
      <c r="M182" s="475"/>
      <c r="N182" s="476"/>
    </row>
    <row r="183" spans="2:14">
      <c r="B183" s="840"/>
      <c r="C183" s="512" t="s">
        <v>862</v>
      </c>
      <c r="D183" s="467" t="s">
        <v>808</v>
      </c>
      <c r="E183" s="556">
        <v>43966</v>
      </c>
      <c r="F183" s="468">
        <v>47938</v>
      </c>
      <c r="G183" s="470">
        <v>10.882191780821918</v>
      </c>
      <c r="H183" s="514" t="s">
        <v>818</v>
      </c>
      <c r="I183" s="515" t="s">
        <v>154</v>
      </c>
      <c r="J183" s="561">
        <v>1.6E-2</v>
      </c>
      <c r="K183" s="321"/>
      <c r="L183" s="474"/>
      <c r="M183" s="475"/>
      <c r="N183" s="476"/>
    </row>
    <row r="184" spans="2:14">
      <c r="B184" s="840"/>
      <c r="C184" s="512" t="s">
        <v>865</v>
      </c>
      <c r="D184" s="467" t="s">
        <v>808</v>
      </c>
      <c r="E184" s="556">
        <v>43966</v>
      </c>
      <c r="F184" s="468">
        <v>47938</v>
      </c>
      <c r="G184" s="470">
        <v>10.882191780821918</v>
      </c>
      <c r="H184" s="514" t="s">
        <v>818</v>
      </c>
      <c r="I184" s="515" t="s">
        <v>154</v>
      </c>
      <c r="J184" s="561">
        <v>1.6E-2</v>
      </c>
      <c r="K184" s="322"/>
      <c r="L184" s="474"/>
      <c r="M184" s="475"/>
      <c r="N184" s="476"/>
    </row>
    <row r="185" spans="2:14">
      <c r="B185" s="840"/>
      <c r="C185" s="512" t="s">
        <v>868</v>
      </c>
      <c r="D185" s="467" t="s">
        <v>808</v>
      </c>
      <c r="E185" s="556">
        <v>43966</v>
      </c>
      <c r="F185" s="468">
        <v>47938</v>
      </c>
      <c r="G185" s="470">
        <v>10.882191780821918</v>
      </c>
      <c r="H185" s="514" t="s">
        <v>818</v>
      </c>
      <c r="I185" s="515" t="s">
        <v>154</v>
      </c>
      <c r="J185" s="561">
        <v>1.6E-2</v>
      </c>
      <c r="K185" s="321"/>
      <c r="L185" s="474"/>
      <c r="M185" s="475"/>
      <c r="N185" s="476"/>
    </row>
    <row r="186" spans="2:14">
      <c r="B186" s="842"/>
      <c r="C186" s="512" t="s">
        <v>861</v>
      </c>
      <c r="D186" s="467" t="s">
        <v>808</v>
      </c>
      <c r="E186" s="556">
        <v>43966</v>
      </c>
      <c r="F186" s="468">
        <v>47938</v>
      </c>
      <c r="G186" s="470">
        <v>10.882191780821918</v>
      </c>
      <c r="H186" s="514" t="s">
        <v>818</v>
      </c>
      <c r="I186" s="515" t="s">
        <v>154</v>
      </c>
      <c r="J186" s="561">
        <v>1.6E-2</v>
      </c>
      <c r="K186" s="322"/>
      <c r="L186" s="474"/>
      <c r="M186" s="475"/>
      <c r="N186" s="476"/>
    </row>
    <row r="187" spans="2:14">
      <c r="B187" s="478"/>
      <c r="C187" s="490"/>
      <c r="D187" s="517"/>
      <c r="E187" s="491"/>
      <c r="F187" s="491"/>
      <c r="G187" s="518"/>
      <c r="H187" s="494"/>
      <c r="I187" s="494"/>
      <c r="J187" s="519"/>
      <c r="K187" s="322"/>
      <c r="L187" s="519"/>
      <c r="M187" s="482">
        <v>0</v>
      </c>
      <c r="N187" s="483">
        <v>0</v>
      </c>
    </row>
    <row r="188" spans="2:14" ht="15">
      <c r="B188" s="332"/>
      <c r="C188" s="333"/>
      <c r="D188" s="338"/>
      <c r="E188" s="333"/>
      <c r="F188" s="333"/>
      <c r="G188" s="333"/>
      <c r="H188" s="333"/>
      <c r="I188" s="333"/>
      <c r="J188" s="341"/>
      <c r="K188" s="310"/>
      <c r="L188" s="341"/>
      <c r="M188" s="325"/>
      <c r="N188" s="325"/>
    </row>
    <row r="189" spans="2:14" ht="15.75" customHeight="1" thickBot="1">
      <c r="B189" s="836" t="s">
        <v>891</v>
      </c>
      <c r="C189" s="836"/>
      <c r="D189" s="836"/>
      <c r="E189" s="836"/>
      <c r="F189" s="836"/>
      <c r="G189" s="836"/>
      <c r="H189" s="836"/>
      <c r="I189" s="398"/>
      <c r="J189" s="326"/>
      <c r="K189" s="311"/>
      <c r="L189" s="326"/>
      <c r="M189" s="562">
        <f>+M126+M80+M57+M8</f>
        <v>4826649.2470454834</v>
      </c>
      <c r="N189" s="562">
        <f>+N126+N80+N57+N8</f>
        <v>1287741.7518096883</v>
      </c>
    </row>
    <row r="190" spans="2:14" ht="15" thickTop="1"/>
  </sheetData>
  <mergeCells count="22">
    <mergeCell ref="B32:B33"/>
    <mergeCell ref="B82:B88"/>
    <mergeCell ref="B36:B54"/>
    <mergeCell ref="B59:B61"/>
    <mergeCell ref="B64:B65"/>
    <mergeCell ref="B68:B69"/>
    <mergeCell ref="B75:B77"/>
    <mergeCell ref="H1:J1"/>
    <mergeCell ref="H2:J2"/>
    <mergeCell ref="H6:J6"/>
    <mergeCell ref="B10:B21"/>
    <mergeCell ref="B25:B29"/>
    <mergeCell ref="B189:H189"/>
    <mergeCell ref="B99:B100"/>
    <mergeCell ref="B106:B108"/>
    <mergeCell ref="B128:B132"/>
    <mergeCell ref="B149:B154"/>
    <mergeCell ref="B135:B146"/>
    <mergeCell ref="B157:B160"/>
    <mergeCell ref="B164:B166"/>
    <mergeCell ref="B171:B186"/>
    <mergeCell ref="B114:B123"/>
  </mergeCells>
  <hyperlinks>
    <hyperlink ref="A1" location="'Table of Contents'!A1" display="Return to Table of Contents" xr:uid="{74AF2E6E-06E7-4449-B7B3-B7449A23EE07}"/>
  </hyperlinks>
  <printOptions horizontalCentered="1"/>
  <pageMargins left="0.23622047244094491" right="0.23622047244094491" top="0.74803149606299213" bottom="0.74803149606299213" header="0.31496062992125984" footer="0.31496062992125984"/>
  <pageSetup scale="36" fitToHeight="2" orientation="landscape"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CF6E9-F5C9-4713-A7D4-7311AEC79633}">
  <sheetPr>
    <pageSetUpPr fitToPage="1"/>
  </sheetPr>
  <dimension ref="A1:T107"/>
  <sheetViews>
    <sheetView topLeftCell="A4" zoomScale="70" zoomScaleNormal="70" workbookViewId="0">
      <selection activeCell="M111" sqref="M111"/>
    </sheetView>
  </sheetViews>
  <sheetFormatPr baseColWidth="10" defaultColWidth="11.42578125" defaultRowHeight="14.25" outlineLevelCol="2"/>
  <cols>
    <col min="1" max="1" width="11.42578125" style="319"/>
    <col min="2" max="2" width="15.28515625" style="319" customWidth="1"/>
    <col min="3" max="3" width="31.140625" style="319" customWidth="1"/>
    <col min="4" max="4" width="15.42578125" style="345" bestFit="1" customWidth="1"/>
    <col min="5" max="5" width="14.28515625" style="345" customWidth="1"/>
    <col min="6" max="6" width="16" style="345" customWidth="1"/>
    <col min="7" max="7" width="7.42578125" style="345" customWidth="1"/>
    <col min="8" max="8" width="10.5703125" style="345" customWidth="1"/>
    <col min="9" max="9" width="1.85546875" style="345" customWidth="1"/>
    <col min="10" max="10" width="10.28515625" style="345" customWidth="1"/>
    <col min="11" max="11" width="5.7109375" style="345" customWidth="1"/>
    <col min="12" max="12" width="26.85546875" style="345" customWidth="1"/>
    <col min="13" max="13" width="21.140625" style="345" customWidth="1" outlineLevel="2"/>
    <col min="14" max="14" width="21.140625" style="319" customWidth="1" outlineLevel="2"/>
    <col min="15" max="16" width="21.140625" style="319" customWidth="1"/>
    <col min="17" max="17" width="2.7109375" style="319" customWidth="1"/>
    <col min="18" max="18" width="13.5703125" style="406" customWidth="1"/>
    <col min="19" max="19" width="12.7109375" style="406" customWidth="1"/>
    <col min="20" max="20" width="20" style="319" bestFit="1" customWidth="1"/>
    <col min="21" max="16384" width="11.42578125" style="319"/>
  </cols>
  <sheetData>
    <row r="1" spans="1:20" ht="15">
      <c r="A1" s="3" t="s">
        <v>627</v>
      </c>
      <c r="B1" s="135"/>
      <c r="H1" s="848"/>
      <c r="I1" s="848"/>
      <c r="J1" s="848"/>
      <c r="L1" s="404"/>
      <c r="O1" s="405"/>
      <c r="P1" s="405"/>
      <c r="Q1" s="405"/>
    </row>
    <row r="2" spans="1:20">
      <c r="H2" s="848"/>
      <c r="I2" s="848"/>
      <c r="J2" s="848"/>
      <c r="K2" s="347"/>
      <c r="L2" s="347"/>
      <c r="O2" s="407"/>
      <c r="P2" s="407"/>
      <c r="Q2" s="407"/>
    </row>
    <row r="3" spans="1:20">
      <c r="J3" s="408"/>
      <c r="K3" s="408"/>
      <c r="L3" s="408"/>
      <c r="O3" s="407"/>
      <c r="P3" s="407"/>
      <c r="Q3" s="407"/>
    </row>
    <row r="4" spans="1:20">
      <c r="J4" s="848"/>
      <c r="K4" s="848"/>
      <c r="L4" s="848"/>
      <c r="O4" s="407"/>
      <c r="P4" s="407"/>
      <c r="Q4" s="407"/>
    </row>
    <row r="5" spans="1:20">
      <c r="J5" s="848"/>
      <c r="K5" s="848"/>
      <c r="L5" s="848"/>
      <c r="O5" s="407"/>
      <c r="P5" s="407"/>
      <c r="Q5" s="407"/>
    </row>
    <row r="6" spans="1:20" ht="36" customHeight="1">
      <c r="B6" s="96" t="s">
        <v>146</v>
      </c>
      <c r="C6" s="400" t="s">
        <v>147</v>
      </c>
      <c r="D6" s="399" t="s">
        <v>148</v>
      </c>
      <c r="E6" s="97" t="s">
        <v>157</v>
      </c>
      <c r="F6" s="401" t="s">
        <v>150</v>
      </c>
      <c r="G6" s="97" t="s">
        <v>151</v>
      </c>
      <c r="H6" s="867" t="s">
        <v>152</v>
      </c>
      <c r="I6" s="868"/>
      <c r="J6" s="869"/>
      <c r="K6" s="206"/>
      <c r="L6" s="351" t="s">
        <v>1318</v>
      </c>
      <c r="M6" s="351" t="s">
        <v>1316</v>
      </c>
      <c r="N6" s="351" t="s">
        <v>1317</v>
      </c>
      <c r="O6" s="410"/>
      <c r="P6" s="411"/>
      <c r="Q6" s="412"/>
      <c r="R6" s="413"/>
      <c r="S6" s="413"/>
    </row>
    <row r="7" spans="1:20" ht="3.75" customHeight="1">
      <c r="B7" s="333"/>
      <c r="C7" s="333"/>
      <c r="D7" s="333"/>
      <c r="E7" s="333"/>
      <c r="F7" s="333"/>
      <c r="G7" s="333"/>
      <c r="H7" s="333"/>
      <c r="I7" s="333"/>
      <c r="J7" s="333"/>
      <c r="K7" s="343"/>
      <c r="L7" s="333"/>
      <c r="M7" s="324"/>
      <c r="N7" s="324"/>
      <c r="O7" s="324"/>
      <c r="P7" s="324"/>
      <c r="Q7" s="324"/>
    </row>
    <row r="8" spans="1:20" ht="15" thickBot="1">
      <c r="B8" s="505" t="s">
        <v>870</v>
      </c>
      <c r="C8" s="505"/>
      <c r="D8" s="505"/>
      <c r="E8" s="505"/>
      <c r="F8" s="505"/>
      <c r="G8" s="505"/>
      <c r="H8" s="505"/>
      <c r="I8" s="506"/>
      <c r="J8" s="506"/>
      <c r="K8" s="563"/>
      <c r="L8" s="506"/>
      <c r="M8" s="507">
        <f>+M32+M36+M39</f>
        <v>5589047.4681571601</v>
      </c>
      <c r="N8" s="507">
        <f>+N32+N36+N39</f>
        <v>1491148.2913322998</v>
      </c>
      <c r="O8" s="348"/>
      <c r="P8" s="348"/>
      <c r="Q8" s="348"/>
      <c r="R8" s="756"/>
      <c r="S8" s="757"/>
    </row>
    <row r="9" spans="1:20" ht="4.5" customHeight="1" thickTop="1">
      <c r="B9" s="564"/>
      <c r="C9" s="509"/>
      <c r="D9" s="509"/>
      <c r="E9" s="509"/>
      <c r="F9" s="509"/>
      <c r="G9" s="509"/>
      <c r="H9" s="509"/>
      <c r="I9" s="509"/>
      <c r="J9" s="509"/>
      <c r="K9" s="478"/>
      <c r="L9" s="509"/>
      <c r="M9" s="511"/>
      <c r="N9" s="503"/>
      <c r="O9" s="348"/>
      <c r="P9" s="348"/>
      <c r="Q9" s="348"/>
    </row>
    <row r="10" spans="1:20">
      <c r="B10" s="864" t="s">
        <v>634</v>
      </c>
      <c r="C10" s="466" t="s">
        <v>892</v>
      </c>
      <c r="D10" s="467" t="s">
        <v>803</v>
      </c>
      <c r="E10" s="468">
        <v>40878</v>
      </c>
      <c r="F10" s="468">
        <v>45261</v>
      </c>
      <c r="G10" s="470">
        <v>12.008219178082191</v>
      </c>
      <c r="H10" s="471" t="s">
        <v>804</v>
      </c>
      <c r="I10" s="565" t="s">
        <v>154</v>
      </c>
      <c r="J10" s="554">
        <v>4.4699999999999997E-2</v>
      </c>
      <c r="K10" s="563"/>
      <c r="L10" s="476">
        <v>180000000000</v>
      </c>
      <c r="M10" s="566">
        <v>179999.99999996144</v>
      </c>
      <c r="N10" s="567">
        <v>48023.691687889077</v>
      </c>
      <c r="O10" s="350"/>
      <c r="P10" s="350"/>
      <c r="Q10" s="350"/>
    </row>
    <row r="11" spans="1:20">
      <c r="B11" s="865"/>
      <c r="C11" s="466" t="s">
        <v>893</v>
      </c>
      <c r="D11" s="467" t="s">
        <v>803</v>
      </c>
      <c r="E11" s="468">
        <v>40878</v>
      </c>
      <c r="F11" s="468">
        <v>51836</v>
      </c>
      <c r="G11" s="470">
        <v>30.021917808219179</v>
      </c>
      <c r="H11" s="471" t="s">
        <v>804</v>
      </c>
      <c r="I11" s="565" t="s">
        <v>154</v>
      </c>
      <c r="J11" s="554">
        <v>4.8399999999999999E-2</v>
      </c>
      <c r="K11" s="563"/>
      <c r="L11" s="476">
        <v>120000000000</v>
      </c>
      <c r="M11" s="566">
        <v>119999.99999997429</v>
      </c>
      <c r="N11" s="567">
        <v>32015.794458592714</v>
      </c>
      <c r="O11" s="350"/>
      <c r="P11" s="350"/>
      <c r="Q11" s="350"/>
    </row>
    <row r="12" spans="1:20">
      <c r="B12" s="865"/>
      <c r="C12" s="466" t="s">
        <v>894</v>
      </c>
      <c r="D12" s="467" t="s">
        <v>803</v>
      </c>
      <c r="E12" s="468">
        <v>41416</v>
      </c>
      <c r="F12" s="468">
        <v>44703</v>
      </c>
      <c r="G12" s="470">
        <v>9.0054794520547947</v>
      </c>
      <c r="H12" s="471" t="s">
        <v>804</v>
      </c>
      <c r="I12" s="565" t="s">
        <v>154</v>
      </c>
      <c r="J12" s="554">
        <v>2.8400000000000002E-2</v>
      </c>
      <c r="K12" s="563"/>
      <c r="L12" s="476">
        <v>120000000000</v>
      </c>
      <c r="M12" s="566">
        <v>119999.99999997429</v>
      </c>
      <c r="N12" s="567">
        <v>32015.794458592714</v>
      </c>
      <c r="O12" s="350"/>
      <c r="P12" s="350"/>
      <c r="Q12" s="350"/>
    </row>
    <row r="13" spans="1:20" s="406" customFormat="1">
      <c r="A13" s="319"/>
      <c r="B13" s="865"/>
      <c r="C13" s="466" t="s">
        <v>895</v>
      </c>
      <c r="D13" s="467" t="s">
        <v>803</v>
      </c>
      <c r="E13" s="468">
        <v>41416</v>
      </c>
      <c r="F13" s="468">
        <v>46895</v>
      </c>
      <c r="G13" s="470">
        <v>15.010958904109589</v>
      </c>
      <c r="H13" s="471" t="s">
        <v>804</v>
      </c>
      <c r="I13" s="565" t="s">
        <v>154</v>
      </c>
      <c r="J13" s="554">
        <v>3.2500000000000001E-2</v>
      </c>
      <c r="K13" s="563"/>
      <c r="L13" s="476">
        <v>100000000000</v>
      </c>
      <c r="M13" s="566">
        <v>99999.99999997858</v>
      </c>
      <c r="N13" s="567">
        <v>26679.828715493928</v>
      </c>
      <c r="O13" s="350"/>
      <c r="P13" s="350"/>
      <c r="Q13" s="350"/>
      <c r="T13" s="319"/>
    </row>
    <row r="14" spans="1:20" s="406" customFormat="1">
      <c r="A14" s="319"/>
      <c r="B14" s="865"/>
      <c r="C14" s="466" t="s">
        <v>896</v>
      </c>
      <c r="D14" s="467" t="s">
        <v>803</v>
      </c>
      <c r="E14" s="468">
        <v>42131</v>
      </c>
      <c r="F14" s="468">
        <v>45784</v>
      </c>
      <c r="G14" s="470">
        <v>10.008219178082191</v>
      </c>
      <c r="H14" s="471" t="s">
        <v>804</v>
      </c>
      <c r="I14" s="565" t="s">
        <v>154</v>
      </c>
      <c r="J14" s="554">
        <v>3.7999999999999999E-2</v>
      </c>
      <c r="K14" s="563"/>
      <c r="L14" s="476">
        <v>100000000000</v>
      </c>
      <c r="M14" s="566">
        <v>99999.99999997858</v>
      </c>
      <c r="N14" s="567">
        <v>26679.828715493928</v>
      </c>
      <c r="O14" s="350"/>
      <c r="P14" s="350"/>
      <c r="Q14" s="350"/>
      <c r="T14" s="319"/>
    </row>
    <row r="15" spans="1:20" s="406" customFormat="1">
      <c r="A15" s="319"/>
      <c r="B15" s="865"/>
      <c r="C15" s="466" t="s">
        <v>897</v>
      </c>
      <c r="D15" s="467" t="s">
        <v>803</v>
      </c>
      <c r="E15" s="468">
        <v>42131</v>
      </c>
      <c r="F15" s="468">
        <v>47610</v>
      </c>
      <c r="G15" s="470">
        <v>15.010958904109589</v>
      </c>
      <c r="H15" s="471" t="s">
        <v>804</v>
      </c>
      <c r="I15" s="565" t="s">
        <v>154</v>
      </c>
      <c r="J15" s="554">
        <v>4.1399999999999999E-2</v>
      </c>
      <c r="K15" s="563"/>
      <c r="L15" s="476">
        <v>120000000000</v>
      </c>
      <c r="M15" s="566">
        <v>119999.99999997429</v>
      </c>
      <c r="N15" s="567">
        <v>32015.794458592714</v>
      </c>
      <c r="O15" s="350"/>
      <c r="P15" s="350"/>
      <c r="Q15" s="350"/>
      <c r="T15" s="319"/>
    </row>
    <row r="16" spans="1:20" s="406" customFormat="1">
      <c r="A16" s="319"/>
      <c r="B16" s="865"/>
      <c r="C16" s="466" t="s">
        <v>898</v>
      </c>
      <c r="D16" s="467" t="s">
        <v>803</v>
      </c>
      <c r="E16" s="468">
        <v>42131</v>
      </c>
      <c r="F16" s="468">
        <v>49436</v>
      </c>
      <c r="G16" s="470">
        <v>20.013698630136986</v>
      </c>
      <c r="H16" s="471" t="s">
        <v>804</v>
      </c>
      <c r="I16" s="565" t="s">
        <v>154</v>
      </c>
      <c r="J16" s="554">
        <v>4.3400000000000001E-2</v>
      </c>
      <c r="K16" s="563"/>
      <c r="L16" s="476">
        <v>280000000000</v>
      </c>
      <c r="M16" s="566">
        <v>279999.99999994005</v>
      </c>
      <c r="N16" s="567">
        <v>74703.520403383009</v>
      </c>
      <c r="O16" s="350"/>
      <c r="P16" s="350"/>
      <c r="Q16" s="350"/>
      <c r="T16" s="319"/>
    </row>
    <row r="17" spans="1:20" s="406" customFormat="1">
      <c r="A17" s="319"/>
      <c r="B17" s="865"/>
      <c r="C17" s="466" t="s">
        <v>899</v>
      </c>
      <c r="D17" s="467" t="s">
        <v>803</v>
      </c>
      <c r="E17" s="468">
        <v>42416</v>
      </c>
      <c r="F17" s="468">
        <v>45338</v>
      </c>
      <c r="G17" s="470">
        <v>8.0054794520547947</v>
      </c>
      <c r="H17" s="471" t="s">
        <v>804</v>
      </c>
      <c r="I17" s="565" t="s">
        <v>154</v>
      </c>
      <c r="J17" s="554">
        <v>4.7300000000000002E-2</v>
      </c>
      <c r="K17" s="563"/>
      <c r="L17" s="476">
        <v>115000000000</v>
      </c>
      <c r="M17" s="566">
        <v>114999.99999997536</v>
      </c>
      <c r="N17" s="567">
        <v>30681.803022818021</v>
      </c>
      <c r="O17" s="350"/>
      <c r="P17" s="350"/>
      <c r="Q17" s="350"/>
      <c r="T17" s="319"/>
    </row>
    <row r="18" spans="1:20" s="406" customFormat="1">
      <c r="A18" s="319"/>
      <c r="B18" s="865"/>
      <c r="C18" s="466" t="s">
        <v>900</v>
      </c>
      <c r="D18" s="467" t="s">
        <v>803</v>
      </c>
      <c r="E18" s="468">
        <v>42416</v>
      </c>
      <c r="F18" s="468">
        <v>46799</v>
      </c>
      <c r="G18" s="470">
        <v>12.008219178082191</v>
      </c>
      <c r="H18" s="471" t="s">
        <v>804</v>
      </c>
      <c r="I18" s="565" t="s">
        <v>154</v>
      </c>
      <c r="J18" s="554">
        <v>5.0500000000000003E-2</v>
      </c>
      <c r="K18" s="563"/>
      <c r="L18" s="476">
        <v>152000000000</v>
      </c>
      <c r="M18" s="566">
        <v>151999.99999996743</v>
      </c>
      <c r="N18" s="567">
        <v>40553.339647550769</v>
      </c>
      <c r="O18" s="350"/>
      <c r="P18" s="350"/>
      <c r="Q18" s="350"/>
      <c r="T18" s="319"/>
    </row>
    <row r="19" spans="1:20" s="406" customFormat="1">
      <c r="A19" s="319"/>
      <c r="B19" s="865"/>
      <c r="C19" s="466" t="s">
        <v>901</v>
      </c>
      <c r="D19" s="467" t="s">
        <v>803</v>
      </c>
      <c r="E19" s="468">
        <v>42416</v>
      </c>
      <c r="F19" s="468">
        <v>51548</v>
      </c>
      <c r="G19" s="470">
        <v>25.019178082191782</v>
      </c>
      <c r="H19" s="471" t="s">
        <v>804</v>
      </c>
      <c r="I19" s="565" t="s">
        <v>154</v>
      </c>
      <c r="J19" s="554">
        <v>5.3800000000000001E-2</v>
      </c>
      <c r="K19" s="563"/>
      <c r="L19" s="476">
        <v>133000000000</v>
      </c>
      <c r="M19" s="566">
        <v>132999.99999997151</v>
      </c>
      <c r="N19" s="567">
        <v>35484.172191606929</v>
      </c>
      <c r="O19" s="350"/>
      <c r="P19" s="350"/>
      <c r="Q19" s="350"/>
      <c r="T19" s="319"/>
    </row>
    <row r="20" spans="1:20" s="406" customFormat="1">
      <c r="A20" s="319"/>
      <c r="B20" s="865"/>
      <c r="C20" s="466" t="s">
        <v>902</v>
      </c>
      <c r="D20" s="467" t="s">
        <v>803</v>
      </c>
      <c r="E20" s="468">
        <v>42843</v>
      </c>
      <c r="F20" s="468">
        <v>45400</v>
      </c>
      <c r="G20" s="470">
        <v>7.0054794520547947</v>
      </c>
      <c r="H20" s="471" t="s">
        <v>816</v>
      </c>
      <c r="I20" s="565"/>
      <c r="J20" s="554">
        <v>6.7500000000000004E-2</v>
      </c>
      <c r="K20" s="563"/>
      <c r="L20" s="476">
        <v>260780000000</v>
      </c>
      <c r="M20" s="566">
        <v>260779.99999994415</v>
      </c>
      <c r="N20" s="567">
        <v>69575.657324265077</v>
      </c>
      <c r="O20" s="350"/>
      <c r="P20" s="350"/>
      <c r="Q20" s="350"/>
      <c r="T20" s="319"/>
    </row>
    <row r="21" spans="1:20" s="406" customFormat="1">
      <c r="A21" s="319"/>
      <c r="B21" s="865"/>
      <c r="C21" s="466" t="s">
        <v>903</v>
      </c>
      <c r="D21" s="467" t="s">
        <v>803</v>
      </c>
      <c r="E21" s="468">
        <v>42843</v>
      </c>
      <c r="F21" s="468">
        <v>48322</v>
      </c>
      <c r="G21" s="470">
        <v>15.010958904109589</v>
      </c>
      <c r="H21" s="471" t="s">
        <v>804</v>
      </c>
      <c r="I21" s="565" t="s">
        <v>154</v>
      </c>
      <c r="J21" s="554">
        <v>3.8100000000000002E-2</v>
      </c>
      <c r="K21" s="563"/>
      <c r="L21" s="476">
        <v>196300000000</v>
      </c>
      <c r="M21" s="566">
        <v>196299.99999995794</v>
      </c>
      <c r="N21" s="567">
        <v>52372.503768514587</v>
      </c>
      <c r="O21" s="350"/>
      <c r="P21" s="350"/>
      <c r="Q21" s="350"/>
      <c r="T21" s="319"/>
    </row>
    <row r="22" spans="1:20" s="406" customFormat="1">
      <c r="A22" s="319"/>
      <c r="B22" s="865"/>
      <c r="C22" s="466" t="s">
        <v>904</v>
      </c>
      <c r="D22" s="467" t="s">
        <v>803</v>
      </c>
      <c r="E22" s="468">
        <v>42843</v>
      </c>
      <c r="F22" s="468">
        <v>51974</v>
      </c>
      <c r="G22" s="470">
        <v>25.016438356164382</v>
      </c>
      <c r="H22" s="471" t="s">
        <v>804</v>
      </c>
      <c r="I22" s="565" t="s">
        <v>154</v>
      </c>
      <c r="J22" s="554">
        <v>0.04</v>
      </c>
      <c r="K22" s="563"/>
      <c r="L22" s="476">
        <v>242920000000</v>
      </c>
      <c r="M22" s="566">
        <v>242919.99999994796</v>
      </c>
      <c r="N22" s="567">
        <v>64810.639915677857</v>
      </c>
      <c r="O22" s="350"/>
      <c r="P22" s="350"/>
      <c r="Q22" s="350"/>
      <c r="T22" s="319"/>
    </row>
    <row r="23" spans="1:20" s="406" customFormat="1">
      <c r="A23" s="319"/>
      <c r="B23" s="865"/>
      <c r="C23" s="466" t="s">
        <v>905</v>
      </c>
      <c r="D23" s="467" t="s">
        <v>803</v>
      </c>
      <c r="E23" s="468">
        <v>43067</v>
      </c>
      <c r="F23" s="468">
        <v>45989</v>
      </c>
      <c r="G23" s="470">
        <v>8.0054794520547947</v>
      </c>
      <c r="H23" s="471" t="s">
        <v>816</v>
      </c>
      <c r="I23" s="565"/>
      <c r="J23" s="554">
        <v>6.9900000000000004E-2</v>
      </c>
      <c r="K23" s="563"/>
      <c r="L23" s="476">
        <v>150080000000</v>
      </c>
      <c r="M23" s="566">
        <v>150079.99999996784</v>
      </c>
      <c r="N23" s="567">
        <v>40041.086936213287</v>
      </c>
      <c r="O23" s="350"/>
      <c r="P23" s="350"/>
      <c r="Q23" s="350"/>
      <c r="T23" s="319"/>
    </row>
    <row r="24" spans="1:20" s="406" customFormat="1">
      <c r="A24" s="319"/>
      <c r="B24" s="865"/>
      <c r="C24" s="466" t="s">
        <v>906</v>
      </c>
      <c r="D24" s="467" t="s">
        <v>803</v>
      </c>
      <c r="E24" s="468">
        <v>43067</v>
      </c>
      <c r="F24" s="468">
        <v>48180</v>
      </c>
      <c r="G24" s="470">
        <v>14.008219178082191</v>
      </c>
      <c r="H24" s="471" t="s">
        <v>804</v>
      </c>
      <c r="I24" s="565" t="s">
        <v>154</v>
      </c>
      <c r="J24" s="554">
        <v>3.7499999999999999E-2</v>
      </c>
      <c r="K24" s="563"/>
      <c r="L24" s="476">
        <v>120100000000</v>
      </c>
      <c r="M24" s="566">
        <v>120099.99999997427</v>
      </c>
      <c r="N24" s="567">
        <v>32042.47428730821</v>
      </c>
      <c r="O24" s="350"/>
      <c r="P24" s="350"/>
      <c r="Q24" s="350"/>
      <c r="T24" s="319"/>
    </row>
    <row r="25" spans="1:20" s="406" customFormat="1">
      <c r="A25" s="319"/>
      <c r="B25" s="865"/>
      <c r="C25" s="466" t="s">
        <v>907</v>
      </c>
      <c r="D25" s="467" t="s">
        <v>803</v>
      </c>
      <c r="E25" s="468">
        <v>43067</v>
      </c>
      <c r="F25" s="468">
        <v>54024</v>
      </c>
      <c r="G25" s="470">
        <v>30.019178082191782</v>
      </c>
      <c r="H25" s="471" t="s">
        <v>804</v>
      </c>
      <c r="I25" s="565" t="s">
        <v>154</v>
      </c>
      <c r="J25" s="554">
        <v>3.9800000000000002E-2</v>
      </c>
      <c r="K25" s="563"/>
      <c r="L25" s="476">
        <v>229820000000</v>
      </c>
      <c r="M25" s="566">
        <v>229819.99999995076</v>
      </c>
      <c r="N25" s="567">
        <v>61315.582353948143</v>
      </c>
      <c r="O25" s="350"/>
      <c r="P25" s="350"/>
      <c r="Q25" s="350"/>
      <c r="T25" s="319"/>
    </row>
    <row r="26" spans="1:20" s="406" customFormat="1">
      <c r="A26" s="319"/>
      <c r="B26" s="865"/>
      <c r="C26" s="466" t="s">
        <v>908</v>
      </c>
      <c r="D26" s="467" t="s">
        <v>803</v>
      </c>
      <c r="E26" s="468">
        <v>43306</v>
      </c>
      <c r="F26" s="468">
        <v>46593</v>
      </c>
      <c r="G26" s="470">
        <v>9.0054794520547947</v>
      </c>
      <c r="H26" s="471" t="s">
        <v>804</v>
      </c>
      <c r="I26" s="565" t="s">
        <v>154</v>
      </c>
      <c r="J26" s="554">
        <v>3.49E-2</v>
      </c>
      <c r="K26" s="563"/>
      <c r="L26" s="476">
        <v>156500000000</v>
      </c>
      <c r="M26" s="566">
        <v>156499.99999996647</v>
      </c>
      <c r="N26" s="567">
        <v>41753.931939747999</v>
      </c>
      <c r="O26" s="350"/>
      <c r="P26" s="350"/>
      <c r="Q26" s="350"/>
      <c r="T26" s="319"/>
    </row>
    <row r="27" spans="1:20" s="406" customFormat="1">
      <c r="A27" s="319"/>
      <c r="B27" s="865"/>
      <c r="C27" s="466" t="s">
        <v>909</v>
      </c>
      <c r="D27" s="467" t="s">
        <v>803</v>
      </c>
      <c r="E27" s="468">
        <v>43306</v>
      </c>
      <c r="F27" s="468">
        <v>48785</v>
      </c>
      <c r="G27" s="470">
        <v>15.010958904109589</v>
      </c>
      <c r="H27" s="471" t="s">
        <v>804</v>
      </c>
      <c r="I27" s="565" t="s">
        <v>154</v>
      </c>
      <c r="J27" s="554">
        <v>3.8899999999999997E-2</v>
      </c>
      <c r="K27" s="563"/>
      <c r="L27" s="476">
        <v>142063000000</v>
      </c>
      <c r="M27" s="566">
        <v>142062.99999996956</v>
      </c>
      <c r="N27" s="567">
        <v>37902.165068092138</v>
      </c>
      <c r="O27" s="350"/>
      <c r="P27" s="350"/>
      <c r="Q27" s="350"/>
      <c r="T27" s="319"/>
    </row>
    <row r="28" spans="1:20" s="406" customFormat="1">
      <c r="A28" s="319"/>
      <c r="B28" s="865"/>
      <c r="C28" s="466" t="s">
        <v>910</v>
      </c>
      <c r="D28" s="467" t="s">
        <v>803</v>
      </c>
      <c r="E28" s="468">
        <v>43306</v>
      </c>
      <c r="F28" s="468">
        <v>52437</v>
      </c>
      <c r="G28" s="470">
        <v>25.016438356164382</v>
      </c>
      <c r="H28" s="471" t="s">
        <v>804</v>
      </c>
      <c r="I28" s="565" t="s">
        <v>154</v>
      </c>
      <c r="J28" s="554">
        <v>4.07E-2</v>
      </c>
      <c r="K28" s="563"/>
      <c r="L28" s="476">
        <v>201437000000</v>
      </c>
      <c r="M28" s="566">
        <v>201436.99999995684</v>
      </c>
      <c r="N28" s="567">
        <v>53743.046569629507</v>
      </c>
      <c r="O28" s="350"/>
      <c r="P28" s="350"/>
      <c r="Q28" s="350"/>
      <c r="T28" s="319"/>
    </row>
    <row r="29" spans="1:20" s="406" customFormat="1">
      <c r="A29" s="319"/>
      <c r="B29" s="865"/>
      <c r="C29" s="466" t="s">
        <v>911</v>
      </c>
      <c r="D29" s="467" t="s">
        <v>803</v>
      </c>
      <c r="E29" s="468">
        <v>44056</v>
      </c>
      <c r="F29" s="468">
        <v>47343</v>
      </c>
      <c r="G29" s="470">
        <v>9.0054794520547947</v>
      </c>
      <c r="H29" s="471" t="s">
        <v>816</v>
      </c>
      <c r="I29" s="565"/>
      <c r="J29" s="554">
        <v>6.3299999999999995E-2</v>
      </c>
      <c r="K29" s="563"/>
      <c r="L29" s="476">
        <v>160000000000</v>
      </c>
      <c r="M29" s="566">
        <v>159999.99999996572</v>
      </c>
      <c r="N29" s="567">
        <v>42687.725944790291</v>
      </c>
      <c r="O29" s="350"/>
      <c r="P29" s="350"/>
      <c r="Q29" s="350"/>
      <c r="T29" s="319"/>
    </row>
    <row r="30" spans="1:20">
      <c r="B30" s="865"/>
      <c r="C30" s="466" t="s">
        <v>912</v>
      </c>
      <c r="D30" s="467" t="s">
        <v>873</v>
      </c>
      <c r="E30" s="468">
        <v>44056</v>
      </c>
      <c r="F30" s="468">
        <v>51361</v>
      </c>
      <c r="G30" s="470">
        <v>20.013698630136986</v>
      </c>
      <c r="H30" s="471" t="s">
        <v>816</v>
      </c>
      <c r="I30" s="565"/>
      <c r="J30" s="554">
        <v>3.6700000000000003E-2</v>
      </c>
      <c r="K30" s="563"/>
      <c r="L30" s="476">
        <v>509780000</v>
      </c>
      <c r="M30" s="566">
        <v>152311.25275196737</v>
      </c>
      <c r="N30" s="567">
        <v>40636.381348656636</v>
      </c>
      <c r="O30" s="350"/>
      <c r="P30" s="350"/>
      <c r="Q30" s="350"/>
    </row>
    <row r="31" spans="1:20">
      <c r="B31" s="866"/>
      <c r="C31" s="466" t="s">
        <v>1242</v>
      </c>
      <c r="D31" s="467" t="s">
        <v>808</v>
      </c>
      <c r="E31" s="468">
        <v>44526</v>
      </c>
      <c r="F31" s="468">
        <v>48909</v>
      </c>
      <c r="G31" s="470">
        <v>12.008219178082191</v>
      </c>
      <c r="H31" s="471" t="s">
        <v>816</v>
      </c>
      <c r="I31" s="565"/>
      <c r="J31" s="554">
        <v>3.8249999999999999E-2</v>
      </c>
      <c r="K31" s="563"/>
      <c r="L31" s="476">
        <v>330000000</v>
      </c>
      <c r="M31" s="566">
        <v>1236889.499999735</v>
      </c>
      <c r="N31" s="567">
        <v>329999.99999992928</v>
      </c>
      <c r="O31" s="350"/>
      <c r="P31" s="350"/>
      <c r="Q31" s="350"/>
    </row>
    <row r="32" spans="1:20">
      <c r="B32" s="489"/>
      <c r="C32" s="478"/>
      <c r="D32" s="478"/>
      <c r="E32" s="478"/>
      <c r="F32" s="478"/>
      <c r="G32" s="478"/>
      <c r="H32" s="478"/>
      <c r="I32" s="478"/>
      <c r="J32" s="559"/>
      <c r="K32" s="478"/>
      <c r="L32" s="559"/>
      <c r="M32" s="482">
        <v>4669200.7527510002</v>
      </c>
      <c r="N32" s="483">
        <v>1245734.7632167868</v>
      </c>
      <c r="O32" s="348"/>
      <c r="P32" s="348"/>
      <c r="Q32" s="348"/>
      <c r="S32" s="414"/>
    </row>
    <row r="33" spans="2:20" ht="17.100000000000001" customHeight="1">
      <c r="B33" s="334"/>
      <c r="C33" s="334"/>
      <c r="D33" s="343"/>
      <c r="E33" s="343"/>
      <c r="F33" s="343"/>
      <c r="G33" s="343"/>
      <c r="H33" s="343"/>
      <c r="I33" s="343"/>
      <c r="J33" s="344"/>
      <c r="K33" s="343"/>
      <c r="L33" s="344"/>
      <c r="M33" s="349"/>
      <c r="N33" s="349"/>
      <c r="O33" s="349"/>
      <c r="P33" s="349"/>
      <c r="Q33" s="349"/>
      <c r="S33" s="414"/>
    </row>
    <row r="34" spans="2:20">
      <c r="B34" s="839" t="s">
        <v>913</v>
      </c>
      <c r="C34" s="466" t="s">
        <v>914</v>
      </c>
      <c r="D34" s="568" t="s">
        <v>808</v>
      </c>
      <c r="E34" s="468">
        <v>42559</v>
      </c>
      <c r="F34" s="468">
        <v>48959</v>
      </c>
      <c r="G34" s="470">
        <v>17.534246575342465</v>
      </c>
      <c r="H34" s="471" t="s">
        <v>816</v>
      </c>
      <c r="I34" s="565"/>
      <c r="J34" s="554">
        <v>6.7500000000000004E-2</v>
      </c>
      <c r="K34" s="478"/>
      <c r="L34" s="476">
        <v>142901096</v>
      </c>
      <c r="M34" s="566">
        <v>466363.72254333133</v>
      </c>
      <c r="N34" s="567">
        <v>124425.04236578882</v>
      </c>
      <c r="O34" s="349"/>
      <c r="P34" s="349"/>
      <c r="Q34" s="349"/>
      <c r="S34" s="414"/>
    </row>
    <row r="35" spans="2:20">
      <c r="B35" s="842"/>
      <c r="C35" s="466" t="s">
        <v>915</v>
      </c>
      <c r="D35" s="568" t="s">
        <v>873</v>
      </c>
      <c r="E35" s="468">
        <v>42559</v>
      </c>
      <c r="F35" s="468">
        <v>48959</v>
      </c>
      <c r="G35" s="470">
        <v>17.534246575342465</v>
      </c>
      <c r="H35" s="471" t="s">
        <v>816</v>
      </c>
      <c r="I35" s="565"/>
      <c r="J35" s="554">
        <v>6.25E-2</v>
      </c>
      <c r="K35" s="563"/>
      <c r="L35" s="476">
        <v>1358773563.5</v>
      </c>
      <c r="M35" s="566">
        <v>353482.9928628286</v>
      </c>
      <c r="N35" s="567">
        <v>94308.65703422451</v>
      </c>
      <c r="O35" s="349"/>
      <c r="P35" s="349"/>
      <c r="Q35" s="349"/>
      <c r="S35" s="414"/>
    </row>
    <row r="36" spans="2:20">
      <c r="B36" s="538"/>
      <c r="C36" s="490"/>
      <c r="D36" s="518"/>
      <c r="E36" s="491"/>
      <c r="F36" s="543"/>
      <c r="G36" s="492"/>
      <c r="H36" s="545"/>
      <c r="I36" s="569"/>
      <c r="J36" s="495"/>
      <c r="K36" s="563"/>
      <c r="L36" s="570"/>
      <c r="M36" s="482">
        <v>819846.71540615987</v>
      </c>
      <c r="N36" s="482">
        <v>218733.69940001331</v>
      </c>
      <c r="O36" s="349"/>
      <c r="P36" s="349"/>
      <c r="Q36" s="349"/>
      <c r="R36" s="414"/>
      <c r="S36" s="414"/>
    </row>
    <row r="37" spans="2:20" ht="4.5" customHeight="1">
      <c r="B37" s="478"/>
      <c r="C37" s="478"/>
      <c r="D37" s="478"/>
      <c r="E37" s="478"/>
      <c r="F37" s="478"/>
      <c r="G37" s="478"/>
      <c r="H37" s="478"/>
      <c r="I37" s="478"/>
      <c r="J37" s="559"/>
      <c r="K37" s="563"/>
      <c r="L37" s="559"/>
      <c r="M37" s="511"/>
      <c r="N37" s="511"/>
      <c r="O37" s="325"/>
      <c r="P37" s="415"/>
      <c r="Q37" s="325"/>
    </row>
    <row r="38" spans="2:20">
      <c r="B38" s="776" t="s">
        <v>916</v>
      </c>
      <c r="C38" s="775" t="s">
        <v>917</v>
      </c>
      <c r="D38" s="534" t="s">
        <v>803</v>
      </c>
      <c r="E38" s="468">
        <v>40827</v>
      </c>
      <c r="F38" s="468">
        <v>46306</v>
      </c>
      <c r="G38" s="470">
        <v>15.010958904109589</v>
      </c>
      <c r="H38" s="471" t="s">
        <v>804</v>
      </c>
      <c r="I38" s="565" t="s">
        <v>154</v>
      </c>
      <c r="J38" s="477">
        <v>4.48E-2</v>
      </c>
      <c r="K38" s="478"/>
      <c r="L38" s="476">
        <v>100000000000</v>
      </c>
      <c r="M38" s="566">
        <v>100000</v>
      </c>
      <c r="N38" s="476">
        <v>26679.828715499647</v>
      </c>
      <c r="O38" s="350"/>
      <c r="P38" s="350"/>
      <c r="Q38" s="350"/>
      <c r="S38" s="414"/>
    </row>
    <row r="39" spans="2:20">
      <c r="B39" s="349"/>
      <c r="C39" s="349"/>
      <c r="D39" s="349"/>
      <c r="E39" s="349"/>
      <c r="F39" s="349"/>
      <c r="G39" s="349"/>
      <c r="H39" s="349"/>
      <c r="I39" s="349"/>
      <c r="J39" s="349"/>
      <c r="K39" s="478"/>
      <c r="L39" s="559"/>
      <c r="M39" s="482">
        <v>100000</v>
      </c>
      <c r="N39" s="483">
        <v>26679.828715499647</v>
      </c>
      <c r="O39" s="348"/>
      <c r="P39" s="348"/>
      <c r="Q39" s="348"/>
    </row>
    <row r="40" spans="2:20" s="478" customFormat="1">
      <c r="B40" s="349"/>
      <c r="C40" s="349"/>
      <c r="D40" s="349"/>
      <c r="E40" s="349"/>
      <c r="F40" s="349"/>
      <c r="G40" s="349"/>
      <c r="H40" s="349"/>
      <c r="I40" s="349"/>
      <c r="J40" s="349"/>
      <c r="L40" s="511"/>
      <c r="M40" s="503"/>
      <c r="N40" s="503"/>
      <c r="P40" s="758"/>
      <c r="Q40" s="758"/>
      <c r="R40" s="758"/>
      <c r="S40" s="758"/>
      <c r="T40" s="758"/>
    </row>
    <row r="41" spans="2:20" ht="15.75" thickBot="1">
      <c r="B41" s="330" t="s">
        <v>876</v>
      </c>
      <c r="C41" s="330"/>
      <c r="D41" s="330"/>
      <c r="E41" s="330"/>
      <c r="F41" s="330"/>
      <c r="G41" s="330"/>
      <c r="H41" s="330"/>
      <c r="I41" s="331"/>
      <c r="J41" s="331"/>
      <c r="K41" s="343"/>
      <c r="L41" s="331"/>
      <c r="M41" s="93">
        <f>+M49+M53</f>
        <v>4496205.4903040063</v>
      </c>
      <c r="N41" s="93">
        <f>+N49+N53</f>
        <v>1199579.9235099999</v>
      </c>
      <c r="O41" s="348"/>
      <c r="P41" s="348"/>
      <c r="Q41" s="348"/>
      <c r="R41" s="756"/>
      <c r="S41" s="757"/>
    </row>
    <row r="42" spans="2:20" ht="4.5" customHeight="1" thickTop="1">
      <c r="B42" s="332"/>
      <c r="C42" s="333"/>
      <c r="D42" s="333"/>
      <c r="E42" s="333"/>
      <c r="F42" s="333"/>
      <c r="G42" s="333"/>
      <c r="H42" s="333"/>
      <c r="I42" s="333"/>
      <c r="J42" s="333"/>
      <c r="K42" s="409"/>
      <c r="L42" s="333"/>
      <c r="M42" s="325"/>
      <c r="N42" s="348"/>
      <c r="O42" s="348"/>
      <c r="P42" s="348"/>
      <c r="Q42" s="348"/>
    </row>
    <row r="43" spans="2:20">
      <c r="B43" s="864" t="s">
        <v>640</v>
      </c>
      <c r="C43" s="512" t="s">
        <v>918</v>
      </c>
      <c r="D43" s="572" t="s">
        <v>808</v>
      </c>
      <c r="E43" s="469">
        <v>40563</v>
      </c>
      <c r="F43" s="469">
        <v>46041</v>
      </c>
      <c r="G43" s="513">
        <v>15.008219178082191</v>
      </c>
      <c r="H43" s="514" t="s">
        <v>816</v>
      </c>
      <c r="I43" s="573"/>
      <c r="J43" s="473">
        <v>6.5000000000000002E-2</v>
      </c>
      <c r="K43" s="478"/>
      <c r="L43" s="474">
        <v>38000000</v>
      </c>
      <c r="M43" s="574">
        <v>142429.69904902793</v>
      </c>
      <c r="N43" s="574">
        <v>37999.999746282279</v>
      </c>
      <c r="O43" s="350"/>
      <c r="P43" s="350"/>
      <c r="Q43" s="350"/>
    </row>
    <row r="44" spans="2:20">
      <c r="B44" s="865"/>
      <c r="C44" s="512" t="s">
        <v>919</v>
      </c>
      <c r="D44" s="572" t="s">
        <v>808</v>
      </c>
      <c r="E44" s="469">
        <v>41201</v>
      </c>
      <c r="F44" s="469">
        <v>47957</v>
      </c>
      <c r="G44" s="513">
        <v>18.509589041095889</v>
      </c>
      <c r="H44" s="514" t="s">
        <v>816</v>
      </c>
      <c r="I44" s="573"/>
      <c r="J44" s="473">
        <v>5.8749999999999997E-2</v>
      </c>
      <c r="K44" s="563"/>
      <c r="L44" s="474">
        <v>40000000</v>
      </c>
      <c r="M44" s="574">
        <v>149925.99899897675</v>
      </c>
      <c r="N44" s="574">
        <v>39999.999732928707</v>
      </c>
      <c r="O44" s="350"/>
      <c r="P44" s="350"/>
      <c r="Q44" s="350"/>
      <c r="S44" s="416"/>
    </row>
    <row r="45" spans="2:20">
      <c r="B45" s="865"/>
      <c r="C45" s="512" t="s">
        <v>920</v>
      </c>
      <c r="D45" s="572" t="s">
        <v>819</v>
      </c>
      <c r="E45" s="469">
        <v>41220</v>
      </c>
      <c r="F45" s="469">
        <v>44873</v>
      </c>
      <c r="G45" s="513">
        <v>10.008219178082191</v>
      </c>
      <c r="H45" s="514" t="s">
        <v>816</v>
      </c>
      <c r="I45" s="573"/>
      <c r="J45" s="473">
        <v>5.3749999999999999E-2</v>
      </c>
      <c r="K45" s="478"/>
      <c r="L45" s="474">
        <v>104140000</v>
      </c>
      <c r="M45" s="574">
        <v>104702.88047044957</v>
      </c>
      <c r="N45" s="574">
        <v>27934.549169710277</v>
      </c>
      <c r="O45" s="350"/>
      <c r="P45" s="350"/>
      <c r="Q45" s="350"/>
      <c r="S45" s="416"/>
    </row>
    <row r="46" spans="2:20">
      <c r="B46" s="865"/>
      <c r="C46" s="512" t="s">
        <v>921</v>
      </c>
      <c r="D46" s="572" t="s">
        <v>819</v>
      </c>
      <c r="E46" s="469">
        <v>41312</v>
      </c>
      <c r="F46" s="469">
        <v>44964</v>
      </c>
      <c r="G46" s="513">
        <v>10.005479452054795</v>
      </c>
      <c r="H46" s="514" t="s">
        <v>816</v>
      </c>
      <c r="I46" s="573"/>
      <c r="J46" s="473">
        <v>5.1249999999999997E-2</v>
      </c>
      <c r="K46" s="563"/>
      <c r="L46" s="474">
        <v>77305000</v>
      </c>
      <c r="M46" s="574">
        <v>77722.836323872718</v>
      </c>
      <c r="N46" s="574">
        <v>20736.319604037384</v>
      </c>
      <c r="O46" s="350"/>
      <c r="P46" s="350"/>
      <c r="Q46" s="350"/>
    </row>
    <row r="47" spans="2:20">
      <c r="B47" s="865"/>
      <c r="C47" s="512" t="s">
        <v>826</v>
      </c>
      <c r="D47" s="572" t="s">
        <v>808</v>
      </c>
      <c r="E47" s="469">
        <v>41221</v>
      </c>
      <c r="F47" s="469">
        <v>44873</v>
      </c>
      <c r="G47" s="513">
        <v>10.005479452054795</v>
      </c>
      <c r="H47" s="514" t="s">
        <v>816</v>
      </c>
      <c r="I47" s="573"/>
      <c r="J47" s="473">
        <v>5.3749999999999999E-2</v>
      </c>
      <c r="K47" s="478"/>
      <c r="L47" s="474">
        <v>12873398.25</v>
      </c>
      <c r="M47" s="574">
        <v>48251.427328573227</v>
      </c>
      <c r="N47" s="574">
        <v>12873.398164047125</v>
      </c>
      <c r="O47" s="350"/>
      <c r="P47" s="350"/>
      <c r="Q47" s="350"/>
      <c r="S47" s="417"/>
      <c r="T47" s="418"/>
    </row>
    <row r="48" spans="2:20">
      <c r="B48" s="865"/>
      <c r="C48" s="512" t="s">
        <v>826</v>
      </c>
      <c r="D48" s="572" t="s">
        <v>808</v>
      </c>
      <c r="E48" s="469">
        <v>41312</v>
      </c>
      <c r="F48" s="469">
        <v>44964</v>
      </c>
      <c r="G48" s="513">
        <v>10.005479452054795</v>
      </c>
      <c r="H48" s="514" t="s">
        <v>816</v>
      </c>
      <c r="I48" s="573"/>
      <c r="J48" s="473">
        <v>5.1249999999999997E-2</v>
      </c>
      <c r="K48" s="563"/>
      <c r="L48" s="474">
        <v>10035657.16</v>
      </c>
      <c r="M48" s="574">
        <v>37615.148133105853</v>
      </c>
      <c r="N48" s="574">
        <v>10035.657092994104</v>
      </c>
      <c r="O48" s="350"/>
      <c r="P48" s="350"/>
      <c r="Q48" s="350"/>
    </row>
    <row r="49" spans="2:19">
      <c r="B49" s="489"/>
      <c r="C49" s="490"/>
      <c r="D49" s="518"/>
      <c r="E49" s="491"/>
      <c r="F49" s="491"/>
      <c r="G49" s="478"/>
      <c r="H49" s="494"/>
      <c r="I49" s="494"/>
      <c r="J49" s="519"/>
      <c r="K49" s="563"/>
      <c r="L49" s="519"/>
      <c r="M49" s="482">
        <v>560647.99030400603</v>
      </c>
      <c r="N49" s="483">
        <v>149579.92350999991</v>
      </c>
      <c r="O49" s="348"/>
      <c r="P49" s="348"/>
      <c r="Q49" s="348"/>
      <c r="S49" s="414"/>
    </row>
    <row r="50" spans="2:19" ht="4.5" customHeight="1">
      <c r="B50" s="478"/>
      <c r="C50" s="490"/>
      <c r="D50" s="518"/>
      <c r="E50" s="491"/>
      <c r="F50" s="491"/>
      <c r="G50" s="478"/>
      <c r="H50" s="494"/>
      <c r="I50" s="494"/>
      <c r="J50" s="519"/>
      <c r="K50" s="478"/>
      <c r="L50" s="519"/>
      <c r="M50" s="511"/>
      <c r="N50" s="511"/>
      <c r="O50" s="325"/>
      <c r="P50" s="325"/>
      <c r="Q50" s="325"/>
      <c r="R50" s="419"/>
    </row>
    <row r="51" spans="2:19">
      <c r="B51" s="839" t="s">
        <v>877</v>
      </c>
      <c r="C51" s="466" t="s">
        <v>922</v>
      </c>
      <c r="D51" s="467" t="s">
        <v>808</v>
      </c>
      <c r="E51" s="468">
        <v>41401</v>
      </c>
      <c r="F51" s="469">
        <v>45047</v>
      </c>
      <c r="G51" s="470">
        <v>9.9890410958904106</v>
      </c>
      <c r="H51" s="514" t="s">
        <v>816</v>
      </c>
      <c r="I51" s="565"/>
      <c r="J51" s="477">
        <v>4.3749999999999997E-2</v>
      </c>
      <c r="K51" s="563"/>
      <c r="L51" s="476">
        <v>450000000</v>
      </c>
      <c r="M51" s="566">
        <v>1686667.5</v>
      </c>
      <c r="N51" s="474">
        <v>450000</v>
      </c>
      <c r="O51" s="350"/>
      <c r="P51" s="350"/>
      <c r="Q51" s="350"/>
    </row>
    <row r="52" spans="2:19">
      <c r="B52" s="842"/>
      <c r="C52" s="466" t="s">
        <v>922</v>
      </c>
      <c r="D52" s="467" t="s">
        <v>808</v>
      </c>
      <c r="E52" s="468">
        <v>43571</v>
      </c>
      <c r="F52" s="469">
        <v>49050</v>
      </c>
      <c r="G52" s="470">
        <v>15.010958904109589</v>
      </c>
      <c r="H52" s="514" t="s">
        <v>816</v>
      </c>
      <c r="I52" s="565"/>
      <c r="J52" s="477">
        <v>4.7E-2</v>
      </c>
      <c r="K52" s="478"/>
      <c r="L52" s="476">
        <v>600000000</v>
      </c>
      <c r="M52" s="566">
        <v>2248890</v>
      </c>
      <c r="N52" s="474">
        <v>600000</v>
      </c>
      <c r="O52" s="350"/>
      <c r="P52" s="350"/>
      <c r="Q52" s="350"/>
    </row>
    <row r="53" spans="2:19">
      <c r="B53" s="478"/>
      <c r="C53" s="490"/>
      <c r="D53" s="518"/>
      <c r="E53" s="491"/>
      <c r="F53" s="491"/>
      <c r="G53" s="478"/>
      <c r="H53" s="494"/>
      <c r="I53" s="494"/>
      <c r="J53" s="519"/>
      <c r="K53" s="563"/>
      <c r="L53" s="519"/>
      <c r="M53" s="482">
        <v>3935557.5</v>
      </c>
      <c r="N53" s="483">
        <v>1050000</v>
      </c>
      <c r="O53" s="348"/>
      <c r="P53" s="348"/>
      <c r="Q53" s="348"/>
    </row>
    <row r="54" spans="2:19" ht="4.5" customHeight="1">
      <c r="B54" s="334"/>
      <c r="C54" s="312"/>
      <c r="D54" s="315"/>
      <c r="E54" s="314"/>
      <c r="F54" s="314"/>
      <c r="G54" s="343"/>
      <c r="H54" s="316"/>
      <c r="I54" s="316"/>
      <c r="J54" s="316"/>
      <c r="K54" s="343"/>
      <c r="L54" s="316"/>
      <c r="M54" s="325"/>
      <c r="N54" s="348"/>
      <c r="O54" s="348"/>
      <c r="P54" s="348"/>
      <c r="Q54" s="348"/>
    </row>
    <row r="55" spans="2:19" ht="15.75" thickBot="1">
      <c r="B55" s="330" t="s">
        <v>880</v>
      </c>
      <c r="C55" s="330"/>
      <c r="D55" s="330"/>
      <c r="E55" s="330"/>
      <c r="F55" s="330"/>
      <c r="G55" s="330"/>
      <c r="H55" s="330"/>
      <c r="I55" s="331"/>
      <c r="J55" s="331"/>
      <c r="K55" s="409"/>
      <c r="L55" s="331"/>
      <c r="M55" s="93">
        <f>+M66+M69</f>
        <v>4957652.7925482336</v>
      </c>
      <c r="N55" s="94">
        <f>+N66+N69</f>
        <v>1322693.2733610536</v>
      </c>
      <c r="O55" s="348"/>
      <c r="P55" s="348"/>
      <c r="Q55" s="348"/>
      <c r="R55" s="756"/>
      <c r="S55" s="757"/>
    </row>
    <row r="56" spans="2:19" ht="4.5" customHeight="1" thickTop="1">
      <c r="B56" s="332"/>
      <c r="C56" s="333"/>
      <c r="D56" s="333"/>
      <c r="E56" s="333"/>
      <c r="F56" s="333"/>
      <c r="G56" s="333"/>
      <c r="H56" s="333"/>
      <c r="I56" s="333"/>
      <c r="J56" s="333"/>
      <c r="K56" s="343"/>
      <c r="L56" s="333"/>
      <c r="M56" s="325"/>
      <c r="N56" s="348"/>
      <c r="O56" s="348"/>
      <c r="P56" s="348"/>
      <c r="Q56" s="348"/>
    </row>
    <row r="57" spans="2:19">
      <c r="B57" s="839" t="s">
        <v>881</v>
      </c>
      <c r="C57" s="466" t="s">
        <v>924</v>
      </c>
      <c r="D57" s="467" t="s">
        <v>820</v>
      </c>
      <c r="E57" s="468">
        <v>42824</v>
      </c>
      <c r="F57" s="468">
        <v>45337</v>
      </c>
      <c r="G57" s="470">
        <v>6.8849315068493153</v>
      </c>
      <c r="H57" s="471" t="s">
        <v>923</v>
      </c>
      <c r="I57" s="565" t="s">
        <v>154</v>
      </c>
      <c r="J57" s="477">
        <v>5.0373000000000001E-2</v>
      </c>
      <c r="K57" s="563"/>
      <c r="L57" s="474">
        <v>387503641.50999999</v>
      </c>
      <c r="M57" s="566">
        <v>306560.38117390068</v>
      </c>
      <c r="N57" s="476">
        <v>81789.784606779518</v>
      </c>
      <c r="O57" s="350"/>
      <c r="P57" s="350"/>
      <c r="Q57" s="350"/>
    </row>
    <row r="58" spans="2:19">
      <c r="B58" s="840"/>
      <c r="C58" s="466" t="s">
        <v>925</v>
      </c>
      <c r="D58" s="467" t="s">
        <v>820</v>
      </c>
      <c r="E58" s="468">
        <v>43222</v>
      </c>
      <c r="F58" s="468">
        <v>45762</v>
      </c>
      <c r="G58" s="470">
        <v>6.9589041095890414</v>
      </c>
      <c r="H58" s="471" t="s">
        <v>923</v>
      </c>
      <c r="I58" s="565" t="s">
        <v>154</v>
      </c>
      <c r="J58" s="477">
        <v>4.7E-2</v>
      </c>
      <c r="K58" s="478"/>
      <c r="L58" s="474">
        <v>778211847</v>
      </c>
      <c r="M58" s="566">
        <v>615655.94460151333</v>
      </c>
      <c r="N58" s="476">
        <v>164255.95149647514</v>
      </c>
      <c r="O58" s="350"/>
      <c r="P58" s="350"/>
      <c r="Q58" s="350"/>
    </row>
    <row r="59" spans="2:19">
      <c r="B59" s="840"/>
      <c r="C59" s="466" t="s">
        <v>926</v>
      </c>
      <c r="D59" s="467" t="s">
        <v>820</v>
      </c>
      <c r="E59" s="468">
        <v>43814</v>
      </c>
      <c r="F59" s="468">
        <v>47467</v>
      </c>
      <c r="G59" s="470">
        <v>10.008219178082191</v>
      </c>
      <c r="H59" s="471" t="s">
        <v>923</v>
      </c>
      <c r="I59" s="565" t="s">
        <v>154</v>
      </c>
      <c r="J59" s="477">
        <v>3.5000000000000003E-2</v>
      </c>
      <c r="K59" s="478"/>
      <c r="L59" s="474">
        <v>483566033.61000001</v>
      </c>
      <c r="M59" s="566">
        <v>382556.8890361184</v>
      </c>
      <c r="N59" s="476">
        <v>102065.52273418043</v>
      </c>
      <c r="O59" s="350"/>
      <c r="P59" s="350"/>
      <c r="Q59" s="350"/>
    </row>
    <row r="60" spans="2:19">
      <c r="B60" s="840"/>
      <c r="C60" s="466" t="s">
        <v>927</v>
      </c>
      <c r="D60" s="467" t="s">
        <v>820</v>
      </c>
      <c r="E60" s="468">
        <v>44172</v>
      </c>
      <c r="F60" s="468">
        <v>47072</v>
      </c>
      <c r="G60" s="470">
        <v>7.9452054794520546</v>
      </c>
      <c r="H60" s="471" t="s">
        <v>830</v>
      </c>
      <c r="I60" s="565" t="s">
        <v>154</v>
      </c>
      <c r="J60" s="477">
        <v>2.8299999999999999E-2</v>
      </c>
      <c r="K60" s="478"/>
      <c r="L60" s="474">
        <v>800000000</v>
      </c>
      <c r="M60" s="566">
        <v>632892.90387943771</v>
      </c>
      <c r="N60" s="476">
        <v>168854.7427075858</v>
      </c>
      <c r="O60" s="350"/>
      <c r="P60" s="350"/>
      <c r="Q60" s="350"/>
    </row>
    <row r="61" spans="2:19">
      <c r="B61" s="840"/>
      <c r="C61" s="466" t="s">
        <v>928</v>
      </c>
      <c r="D61" s="467" t="s">
        <v>820</v>
      </c>
      <c r="E61" s="468">
        <v>44172</v>
      </c>
      <c r="F61" s="468">
        <v>52732</v>
      </c>
      <c r="G61" s="470">
        <v>23.452054794520549</v>
      </c>
      <c r="H61" s="471" t="s">
        <v>923</v>
      </c>
      <c r="I61" s="565" t="s">
        <v>154</v>
      </c>
      <c r="J61" s="477">
        <v>5.2999999999999999E-2</v>
      </c>
      <c r="K61" s="478"/>
      <c r="L61" s="474">
        <v>878916801.38</v>
      </c>
      <c r="M61" s="566">
        <v>695325.25836726907</v>
      </c>
      <c r="N61" s="476">
        <v>185511.58794799275</v>
      </c>
      <c r="O61" s="350"/>
      <c r="P61" s="350"/>
      <c r="Q61" s="350"/>
    </row>
    <row r="62" spans="2:19">
      <c r="B62" s="840"/>
      <c r="C62" s="466" t="s">
        <v>1010</v>
      </c>
      <c r="D62" s="467" t="s">
        <v>820</v>
      </c>
      <c r="E62" s="468">
        <v>44238</v>
      </c>
      <c r="F62" s="468">
        <v>52793</v>
      </c>
      <c r="G62" s="470">
        <v>23.438356164383563</v>
      </c>
      <c r="H62" s="471" t="s">
        <v>923</v>
      </c>
      <c r="I62" s="565" t="s">
        <v>154</v>
      </c>
      <c r="J62" s="477">
        <v>5.0700000000000002E-2</v>
      </c>
      <c r="K62" s="478"/>
      <c r="L62" s="474">
        <v>750679131.49000001</v>
      </c>
      <c r="M62" s="566">
        <v>593874.36926300044</v>
      </c>
      <c r="N62" s="476">
        <v>158444.66450462237</v>
      </c>
      <c r="O62" s="350"/>
      <c r="P62" s="350"/>
      <c r="Q62" s="350"/>
    </row>
    <row r="63" spans="2:19">
      <c r="B63" s="840"/>
      <c r="C63" s="466" t="s">
        <v>1219</v>
      </c>
      <c r="D63" s="467" t="s">
        <v>820</v>
      </c>
      <c r="E63" s="468">
        <v>44323</v>
      </c>
      <c r="F63" s="468">
        <v>45418</v>
      </c>
      <c r="G63" s="470">
        <v>3</v>
      </c>
      <c r="H63" s="471" t="s">
        <v>830</v>
      </c>
      <c r="I63" s="565" t="s">
        <v>154</v>
      </c>
      <c r="J63" s="477">
        <v>1.2500000000000001E-2</v>
      </c>
      <c r="K63" s="563"/>
      <c r="L63" s="474">
        <v>1200000000</v>
      </c>
      <c r="M63" s="566">
        <v>949339.35581915663</v>
      </c>
      <c r="N63" s="476">
        <v>253282.1140613787</v>
      </c>
      <c r="O63" s="350"/>
      <c r="P63" s="350"/>
      <c r="Q63" s="350"/>
    </row>
    <row r="64" spans="2:19">
      <c r="B64" s="840"/>
      <c r="C64" s="466" t="s">
        <v>1243</v>
      </c>
      <c r="D64" s="467" t="s">
        <v>820</v>
      </c>
      <c r="E64" s="468">
        <v>44497</v>
      </c>
      <c r="F64" s="468">
        <v>48136</v>
      </c>
      <c r="G64" s="470">
        <v>9.9698630136986299</v>
      </c>
      <c r="H64" s="471" t="s">
        <v>923</v>
      </c>
      <c r="I64" s="565" t="s">
        <v>154</v>
      </c>
      <c r="J64" s="477">
        <v>5.7709999999999997E-2</v>
      </c>
      <c r="K64" s="563"/>
      <c r="L64" s="474">
        <v>695430541.77999997</v>
      </c>
      <c r="M64" s="566">
        <v>550166.31879199354</v>
      </c>
      <c r="N64" s="476">
        <v>146783.43150407361</v>
      </c>
      <c r="O64" s="350"/>
      <c r="P64" s="350"/>
      <c r="Q64" s="350"/>
    </row>
    <row r="65" spans="2:19">
      <c r="B65" s="840"/>
      <c r="C65" s="466" t="s">
        <v>1244</v>
      </c>
      <c r="D65" s="467" t="s">
        <v>820</v>
      </c>
      <c r="E65" s="468">
        <v>44497</v>
      </c>
      <c r="F65" s="468">
        <v>51058</v>
      </c>
      <c r="G65" s="470">
        <v>17.975342465753425</v>
      </c>
      <c r="H65" s="471" t="s">
        <v>923</v>
      </c>
      <c r="I65" s="565" t="s">
        <v>154</v>
      </c>
      <c r="J65" s="477">
        <v>5.8639999999999998E-2</v>
      </c>
      <c r="K65" s="563"/>
      <c r="L65" s="474">
        <v>292348193.75999999</v>
      </c>
      <c r="M65" s="566">
        <v>231281.37161584361</v>
      </c>
      <c r="N65" s="476">
        <v>61705.473797965293</v>
      </c>
      <c r="O65" s="350"/>
      <c r="P65" s="350"/>
      <c r="Q65" s="350"/>
    </row>
    <row r="66" spans="2:19" ht="19.5" customHeight="1">
      <c r="B66" s="478"/>
      <c r="C66" s="490"/>
      <c r="D66" s="518"/>
      <c r="E66" s="491"/>
      <c r="F66" s="491"/>
      <c r="G66" s="492"/>
      <c r="H66" s="518"/>
      <c r="I66" s="518"/>
      <c r="J66" s="478"/>
      <c r="K66" s="478"/>
      <c r="L66" s="575"/>
      <c r="M66" s="482">
        <v>4957652.7925482336</v>
      </c>
      <c r="N66" s="483">
        <v>1322693.2733610536</v>
      </c>
      <c r="O66" s="348"/>
      <c r="P66" s="348"/>
      <c r="Q66" s="348"/>
    </row>
    <row r="67" spans="2:19">
      <c r="B67" s="478"/>
      <c r="C67" s="490"/>
      <c r="D67" s="518"/>
      <c r="E67" s="491"/>
      <c r="F67" s="491"/>
      <c r="G67" s="492"/>
      <c r="H67" s="518"/>
      <c r="I67" s="518"/>
      <c r="J67" s="575"/>
      <c r="K67" s="563"/>
      <c r="L67" s="575"/>
      <c r="M67" s="511"/>
      <c r="N67" s="503"/>
      <c r="O67" s="350"/>
      <c r="P67" s="350"/>
      <c r="Q67" s="350"/>
    </row>
    <row r="68" spans="2:19">
      <c r="B68" s="576" t="s">
        <v>929</v>
      </c>
      <c r="C68" s="571" t="s">
        <v>1245</v>
      </c>
      <c r="D68" s="534" t="s">
        <v>820</v>
      </c>
      <c r="E68" s="468">
        <v>42888</v>
      </c>
      <c r="F68" s="468">
        <v>44714</v>
      </c>
      <c r="G68" s="470">
        <v>5.0027397260273974</v>
      </c>
      <c r="H68" s="471" t="s">
        <v>830</v>
      </c>
      <c r="I68" s="565" t="s">
        <v>154</v>
      </c>
      <c r="J68" s="577">
        <v>1.6799999999999999E-2</v>
      </c>
      <c r="K68" s="478"/>
      <c r="L68" s="474">
        <v>0</v>
      </c>
      <c r="M68" s="566">
        <v>0</v>
      </c>
      <c r="N68" s="476">
        <v>0</v>
      </c>
      <c r="O68" s="348"/>
      <c r="P68" s="348"/>
      <c r="Q68" s="348"/>
    </row>
    <row r="69" spans="2:19" ht="15.95" customHeight="1">
      <c r="B69" s="478"/>
      <c r="C69" s="490"/>
      <c r="D69" s="518"/>
      <c r="E69" s="491"/>
      <c r="F69" s="491"/>
      <c r="G69" s="492"/>
      <c r="H69" s="518"/>
      <c r="I69" s="518"/>
      <c r="J69" s="575"/>
      <c r="K69" s="563"/>
      <c r="L69" s="575"/>
      <c r="M69" s="482">
        <v>0</v>
      </c>
      <c r="N69" s="483">
        <v>0</v>
      </c>
      <c r="O69" s="348"/>
      <c r="P69" s="348"/>
      <c r="Q69" s="348"/>
    </row>
    <row r="70" spans="2:19" s="498" customFormat="1" ht="26.1" customHeight="1">
      <c r="B70" s="499"/>
      <c r="C70" s="500"/>
      <c r="D70" s="518"/>
      <c r="E70" s="491"/>
      <c r="F70" s="491"/>
      <c r="G70" s="501"/>
      <c r="H70" s="518"/>
      <c r="I70" s="518"/>
      <c r="J70" s="575"/>
      <c r="K70" s="578"/>
      <c r="L70" s="575"/>
      <c r="M70" s="502"/>
      <c r="N70" s="503"/>
      <c r="O70" s="348"/>
      <c r="P70" s="348"/>
      <c r="Q70" s="348"/>
      <c r="R70" s="504"/>
      <c r="S70" s="504"/>
    </row>
    <row r="71" spans="2:19" ht="15" thickBot="1">
      <c r="B71" s="505" t="s">
        <v>886</v>
      </c>
      <c r="C71" s="505"/>
      <c r="D71" s="505"/>
      <c r="E71" s="505"/>
      <c r="F71" s="505"/>
      <c r="G71" s="505"/>
      <c r="H71" s="505"/>
      <c r="I71" s="506"/>
      <c r="J71" s="506"/>
      <c r="K71" s="563"/>
      <c r="L71" s="506"/>
      <c r="M71" s="507">
        <f>+M79+M83+M86+M89</f>
        <v>7932801.1127466643</v>
      </c>
      <c r="N71" s="507">
        <f>+N79+N83+N86+N89</f>
        <v>2116457.7492220602</v>
      </c>
      <c r="O71" s="348"/>
      <c r="P71" s="348"/>
      <c r="Q71" s="348"/>
      <c r="R71" s="756"/>
      <c r="S71" s="756"/>
    </row>
    <row r="72" spans="2:19" ht="4.5" customHeight="1" thickTop="1">
      <c r="B72" s="508"/>
      <c r="C72" s="509"/>
      <c r="D72" s="509"/>
      <c r="E72" s="509"/>
      <c r="F72" s="509"/>
      <c r="G72" s="509"/>
      <c r="H72" s="509"/>
      <c r="I72" s="509"/>
      <c r="J72" s="579"/>
      <c r="K72" s="478"/>
      <c r="L72" s="579"/>
      <c r="M72" s="511"/>
      <c r="N72" s="503"/>
      <c r="O72" s="348"/>
      <c r="P72" s="348"/>
      <c r="Q72" s="348"/>
    </row>
    <row r="73" spans="2:19" ht="14.25" customHeight="1">
      <c r="B73" s="837" t="s">
        <v>930</v>
      </c>
      <c r="C73" s="466" t="s">
        <v>931</v>
      </c>
      <c r="D73" s="534" t="s">
        <v>808</v>
      </c>
      <c r="E73" s="468">
        <v>37132</v>
      </c>
      <c r="F73" s="468">
        <v>44727</v>
      </c>
      <c r="G73" s="470">
        <v>20.80821917808219</v>
      </c>
      <c r="H73" s="514" t="s">
        <v>816</v>
      </c>
      <c r="I73" s="565"/>
      <c r="J73" s="477">
        <v>7.3730000000000004E-2</v>
      </c>
      <c r="K73" s="563"/>
      <c r="L73" s="476">
        <v>11948868</v>
      </c>
      <c r="M73" s="566">
        <v>44785.877887493538</v>
      </c>
      <c r="N73" s="474">
        <v>11948.795509116106</v>
      </c>
      <c r="O73" s="350"/>
      <c r="P73" s="350"/>
      <c r="Q73" s="350"/>
    </row>
    <row r="74" spans="2:19">
      <c r="B74" s="843"/>
      <c r="C74" s="466" t="s">
        <v>932</v>
      </c>
      <c r="D74" s="534" t="s">
        <v>842</v>
      </c>
      <c r="E74" s="468">
        <v>43266</v>
      </c>
      <c r="F74" s="468">
        <v>45823</v>
      </c>
      <c r="G74" s="470">
        <v>7.0054794520547947</v>
      </c>
      <c r="H74" s="514" t="s">
        <v>816</v>
      </c>
      <c r="I74" s="565"/>
      <c r="J74" s="477">
        <v>4.8500000000000001E-2</v>
      </c>
      <c r="K74" s="478"/>
      <c r="L74" s="476">
        <v>5800000</v>
      </c>
      <c r="M74" s="566">
        <v>875318.81758067699</v>
      </c>
      <c r="N74" s="474">
        <v>233533.56124506143</v>
      </c>
      <c r="O74" s="350"/>
      <c r="P74" s="350"/>
      <c r="Q74" s="350"/>
    </row>
    <row r="75" spans="2:19">
      <c r="B75" s="843"/>
      <c r="C75" s="466" t="s">
        <v>933</v>
      </c>
      <c r="D75" s="534" t="s">
        <v>842</v>
      </c>
      <c r="E75" s="468">
        <v>43266</v>
      </c>
      <c r="F75" s="468">
        <v>47832</v>
      </c>
      <c r="G75" s="470">
        <v>12.509589041095891</v>
      </c>
      <c r="H75" s="514" t="s">
        <v>816</v>
      </c>
      <c r="I75" s="565"/>
      <c r="J75" s="477">
        <v>3.2000000000000001E-2</v>
      </c>
      <c r="K75" s="563"/>
      <c r="L75" s="476">
        <v>9615187.5410357118</v>
      </c>
      <c r="M75" s="566">
        <v>1451095.6188337649</v>
      </c>
      <c r="N75" s="474">
        <v>387149.82560296811</v>
      </c>
      <c r="O75" s="350"/>
      <c r="P75" s="350"/>
      <c r="Q75" s="350"/>
    </row>
    <row r="76" spans="2:19">
      <c r="B76" s="843"/>
      <c r="C76" s="466" t="s">
        <v>934</v>
      </c>
      <c r="D76" s="534" t="s">
        <v>842</v>
      </c>
      <c r="E76" s="468">
        <v>43266</v>
      </c>
      <c r="F76" s="468">
        <v>45641</v>
      </c>
      <c r="G76" s="470">
        <v>6.506849315068493</v>
      </c>
      <c r="H76" s="514" t="s">
        <v>816</v>
      </c>
      <c r="I76" s="565"/>
      <c r="J76" s="477">
        <v>2.3E-2</v>
      </c>
      <c r="K76" s="478"/>
      <c r="L76" s="476">
        <v>1000000</v>
      </c>
      <c r="M76" s="566">
        <v>150917.0375139098</v>
      </c>
      <c r="N76" s="474">
        <v>40264.407111217479</v>
      </c>
      <c r="O76" s="350"/>
      <c r="P76" s="350"/>
      <c r="Q76" s="350"/>
    </row>
    <row r="77" spans="2:19">
      <c r="B77" s="843"/>
      <c r="C77" s="466" t="s">
        <v>935</v>
      </c>
      <c r="D77" s="534" t="s">
        <v>842</v>
      </c>
      <c r="E77" s="468">
        <v>43266</v>
      </c>
      <c r="F77" s="468">
        <v>47832</v>
      </c>
      <c r="G77" s="470">
        <v>12.509589041095891</v>
      </c>
      <c r="H77" s="514" t="s">
        <v>816</v>
      </c>
      <c r="I77" s="565"/>
      <c r="J77" s="477">
        <v>2.3E-2</v>
      </c>
      <c r="K77" s="563"/>
      <c r="L77" s="476">
        <v>5057173.1233999999</v>
      </c>
      <c r="M77" s="566">
        <v>763213.58597849426</v>
      </c>
      <c r="N77" s="474">
        <v>203624.07747248487</v>
      </c>
      <c r="O77" s="350"/>
      <c r="P77" s="350"/>
      <c r="Q77" s="350"/>
    </row>
    <row r="78" spans="2:19">
      <c r="B78" s="838"/>
      <c r="C78" s="466" t="s">
        <v>826</v>
      </c>
      <c r="D78" s="534" t="s">
        <v>808</v>
      </c>
      <c r="E78" s="468">
        <v>38489</v>
      </c>
      <c r="F78" s="468">
        <v>44727</v>
      </c>
      <c r="G78" s="470">
        <v>17.090410958904108</v>
      </c>
      <c r="H78" s="514" t="s">
        <v>816</v>
      </c>
      <c r="I78" s="565"/>
      <c r="J78" s="477">
        <v>7.3730000000000004E-2</v>
      </c>
      <c r="K78" s="478"/>
      <c r="L78" s="476">
        <v>4282759.4908636119</v>
      </c>
      <c r="M78" s="566">
        <v>16052.32759951166</v>
      </c>
      <c r="N78" s="474">
        <v>4282.7335084005872</v>
      </c>
      <c r="O78" s="350"/>
      <c r="P78" s="350"/>
      <c r="Q78" s="350"/>
    </row>
    <row r="79" spans="2:19">
      <c r="B79" s="478"/>
      <c r="C79" s="490"/>
      <c r="D79" s="518"/>
      <c r="E79" s="491"/>
      <c r="F79" s="491"/>
      <c r="G79" s="492"/>
      <c r="H79" s="580"/>
      <c r="I79" s="581"/>
      <c r="J79" s="480"/>
      <c r="K79" s="563"/>
      <c r="L79" s="563"/>
      <c r="M79" s="482">
        <v>3301383.2653938513</v>
      </c>
      <c r="N79" s="483">
        <v>880803.40044924873</v>
      </c>
      <c r="O79" s="348"/>
      <c r="P79" s="348"/>
      <c r="Q79" s="348"/>
    </row>
    <row r="80" spans="2:19" ht="4.5" customHeight="1">
      <c r="B80" s="478"/>
      <c r="C80" s="490"/>
      <c r="D80" s="518"/>
      <c r="E80" s="491"/>
      <c r="F80" s="491"/>
      <c r="G80" s="492"/>
      <c r="H80" s="580"/>
      <c r="I80" s="581"/>
      <c r="J80" s="480"/>
      <c r="K80" s="478"/>
      <c r="L80" s="480"/>
      <c r="M80" s="511"/>
      <c r="N80" s="503"/>
      <c r="O80" s="348"/>
      <c r="P80" s="348"/>
      <c r="Q80" s="348"/>
    </row>
    <row r="81" spans="2:19" ht="15" customHeight="1">
      <c r="B81" s="862" t="s">
        <v>936</v>
      </c>
      <c r="C81" s="571" t="s">
        <v>937</v>
      </c>
      <c r="D81" s="769" t="s">
        <v>842</v>
      </c>
      <c r="E81" s="468">
        <v>36948</v>
      </c>
      <c r="F81" s="468">
        <v>44270</v>
      </c>
      <c r="G81" s="470">
        <v>20.06027397260274</v>
      </c>
      <c r="H81" s="514" t="s">
        <v>816</v>
      </c>
      <c r="I81" s="565"/>
      <c r="J81" s="477">
        <v>6.3E-2</v>
      </c>
      <c r="K81" s="563"/>
      <c r="L81" s="476">
        <v>0</v>
      </c>
      <c r="M81" s="475">
        <v>0</v>
      </c>
      <c r="N81" s="476">
        <v>0</v>
      </c>
      <c r="O81" s="350"/>
      <c r="P81" s="350"/>
      <c r="Q81" s="350"/>
    </row>
    <row r="82" spans="2:19">
      <c r="B82" s="862"/>
      <c r="C82" s="777" t="s">
        <v>938</v>
      </c>
      <c r="D82" s="776" t="s">
        <v>842</v>
      </c>
      <c r="E82" s="778">
        <v>39037</v>
      </c>
      <c r="F82" s="468">
        <v>44727</v>
      </c>
      <c r="G82" s="470">
        <v>15.58904109589041</v>
      </c>
      <c r="H82" s="514" t="s">
        <v>816</v>
      </c>
      <c r="I82" s="565"/>
      <c r="J82" s="477">
        <v>3.4000000000000002E-2</v>
      </c>
      <c r="K82" s="478"/>
      <c r="L82" s="476">
        <v>1590687.6439</v>
      </c>
      <c r="M82" s="475">
        <v>0</v>
      </c>
      <c r="N82" s="476">
        <v>0</v>
      </c>
      <c r="O82" s="350"/>
      <c r="P82" s="350"/>
      <c r="Q82" s="350"/>
    </row>
    <row r="83" spans="2:19">
      <c r="B83" s="478"/>
      <c r="C83" s="490"/>
      <c r="D83" s="774"/>
      <c r="E83" s="491"/>
      <c r="F83" s="491"/>
      <c r="G83" s="492"/>
      <c r="H83" s="581"/>
      <c r="I83" s="581"/>
      <c r="J83" s="559"/>
      <c r="K83" s="563"/>
      <c r="L83" s="582"/>
      <c r="M83" s="482">
        <v>0</v>
      </c>
      <c r="N83" s="483">
        <v>0</v>
      </c>
      <c r="O83" s="348"/>
      <c r="P83" s="348"/>
      <c r="Q83" s="348"/>
      <c r="R83" s="421"/>
      <c r="S83" s="421"/>
    </row>
    <row r="84" spans="2:19" ht="3.95" customHeight="1">
      <c r="B84" s="478"/>
      <c r="C84" s="490"/>
      <c r="D84" s="770"/>
      <c r="E84" s="491"/>
      <c r="F84" s="491"/>
      <c r="G84" s="492"/>
      <c r="H84" s="581"/>
      <c r="I84" s="581"/>
      <c r="J84" s="559"/>
      <c r="K84" s="559"/>
      <c r="L84" s="559"/>
      <c r="M84" s="559"/>
      <c r="N84" s="559"/>
      <c r="O84" s="349"/>
      <c r="P84" s="349"/>
      <c r="Q84" s="349"/>
      <c r="R84" s="349"/>
      <c r="S84" s="421"/>
    </row>
    <row r="85" spans="2:19">
      <c r="B85" s="576" t="s">
        <v>889</v>
      </c>
      <c r="C85" s="571" t="s">
        <v>937</v>
      </c>
      <c r="D85" s="534" t="s">
        <v>842</v>
      </c>
      <c r="E85" s="468">
        <v>44232</v>
      </c>
      <c r="F85" s="468">
        <v>54969</v>
      </c>
      <c r="G85" s="470">
        <v>29.416438356164385</v>
      </c>
      <c r="H85" s="471" t="s">
        <v>816</v>
      </c>
      <c r="I85" s="583"/>
      <c r="J85" s="477">
        <v>3.85E-2</v>
      </c>
      <c r="K85" s="478"/>
      <c r="L85" s="474">
        <v>885500</v>
      </c>
      <c r="M85" s="566">
        <v>133637.847352813</v>
      </c>
      <c r="N85" s="566">
        <v>35654.348772811391</v>
      </c>
      <c r="O85" s="350"/>
      <c r="P85" s="350"/>
      <c r="Q85" s="350"/>
    </row>
    <row r="86" spans="2:19">
      <c r="B86" s="490"/>
      <c r="C86" s="490"/>
      <c r="D86" s="518"/>
      <c r="E86" s="491"/>
      <c r="F86" s="491"/>
      <c r="G86" s="492"/>
      <c r="H86" s="518"/>
      <c r="I86" s="518"/>
      <c r="J86" s="575"/>
      <c r="K86" s="563"/>
      <c r="L86" s="575"/>
      <c r="M86" s="482">
        <v>133637.847352813</v>
      </c>
      <c r="N86" s="482">
        <v>35654.348772811391</v>
      </c>
      <c r="O86" s="348"/>
      <c r="P86" s="348"/>
      <c r="Q86" s="348"/>
    </row>
    <row r="87" spans="2:19">
      <c r="B87" s="478"/>
      <c r="C87" s="490"/>
      <c r="D87" s="518"/>
      <c r="E87" s="491"/>
      <c r="F87" s="491"/>
      <c r="G87" s="492"/>
      <c r="H87" s="518"/>
      <c r="I87" s="518"/>
      <c r="J87" s="575"/>
      <c r="K87" s="563"/>
      <c r="L87" s="575"/>
      <c r="M87" s="701"/>
      <c r="N87" s="701"/>
      <c r="O87" s="348"/>
      <c r="P87" s="348"/>
      <c r="Q87" s="348"/>
    </row>
    <row r="88" spans="2:19">
      <c r="B88" s="576" t="s">
        <v>156</v>
      </c>
      <c r="C88" s="571" t="s">
        <v>1220</v>
      </c>
      <c r="D88" s="534" t="s">
        <v>808</v>
      </c>
      <c r="E88" s="468">
        <v>44403</v>
      </c>
      <c r="F88" s="468">
        <v>57161</v>
      </c>
      <c r="G88" s="470">
        <v>34.953424657534249</v>
      </c>
      <c r="H88" s="471" t="s">
        <v>816</v>
      </c>
      <c r="I88" s="583"/>
      <c r="J88" s="477">
        <v>4.4999999999999998E-2</v>
      </c>
      <c r="K88" s="478"/>
      <c r="L88" s="474">
        <v>1200000000</v>
      </c>
      <c r="M88" s="566">
        <v>4497780</v>
      </c>
      <c r="N88" s="566">
        <v>1200000</v>
      </c>
      <c r="O88" s="348"/>
      <c r="P88" s="348"/>
      <c r="Q88" s="348"/>
    </row>
    <row r="89" spans="2:19">
      <c r="B89" s="478"/>
      <c r="C89" s="490"/>
      <c r="D89" s="518"/>
      <c r="E89" s="491"/>
      <c r="F89" s="491"/>
      <c r="G89" s="492"/>
      <c r="H89" s="518"/>
      <c r="I89" s="518"/>
      <c r="J89" s="575"/>
      <c r="K89" s="563"/>
      <c r="L89" s="575"/>
      <c r="M89" s="482">
        <v>4497780</v>
      </c>
      <c r="N89" s="482">
        <v>1200000</v>
      </c>
      <c r="O89" s="348"/>
      <c r="P89" s="348"/>
      <c r="Q89" s="348"/>
    </row>
    <row r="90" spans="2:19">
      <c r="B90" s="490"/>
      <c r="C90" s="490"/>
      <c r="D90" s="518"/>
      <c r="E90" s="491"/>
      <c r="F90" s="491"/>
      <c r="G90" s="492"/>
      <c r="H90" s="518"/>
      <c r="I90" s="518"/>
      <c r="J90" s="575"/>
      <c r="K90" s="563"/>
      <c r="L90" s="575"/>
      <c r="M90" s="702"/>
      <c r="N90" s="702"/>
      <c r="O90" s="348"/>
      <c r="P90" s="348"/>
      <c r="Q90" s="348"/>
    </row>
    <row r="91" spans="2:19">
      <c r="B91" s="478"/>
      <c r="C91" s="490"/>
      <c r="D91" s="518"/>
      <c r="E91" s="491"/>
      <c r="F91" s="491"/>
      <c r="G91" s="492"/>
      <c r="H91" s="581"/>
      <c r="I91" s="581"/>
      <c r="J91" s="559"/>
      <c r="K91" s="559"/>
      <c r="L91" s="559"/>
      <c r="M91" s="559"/>
      <c r="N91" s="559"/>
      <c r="O91" s="349"/>
      <c r="P91" s="349"/>
      <c r="Q91" s="349"/>
      <c r="R91" s="349"/>
      <c r="S91" s="421"/>
    </row>
    <row r="92" spans="2:19" ht="4.5" customHeight="1">
      <c r="B92" s="334"/>
      <c r="C92" s="312"/>
      <c r="D92" s="315"/>
      <c r="E92" s="314"/>
      <c r="F92" s="314"/>
      <c r="G92" s="320"/>
      <c r="H92" s="420"/>
      <c r="I92" s="420"/>
      <c r="J92" s="420"/>
      <c r="K92" s="343"/>
      <c r="L92" s="420"/>
      <c r="M92" s="325"/>
      <c r="N92" s="348"/>
      <c r="O92" s="348"/>
      <c r="P92" s="348"/>
      <c r="Q92" s="348"/>
      <c r="R92" s="421"/>
      <c r="S92" s="421"/>
    </row>
    <row r="93" spans="2:19" ht="21" customHeight="1" thickBot="1">
      <c r="B93" s="863" t="s">
        <v>939</v>
      </c>
      <c r="C93" s="863"/>
      <c r="D93" s="863"/>
      <c r="E93" s="863"/>
      <c r="F93" s="863"/>
      <c r="G93" s="863"/>
      <c r="H93" s="863"/>
      <c r="I93" s="398"/>
      <c r="J93" s="398"/>
      <c r="K93" s="409"/>
      <c r="L93" s="398"/>
      <c r="M93" s="584">
        <f>+M71+M55+M41+M8</f>
        <v>22975706.863756064</v>
      </c>
      <c r="N93" s="584">
        <f>+N71+N55+N41+N8</f>
        <v>6129879.2374254139</v>
      </c>
      <c r="O93" s="422"/>
      <c r="P93" s="422"/>
      <c r="Q93" s="422"/>
      <c r="R93" s="756"/>
      <c r="S93" s="757"/>
    </row>
    <row r="94" spans="2:19" ht="15.75" thickTop="1">
      <c r="I94" s="343"/>
      <c r="J94" s="343"/>
      <c r="K94" s="343"/>
      <c r="L94" s="343"/>
      <c r="M94" s="423"/>
    </row>
    <row r="95" spans="2:19" ht="15">
      <c r="B95" s="319" t="s">
        <v>940</v>
      </c>
      <c r="D95" s="319"/>
      <c r="E95" s="319"/>
      <c r="F95" s="319"/>
      <c r="G95" s="319"/>
      <c r="H95" s="319"/>
      <c r="I95" s="334"/>
      <c r="J95" s="334"/>
      <c r="K95" s="409"/>
      <c r="L95" s="424"/>
      <c r="M95" s="402"/>
      <c r="N95" s="402"/>
    </row>
    <row r="96" spans="2:19" ht="15">
      <c r="B96" s="319" t="s">
        <v>941</v>
      </c>
      <c r="D96" s="319"/>
      <c r="E96" s="319"/>
      <c r="F96" s="319"/>
      <c r="G96" s="319"/>
      <c r="H96" s="319"/>
      <c r="I96" s="334"/>
      <c r="J96" s="334"/>
      <c r="K96" s="343"/>
      <c r="L96" s="425"/>
      <c r="M96" s="402"/>
    </row>
    <row r="97" spans="1:20">
      <c r="B97" s="319" t="s">
        <v>942</v>
      </c>
      <c r="D97" s="319"/>
      <c r="E97" s="319"/>
      <c r="F97" s="319"/>
      <c r="G97" s="319"/>
      <c r="H97" s="319"/>
      <c r="I97" s="319"/>
      <c r="J97" s="319"/>
      <c r="K97" s="347"/>
      <c r="L97" s="426"/>
      <c r="M97" s="418"/>
    </row>
    <row r="98" spans="1:20" s="406" customFormat="1">
      <c r="A98" s="319"/>
      <c r="B98" s="319" t="s">
        <v>1221</v>
      </c>
      <c r="C98" s="319"/>
      <c r="D98" s="345"/>
      <c r="E98" s="345"/>
      <c r="F98" s="345"/>
      <c r="G98" s="345"/>
      <c r="H98" s="345"/>
      <c r="I98" s="345"/>
      <c r="J98" s="345"/>
      <c r="K98" s="345"/>
      <c r="L98" s="426"/>
      <c r="M98" s="345"/>
      <c r="N98" s="319"/>
      <c r="O98" s="319"/>
      <c r="P98" s="319"/>
      <c r="Q98" s="319"/>
      <c r="T98" s="319"/>
    </row>
    <row r="99" spans="1:20" s="406" customFormat="1">
      <c r="A99" s="319"/>
      <c r="B99" s="319"/>
      <c r="C99" s="319"/>
      <c r="D99" s="319"/>
      <c r="E99" s="319"/>
      <c r="F99" s="319"/>
      <c r="G99" s="345"/>
      <c r="H99" s="345"/>
      <c r="I99" s="345"/>
      <c r="J99" s="345"/>
      <c r="K99" s="347"/>
      <c r="L99" s="426"/>
      <c r="M99" s="427"/>
      <c r="N99" s="345"/>
      <c r="O99" s="345"/>
      <c r="P99" s="345"/>
      <c r="Q99" s="345"/>
      <c r="T99" s="319"/>
    </row>
    <row r="100" spans="1:20" s="406" customFormat="1">
      <c r="A100" s="319"/>
      <c r="B100" s="319"/>
      <c r="C100" s="345"/>
      <c r="D100" s="345"/>
      <c r="E100" s="319"/>
      <c r="F100" s="319"/>
      <c r="G100" s="345"/>
      <c r="H100" s="345"/>
      <c r="I100" s="345"/>
      <c r="J100" s="345"/>
      <c r="K100" s="345"/>
      <c r="L100" s="427"/>
      <c r="M100" s="345"/>
      <c r="N100" s="319"/>
      <c r="O100" s="319"/>
      <c r="P100" s="319"/>
      <c r="Q100" s="319"/>
      <c r="T100" s="319"/>
    </row>
    <row r="101" spans="1:20" s="406" customFormat="1">
      <c r="A101" s="319"/>
      <c r="B101" s="319"/>
      <c r="C101" s="345"/>
      <c r="D101" s="345"/>
      <c r="E101" s="319"/>
      <c r="F101" s="319"/>
      <c r="G101" s="345"/>
      <c r="H101" s="345"/>
      <c r="I101" s="345"/>
      <c r="J101" s="345"/>
      <c r="K101" s="345"/>
      <c r="L101" s="345"/>
      <c r="M101" s="319"/>
      <c r="N101" s="319"/>
      <c r="O101" s="319"/>
      <c r="P101" s="319"/>
      <c r="Q101" s="319"/>
      <c r="T101" s="319"/>
    </row>
    <row r="102" spans="1:20" s="406" customFormat="1" ht="15" customHeight="1">
      <c r="A102" s="319"/>
      <c r="B102" s="319"/>
      <c r="C102" s="345"/>
      <c r="D102" s="345"/>
      <c r="E102" s="319"/>
      <c r="F102" s="319"/>
      <c r="G102" s="345"/>
      <c r="H102" s="345"/>
      <c r="I102" s="345"/>
      <c r="J102" s="345"/>
      <c r="K102" s="345"/>
      <c r="L102" s="345"/>
      <c r="M102" s="319"/>
      <c r="N102" s="319"/>
      <c r="O102" s="319"/>
      <c r="P102" s="319"/>
      <c r="Q102" s="319"/>
      <c r="T102" s="319"/>
    </row>
    <row r="103" spans="1:20" s="406" customFormat="1">
      <c r="A103" s="319"/>
      <c r="B103" s="319"/>
      <c r="C103" s="345"/>
      <c r="D103" s="345"/>
      <c r="E103" s="319"/>
      <c r="F103" s="319"/>
      <c r="G103" s="345"/>
      <c r="H103" s="345"/>
      <c r="I103" s="345"/>
      <c r="J103" s="345"/>
      <c r="K103" s="345"/>
      <c r="L103" s="345"/>
      <c r="M103" s="319"/>
      <c r="N103" s="319"/>
      <c r="O103" s="319"/>
      <c r="P103" s="319"/>
      <c r="Q103" s="319"/>
      <c r="T103" s="319"/>
    </row>
    <row r="104" spans="1:20" s="406" customFormat="1">
      <c r="A104" s="319"/>
      <c r="B104" s="319"/>
      <c r="C104" s="345"/>
      <c r="D104" s="345"/>
      <c r="E104" s="319"/>
      <c r="F104" s="319"/>
      <c r="G104" s="345"/>
      <c r="H104" s="345"/>
      <c r="I104" s="345"/>
      <c r="J104" s="345"/>
      <c r="K104" s="345"/>
      <c r="L104" s="345"/>
      <c r="M104" s="345"/>
      <c r="N104" s="319"/>
      <c r="O104" s="319"/>
      <c r="P104" s="319"/>
      <c r="Q104" s="319"/>
      <c r="T104" s="319"/>
    </row>
    <row r="105" spans="1:20" s="406" customFormat="1">
      <c r="A105" s="319"/>
      <c r="B105" s="319"/>
      <c r="C105" s="345"/>
      <c r="D105" s="345"/>
      <c r="E105" s="319"/>
      <c r="F105" s="319"/>
      <c r="G105" s="345"/>
      <c r="H105" s="345"/>
      <c r="I105" s="345"/>
      <c r="J105" s="345"/>
      <c r="K105" s="345"/>
      <c r="L105" s="345"/>
      <c r="M105" s="345"/>
      <c r="N105" s="346"/>
      <c r="O105" s="346"/>
      <c r="P105" s="346"/>
      <c r="Q105" s="346"/>
      <c r="T105" s="319"/>
    </row>
    <row r="106" spans="1:20" s="406" customFormat="1">
      <c r="A106" s="319"/>
      <c r="B106" s="319"/>
      <c r="C106" s="345"/>
      <c r="D106" s="345"/>
      <c r="E106" s="319"/>
      <c r="F106" s="319"/>
      <c r="G106" s="345"/>
      <c r="H106" s="345"/>
      <c r="I106" s="345"/>
      <c r="J106" s="345"/>
      <c r="K106" s="345"/>
      <c r="L106" s="345"/>
      <c r="M106" s="345"/>
      <c r="N106" s="319"/>
      <c r="O106" s="319"/>
      <c r="P106" s="319"/>
      <c r="Q106" s="319"/>
      <c r="T106" s="319"/>
    </row>
    <row r="107" spans="1:20" s="406" customFormat="1">
      <c r="A107" s="319"/>
      <c r="B107" s="319"/>
      <c r="C107" s="345"/>
      <c r="D107" s="345"/>
      <c r="E107" s="345"/>
      <c r="F107" s="345"/>
      <c r="G107" s="345"/>
      <c r="H107" s="345"/>
      <c r="I107" s="345"/>
      <c r="J107" s="345"/>
      <c r="K107" s="345"/>
      <c r="L107" s="345"/>
      <c r="M107" s="345"/>
      <c r="N107" s="319"/>
      <c r="O107" s="319"/>
      <c r="P107" s="319"/>
      <c r="Q107" s="319"/>
      <c r="T107" s="319"/>
    </row>
  </sheetData>
  <mergeCells count="13">
    <mergeCell ref="B10:B31"/>
    <mergeCell ref="H1:J1"/>
    <mergeCell ref="H2:J2"/>
    <mergeCell ref="J4:L4"/>
    <mergeCell ref="J5:L5"/>
    <mergeCell ref="H6:J6"/>
    <mergeCell ref="B81:B82"/>
    <mergeCell ref="B93:H93"/>
    <mergeCell ref="B34:B35"/>
    <mergeCell ref="B43:B48"/>
    <mergeCell ref="B51:B52"/>
    <mergeCell ref="B73:B78"/>
    <mergeCell ref="B57:B65"/>
  </mergeCells>
  <hyperlinks>
    <hyperlink ref="A1" location="'Table of Contents'!A1" display="Return to Table of Contents" xr:uid="{CDC0AAB4-A8A4-4272-ACA8-10D1BAD95D21}"/>
  </hyperlinks>
  <printOptions horizontalCentered="1"/>
  <pageMargins left="3.937007874015748E-2" right="3.937007874015748E-2" top="0.19685039370078741" bottom="0" header="0.31496062992125984" footer="0.31496062992125984"/>
  <pageSetup scale="52" orientation="landscape"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K40"/>
  <sheetViews>
    <sheetView showGridLines="0" zoomScale="90" zoomScaleNormal="90" workbookViewId="0">
      <pane xSplit="1" ySplit="4" topLeftCell="B29" activePane="bottomRight" state="frozen"/>
      <selection pane="topRight" activeCell="B1" sqref="B1"/>
      <selection pane="bottomLeft" activeCell="A5" sqref="A5"/>
      <selection pane="bottomRight" activeCell="C39" sqref="C39"/>
    </sheetView>
  </sheetViews>
  <sheetFormatPr baseColWidth="10" defaultColWidth="11.42578125" defaultRowHeight="15"/>
  <cols>
    <col min="1" max="1" width="7.42578125" customWidth="1"/>
    <col min="2" max="2" width="32.42578125" bestFit="1" customWidth="1"/>
    <col min="3" max="7" width="13.85546875" customWidth="1"/>
    <col min="8" max="8" width="15.5703125" style="135" bestFit="1" customWidth="1"/>
    <col min="9" max="10" width="13.85546875" customWidth="1"/>
    <col min="11" max="11" width="14.85546875" customWidth="1"/>
  </cols>
  <sheetData>
    <row r="1" spans="1:11">
      <c r="A1" s="3" t="s">
        <v>627</v>
      </c>
      <c r="B1" s="1"/>
      <c r="C1" s="1"/>
      <c r="D1" s="1"/>
      <c r="E1" s="1"/>
      <c r="F1" s="1"/>
      <c r="G1" s="1"/>
      <c r="I1" s="1"/>
      <c r="J1" s="1"/>
    </row>
    <row r="3" spans="1:11">
      <c r="A3" s="1"/>
      <c r="B3" s="88" t="s">
        <v>1041</v>
      </c>
      <c r="C3" s="89"/>
      <c r="D3" s="89"/>
      <c r="E3" s="89"/>
      <c r="F3" s="89"/>
      <c r="G3" s="89"/>
      <c r="H3" s="89"/>
      <c r="I3" s="89"/>
      <c r="J3" s="89"/>
      <c r="K3" s="89"/>
    </row>
    <row r="4" spans="1:11">
      <c r="A4" s="1"/>
      <c r="B4" s="830" t="s">
        <v>1320</v>
      </c>
      <c r="C4" s="830">
        <v>2022</v>
      </c>
      <c r="D4" s="830">
        <v>2023</v>
      </c>
      <c r="E4" s="830">
        <v>2024</v>
      </c>
      <c r="F4" s="830">
        <v>2025</v>
      </c>
      <c r="G4" s="830">
        <v>2026</v>
      </c>
      <c r="H4" s="830" t="s">
        <v>1189</v>
      </c>
      <c r="I4" s="89"/>
      <c r="J4" s="89"/>
      <c r="K4" s="89"/>
    </row>
    <row r="5" spans="1:11" ht="8.1" customHeight="1">
      <c r="A5" s="1"/>
      <c r="B5" s="828"/>
      <c r="C5" s="828"/>
      <c r="D5" s="828"/>
      <c r="E5" s="828"/>
      <c r="F5" s="828"/>
      <c r="G5" s="829"/>
      <c r="H5" s="829"/>
      <c r="I5" s="89"/>
      <c r="J5" s="89"/>
      <c r="K5" s="89"/>
    </row>
    <row r="6" spans="1:11">
      <c r="A6" s="155" t="s">
        <v>469</v>
      </c>
      <c r="B6" s="352" t="s">
        <v>993</v>
      </c>
      <c r="C6" s="352"/>
      <c r="D6" s="352"/>
      <c r="E6" s="352"/>
      <c r="F6" s="352"/>
      <c r="G6" s="352"/>
      <c r="H6" s="352"/>
      <c r="I6" s="89"/>
      <c r="J6" s="89"/>
      <c r="K6" s="89"/>
    </row>
    <row r="7" spans="1:11" ht="15.75">
      <c r="B7" s="358" t="s">
        <v>634</v>
      </c>
      <c r="C7" s="353">
        <v>856959.89749392995</v>
      </c>
      <c r="D7" s="353">
        <v>676787.54266964959</v>
      </c>
      <c r="E7" s="353">
        <v>226553.97467313881</v>
      </c>
      <c r="F7" s="353">
        <v>99484.398549684993</v>
      </c>
      <c r="G7" s="353">
        <v>89577.403770340854</v>
      </c>
      <c r="H7" s="353">
        <v>1949363.2171567441</v>
      </c>
    </row>
    <row r="8" spans="1:11" ht="15.75">
      <c r="B8" s="358" t="s">
        <v>913</v>
      </c>
      <c r="C8" s="353">
        <v>18794.435084518122</v>
      </c>
      <c r="D8" s="353">
        <v>3027.6541459477203</v>
      </c>
      <c r="E8" s="353">
        <v>140.40000000006</v>
      </c>
      <c r="F8" s="353">
        <v>0</v>
      </c>
      <c r="G8" s="353">
        <v>0</v>
      </c>
      <c r="H8" s="353">
        <v>21962.489230465901</v>
      </c>
    </row>
    <row r="9" spans="1:11" ht="15.75">
      <c r="A9" s="155" t="s">
        <v>469</v>
      </c>
      <c r="B9" s="358" t="s">
        <v>916</v>
      </c>
      <c r="C9" s="353">
        <v>239573.07968066973</v>
      </c>
      <c r="D9" s="353">
        <v>81417.927822154918</v>
      </c>
      <c r="E9" s="353">
        <v>18584.942729216142</v>
      </c>
      <c r="F9" s="353">
        <v>16059.435930416097</v>
      </c>
      <c r="G9" s="353">
        <v>18264.910665569223</v>
      </c>
      <c r="H9" s="353">
        <v>373900.29682802613</v>
      </c>
    </row>
    <row r="10" spans="1:11" ht="15.75">
      <c r="B10" s="358" t="s">
        <v>1321</v>
      </c>
      <c r="C10" s="353">
        <v>90205</v>
      </c>
      <c r="D10" s="353">
        <v>62164</v>
      </c>
      <c r="E10" s="353">
        <v>67828.92</v>
      </c>
      <c r="F10" s="353">
        <v>42825.722941456566</v>
      </c>
      <c r="G10" s="353">
        <v>29339.141808789936</v>
      </c>
      <c r="H10" s="353">
        <v>292362.78475024644</v>
      </c>
    </row>
    <row r="11" spans="1:11" ht="15.75">
      <c r="B11" s="358" t="s">
        <v>1322</v>
      </c>
      <c r="C11" s="353">
        <v>3607.8396694213197</v>
      </c>
      <c r="D11" s="353">
        <v>2661.6032949999999</v>
      </c>
      <c r="E11" s="353">
        <v>0</v>
      </c>
      <c r="F11" s="353">
        <v>0</v>
      </c>
      <c r="G11" s="353">
        <v>0</v>
      </c>
      <c r="H11" s="353">
        <v>6269.4429644213196</v>
      </c>
    </row>
    <row r="12" spans="1:11" ht="15.75">
      <c r="A12" s="155" t="s">
        <v>469</v>
      </c>
      <c r="B12" s="358" t="s">
        <v>1323</v>
      </c>
      <c r="C12" s="353">
        <v>52827.08898423233</v>
      </c>
      <c r="D12" s="353">
        <v>65487.453799724753</v>
      </c>
      <c r="E12" s="353">
        <v>0</v>
      </c>
      <c r="F12" s="353">
        <v>0</v>
      </c>
      <c r="G12" s="353">
        <v>0</v>
      </c>
      <c r="H12" s="353">
        <v>118314.54278395709</v>
      </c>
    </row>
    <row r="13" spans="1:11">
      <c r="B13" s="674" t="s">
        <v>1190</v>
      </c>
      <c r="C13" s="674">
        <v>1261967.3409127714</v>
      </c>
      <c r="D13" s="674">
        <v>891546.18173247692</v>
      </c>
      <c r="E13" s="674">
        <v>313108.23740235501</v>
      </c>
      <c r="F13" s="674">
        <v>158369.55742155766</v>
      </c>
      <c r="G13" s="674">
        <v>137181.45624470001</v>
      </c>
      <c r="H13" s="674">
        <v>2762172.7737138607</v>
      </c>
    </row>
    <row r="14" spans="1:11" ht="15.75">
      <c r="B14" s="358"/>
      <c r="C14" s="353"/>
      <c r="D14" s="353"/>
      <c r="E14" s="353"/>
      <c r="F14" s="353"/>
      <c r="G14" s="353"/>
      <c r="H14" s="353"/>
    </row>
    <row r="15" spans="1:11">
      <c r="A15" s="155" t="s">
        <v>469</v>
      </c>
      <c r="B15" s="352" t="s">
        <v>1324</v>
      </c>
      <c r="C15" s="354"/>
      <c r="D15" s="354"/>
      <c r="E15" s="354"/>
      <c r="F15" s="354"/>
      <c r="G15" s="354"/>
      <c r="H15" s="354"/>
    </row>
    <row r="16" spans="1:11" ht="15.75">
      <c r="B16" s="358" t="s">
        <v>1325</v>
      </c>
      <c r="C16" s="353">
        <v>24965.957336717936</v>
      </c>
      <c r="D16" s="353">
        <v>23173.338837397408</v>
      </c>
      <c r="E16" s="353">
        <v>23388.948956433534</v>
      </c>
      <c r="F16" s="353">
        <v>24293.333692880966</v>
      </c>
      <c r="G16" s="353">
        <v>25716.403545791196</v>
      </c>
      <c r="H16" s="353">
        <v>121537.98236922105</v>
      </c>
    </row>
    <row r="17" spans="1:8" ht="15.75">
      <c r="B17" s="358" t="s">
        <v>877</v>
      </c>
      <c r="C17" s="353">
        <v>806441.90906289185</v>
      </c>
      <c r="D17" s="353">
        <v>163499.42620467531</v>
      </c>
      <c r="E17" s="353">
        <v>7986.1004343691338</v>
      </c>
      <c r="F17" s="353">
        <v>5228.2093990268932</v>
      </c>
      <c r="G17" s="353">
        <v>4461.1334874748827</v>
      </c>
      <c r="H17" s="353">
        <v>987616.77858843817</v>
      </c>
    </row>
    <row r="18" spans="1:8" ht="15.75">
      <c r="A18" s="155" t="s">
        <v>469</v>
      </c>
      <c r="B18" s="358" t="s">
        <v>1326</v>
      </c>
      <c r="C18" s="353">
        <v>21254.891597882059</v>
      </c>
      <c r="D18" s="353">
        <v>11514.036514966132</v>
      </c>
      <c r="E18" s="353">
        <v>9436.0401434373252</v>
      </c>
      <c r="F18" s="353">
        <v>8125.3505647710763</v>
      </c>
      <c r="G18" s="353">
        <v>14160.715437771587</v>
      </c>
      <c r="H18" s="353">
        <v>64491.034258828178</v>
      </c>
    </row>
    <row r="19" spans="1:8" ht="15.75">
      <c r="B19" s="358" t="s">
        <v>640</v>
      </c>
      <c r="C19" s="353">
        <v>172943.33601663884</v>
      </c>
      <c r="D19" s="353">
        <v>58655.036989592205</v>
      </c>
      <c r="E19" s="353">
        <v>57141.582171634233</v>
      </c>
      <c r="F19" s="353">
        <v>39891.842985972879</v>
      </c>
      <c r="G19" s="353">
        <v>45023.681951026992</v>
      </c>
      <c r="H19" s="353">
        <v>373655.48011486517</v>
      </c>
    </row>
    <row r="20" spans="1:8">
      <c r="B20" s="674" t="s">
        <v>1327</v>
      </c>
      <c r="C20" s="674">
        <v>1025606.0940141308</v>
      </c>
      <c r="D20" s="674">
        <v>256841.83854663104</v>
      </c>
      <c r="E20" s="674">
        <v>97952.671705874236</v>
      </c>
      <c r="F20" s="674">
        <v>77538.736642651813</v>
      </c>
      <c r="G20" s="674">
        <v>89361.93442206466</v>
      </c>
      <c r="H20" s="674">
        <v>1547301.2753313524</v>
      </c>
    </row>
    <row r="21" spans="1:8" ht="15.75">
      <c r="A21" s="155" t="s">
        <v>469</v>
      </c>
      <c r="B21" s="358"/>
      <c r="C21" s="353"/>
      <c r="D21" s="353"/>
      <c r="E21" s="353"/>
      <c r="F21" s="353"/>
      <c r="G21" s="353"/>
      <c r="H21" s="353"/>
    </row>
    <row r="22" spans="1:8">
      <c r="B22" s="352" t="s">
        <v>1328</v>
      </c>
      <c r="C22" s="354"/>
      <c r="D22" s="354"/>
      <c r="E22" s="354"/>
      <c r="F22" s="354"/>
      <c r="G22" s="354"/>
      <c r="H22" s="354"/>
    </row>
    <row r="23" spans="1:8" ht="15.75">
      <c r="B23" s="358" t="s">
        <v>881</v>
      </c>
      <c r="C23" s="353">
        <v>705236.62238773191</v>
      </c>
      <c r="D23" s="353">
        <v>1272079.874703316</v>
      </c>
      <c r="E23" s="353">
        <v>834465.19445634959</v>
      </c>
      <c r="F23" s="353">
        <v>623590.03395412944</v>
      </c>
      <c r="G23" s="353">
        <v>598877.27429254784</v>
      </c>
      <c r="H23" s="353">
        <v>4034248.9997940748</v>
      </c>
    </row>
    <row r="24" spans="1:8" ht="15.75">
      <c r="B24" s="358" t="s">
        <v>1329</v>
      </c>
      <c r="C24" s="353">
        <v>703898.97351291834</v>
      </c>
      <c r="D24" s="353">
        <v>252219.25245990843</v>
      </c>
      <c r="E24" s="353">
        <v>304685.22174796986</v>
      </c>
      <c r="F24" s="353">
        <v>234890.2039649403</v>
      </c>
      <c r="G24" s="353">
        <v>29310.239708066525</v>
      </c>
      <c r="H24" s="353">
        <v>1525003.8913938035</v>
      </c>
    </row>
    <row r="25" spans="1:8" ht="15.75">
      <c r="B25" s="358" t="s">
        <v>1330</v>
      </c>
      <c r="C25" s="353">
        <v>12186.944453902506</v>
      </c>
      <c r="D25" s="353">
        <v>32429.164371646079</v>
      </c>
      <c r="E25" s="353">
        <v>43851.324002698064</v>
      </c>
      <c r="F25" s="353">
        <v>20957.814608581259</v>
      </c>
      <c r="G25" s="353">
        <v>16921.136973600787</v>
      </c>
      <c r="H25" s="353">
        <v>126346.3844104287</v>
      </c>
    </row>
    <row r="26" spans="1:8">
      <c r="B26" s="674" t="s">
        <v>1331</v>
      </c>
      <c r="C26" s="674">
        <v>1421322.5403545527</v>
      </c>
      <c r="D26" s="674">
        <v>1556728.2915348702</v>
      </c>
      <c r="E26" s="674">
        <v>1183001.7402070176</v>
      </c>
      <c r="F26" s="674">
        <v>879438.05252765084</v>
      </c>
      <c r="G26" s="674">
        <v>645108.65097421489</v>
      </c>
      <c r="H26" s="674">
        <v>5685599.2755983062</v>
      </c>
    </row>
    <row r="27" spans="1:8" ht="15.75">
      <c r="B27" s="358"/>
      <c r="C27" s="353"/>
      <c r="D27" s="353"/>
      <c r="E27" s="353"/>
      <c r="F27" s="353"/>
      <c r="G27" s="353"/>
      <c r="H27" s="353"/>
    </row>
    <row r="28" spans="1:8">
      <c r="B28" s="352" t="s">
        <v>1332</v>
      </c>
      <c r="C28" s="354"/>
      <c r="D28" s="354"/>
      <c r="E28" s="354"/>
      <c r="F28" s="354"/>
      <c r="G28" s="354"/>
      <c r="H28" s="354"/>
    </row>
    <row r="29" spans="1:8" ht="15.75">
      <c r="B29" s="358" t="s">
        <v>1333</v>
      </c>
      <c r="C29" s="353">
        <v>3359.3342735350352</v>
      </c>
      <c r="D29" s="353">
        <v>3810.6601546265665</v>
      </c>
      <c r="E29" s="353">
        <v>2149.0253064922126</v>
      </c>
      <c r="F29" s="353">
        <v>567.71315029114567</v>
      </c>
      <c r="G29" s="353">
        <v>4533.5156811719171</v>
      </c>
      <c r="H29" s="353">
        <v>14420.248566116878</v>
      </c>
    </row>
    <row r="30" spans="1:8" ht="15.75">
      <c r="B30" s="358" t="s">
        <v>1334</v>
      </c>
      <c r="C30" s="353">
        <v>3668.4119598966186</v>
      </c>
      <c r="D30" s="353">
        <v>3558.5557001286288</v>
      </c>
      <c r="E30" s="353">
        <v>2627.7901140104</v>
      </c>
      <c r="F30" s="353">
        <v>2592.5511958166521</v>
      </c>
      <c r="G30" s="353">
        <v>2722.1672354595007</v>
      </c>
      <c r="H30" s="353">
        <v>15169.476205311801</v>
      </c>
    </row>
    <row r="31" spans="1:8">
      <c r="B31" s="674" t="s">
        <v>1248</v>
      </c>
      <c r="C31" s="674">
        <v>7027.7462334316533</v>
      </c>
      <c r="D31" s="674">
        <v>7369.2158547551953</v>
      </c>
      <c r="E31" s="674">
        <v>4776.8154205026131</v>
      </c>
      <c r="F31" s="674">
        <v>3160.2643461077978</v>
      </c>
      <c r="G31" s="674">
        <v>7255.6829166314183</v>
      </c>
      <c r="H31" s="674">
        <v>29589.724771428679</v>
      </c>
    </row>
    <row r="32" spans="1:8">
      <c r="B32" s="355"/>
      <c r="C32" s="355"/>
      <c r="D32" s="355"/>
      <c r="E32" s="355"/>
      <c r="F32" s="355"/>
      <c r="G32" s="355"/>
      <c r="H32" s="355"/>
    </row>
    <row r="33" spans="2:8">
      <c r="B33" s="352" t="s">
        <v>974</v>
      </c>
      <c r="C33" s="354"/>
      <c r="D33" s="354"/>
      <c r="E33" s="354"/>
      <c r="F33" s="354"/>
      <c r="G33" s="354"/>
      <c r="H33" s="354"/>
    </row>
    <row r="34" spans="2:8" ht="15.75">
      <c r="B34" s="358" t="s">
        <v>1335</v>
      </c>
      <c r="C34" s="353">
        <v>668475.10469318205</v>
      </c>
      <c r="D34" s="353">
        <v>789640.65323433257</v>
      </c>
      <c r="E34" s="353">
        <v>182355.37376902089</v>
      </c>
      <c r="F34" s="353">
        <v>16071.475607829669</v>
      </c>
      <c r="G34" s="353">
        <v>992.5362271172736</v>
      </c>
      <c r="H34" s="353">
        <v>1657535.1435314824</v>
      </c>
    </row>
    <row r="35" spans="2:8" ht="15.75">
      <c r="B35" s="358" t="s">
        <v>1336</v>
      </c>
      <c r="C35" s="353">
        <v>7672.9599624454904</v>
      </c>
      <c r="D35" s="353">
        <v>8687.9310208211773</v>
      </c>
      <c r="E35" s="353">
        <v>9253.0878465502774</v>
      </c>
      <c r="F35" s="353">
        <v>9705.0949086548135</v>
      </c>
      <c r="G35" s="353">
        <v>9797.7314010146547</v>
      </c>
      <c r="H35" s="353">
        <v>45116.805139486416</v>
      </c>
    </row>
    <row r="36" spans="2:8" ht="15.75">
      <c r="B36" s="358" t="s">
        <v>1339</v>
      </c>
      <c r="C36" s="353">
        <v>99581.204838536127</v>
      </c>
      <c r="D36" s="353">
        <v>0</v>
      </c>
      <c r="E36" s="353">
        <v>0</v>
      </c>
      <c r="F36" s="353">
        <v>349241.26792267995</v>
      </c>
      <c r="G36" s="353">
        <v>395074.41955055867</v>
      </c>
      <c r="H36" s="353">
        <v>843896.89231177478</v>
      </c>
    </row>
    <row r="37" spans="2:8" ht="15.75">
      <c r="B37" s="358" t="s">
        <v>1337</v>
      </c>
      <c r="C37" s="353">
        <v>86726.988924696765</v>
      </c>
      <c r="D37" s="353">
        <v>24604.256524950095</v>
      </c>
      <c r="E37" s="353">
        <v>12410.652654149253</v>
      </c>
      <c r="F37" s="353">
        <v>6529.3302894241342</v>
      </c>
      <c r="G37" s="353">
        <v>6593.3431906486212</v>
      </c>
      <c r="H37" s="353">
        <v>136864.57158386885</v>
      </c>
    </row>
    <row r="38" spans="2:8">
      <c r="B38" s="674" t="s">
        <v>1338</v>
      </c>
      <c r="C38" s="674">
        <v>862456.2584188605</v>
      </c>
      <c r="D38" s="674">
        <v>822932.84078010393</v>
      </c>
      <c r="E38" s="674">
        <v>204019.11426972042</v>
      </c>
      <c r="F38" s="674">
        <v>381547.16872858856</v>
      </c>
      <c r="G38" s="674">
        <v>412458.03036933916</v>
      </c>
      <c r="H38" s="674">
        <v>2683413.4125666125</v>
      </c>
    </row>
    <row r="39" spans="2:8" ht="15.75">
      <c r="B39" s="359"/>
      <c r="C39" s="356"/>
      <c r="D39" s="356"/>
      <c r="E39" s="356"/>
      <c r="F39" s="356"/>
      <c r="G39" s="357"/>
      <c r="H39" s="357"/>
    </row>
    <row r="40" spans="2:8">
      <c r="B40" s="674" t="s">
        <v>1319</v>
      </c>
      <c r="C40" s="674">
        <v>4578379.9799337471</v>
      </c>
      <c r="D40" s="674">
        <v>3535418.3684488377</v>
      </c>
      <c r="E40" s="674">
        <v>1802858.5790054698</v>
      </c>
      <c r="F40" s="674">
        <v>1500053.7796665567</v>
      </c>
      <c r="G40" s="674">
        <v>1291365.7549269502</v>
      </c>
      <c r="H40" s="674">
        <v>12708076.461981561</v>
      </c>
    </row>
  </sheetData>
  <hyperlinks>
    <hyperlink ref="A1" location="'Table of Contents'!A1" display="Return to Table of Contents" xr:uid="{00000000-0004-0000-0D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J102"/>
  <sheetViews>
    <sheetView showGridLines="0" zoomScaleNormal="100" workbookViewId="0">
      <pane xSplit="1" ySplit="4" topLeftCell="E5" activePane="bottomRight" state="frozen"/>
      <selection pane="topRight" activeCell="B1" sqref="B1"/>
      <selection pane="bottomLeft" activeCell="A5" sqref="A5"/>
      <selection pane="bottomRight" activeCell="A3" sqref="A3"/>
    </sheetView>
  </sheetViews>
  <sheetFormatPr baseColWidth="10" defaultColWidth="11.42578125" defaultRowHeight="15"/>
  <cols>
    <col min="1" max="1" width="11.42578125" customWidth="1"/>
    <col min="2" max="2" width="24.85546875" customWidth="1"/>
    <col min="3" max="3" width="24.42578125" customWidth="1"/>
    <col min="4" max="4" width="9.42578125" customWidth="1"/>
    <col min="5" max="5" width="60.42578125" customWidth="1"/>
    <col min="6" max="8" width="11.42578125" customWidth="1"/>
  </cols>
  <sheetData>
    <row r="1" spans="1:6">
      <c r="A1" s="3" t="s">
        <v>627</v>
      </c>
    </row>
    <row r="3" spans="1:6" s="116" customFormat="1" ht="26.25">
      <c r="A3" s="115" t="s">
        <v>462</v>
      </c>
    </row>
    <row r="4" spans="1:6" s="1" customFormat="1">
      <c r="A4" s="117" t="s">
        <v>208</v>
      </c>
      <c r="B4" s="117" t="s">
        <v>590</v>
      </c>
      <c r="C4" s="117" t="s">
        <v>209</v>
      </c>
      <c r="D4" s="118" t="s">
        <v>210</v>
      </c>
      <c r="E4" s="118" t="s">
        <v>211</v>
      </c>
      <c r="F4" s="118" t="s">
        <v>212</v>
      </c>
    </row>
    <row r="5" spans="1:6" s="1" customFormat="1">
      <c r="A5" s="1" t="s">
        <v>586</v>
      </c>
      <c r="B5" s="1" t="s">
        <v>591</v>
      </c>
      <c r="C5" s="1" t="s">
        <v>214</v>
      </c>
      <c r="D5" s="1" t="s">
        <v>603</v>
      </c>
      <c r="E5" s="3" t="s">
        <v>609</v>
      </c>
      <c r="F5" s="1" t="s">
        <v>217</v>
      </c>
    </row>
    <row r="6" spans="1:6" s="1" customFormat="1">
      <c r="A6" s="1" t="s">
        <v>586</v>
      </c>
      <c r="B6" s="1" t="s">
        <v>591</v>
      </c>
      <c r="C6" s="1" t="s">
        <v>218</v>
      </c>
      <c r="D6" s="1" t="s">
        <v>603</v>
      </c>
      <c r="E6" s="3" t="s">
        <v>609</v>
      </c>
      <c r="F6" s="1" t="s">
        <v>219</v>
      </c>
    </row>
    <row r="7" spans="1:6" s="1" customFormat="1">
      <c r="A7" s="1" t="s">
        <v>586</v>
      </c>
      <c r="B7" s="1" t="s">
        <v>591</v>
      </c>
      <c r="C7" s="1" t="s">
        <v>220</v>
      </c>
      <c r="D7" s="1" t="s">
        <v>603</v>
      </c>
      <c r="E7" s="3" t="s">
        <v>609</v>
      </c>
      <c r="F7" s="1" t="s">
        <v>221</v>
      </c>
    </row>
    <row r="8" spans="1:6" s="1" customFormat="1">
      <c r="A8" s="1" t="s">
        <v>586</v>
      </c>
      <c r="B8" s="1" t="s">
        <v>591</v>
      </c>
      <c r="C8" s="1" t="s">
        <v>222</v>
      </c>
      <c r="D8" s="1" t="s">
        <v>603</v>
      </c>
      <c r="E8" s="3" t="s">
        <v>609</v>
      </c>
      <c r="F8" s="1" t="s">
        <v>223</v>
      </c>
    </row>
    <row r="9" spans="1:6" s="1" customFormat="1">
      <c r="A9" s="1" t="s">
        <v>586</v>
      </c>
      <c r="B9" s="1" t="s">
        <v>591</v>
      </c>
      <c r="C9" s="1" t="s">
        <v>224</v>
      </c>
      <c r="D9" s="1" t="s">
        <v>603</v>
      </c>
      <c r="E9" s="3" t="s">
        <v>609</v>
      </c>
      <c r="F9" s="1" t="s">
        <v>225</v>
      </c>
    </row>
    <row r="10" spans="1:6" s="1" customFormat="1">
      <c r="A10" s="1" t="s">
        <v>586</v>
      </c>
      <c r="B10" s="1" t="s">
        <v>591</v>
      </c>
      <c r="C10" s="1" t="s">
        <v>226</v>
      </c>
      <c r="D10" s="1" t="s">
        <v>603</v>
      </c>
      <c r="E10" s="3" t="s">
        <v>609</v>
      </c>
      <c r="F10" s="1" t="s">
        <v>227</v>
      </c>
    </row>
    <row r="11" spans="1:6" s="1" customFormat="1">
      <c r="A11" s="1" t="s">
        <v>586</v>
      </c>
      <c r="B11" s="1" t="s">
        <v>591</v>
      </c>
      <c r="C11" s="1" t="s">
        <v>228</v>
      </c>
      <c r="D11" s="1" t="s">
        <v>603</v>
      </c>
      <c r="E11" s="3" t="s">
        <v>609</v>
      </c>
      <c r="F11" s="1" t="s">
        <v>229</v>
      </c>
    </row>
    <row r="12" spans="1:6" s="1" customFormat="1">
      <c r="A12" s="1" t="s">
        <v>586</v>
      </c>
      <c r="B12" s="1" t="s">
        <v>591</v>
      </c>
      <c r="C12" s="1" t="s">
        <v>230</v>
      </c>
      <c r="D12" s="1" t="s">
        <v>603</v>
      </c>
      <c r="E12" s="3" t="s">
        <v>609</v>
      </c>
      <c r="F12" s="1" t="s">
        <v>231</v>
      </c>
    </row>
    <row r="13" spans="1:6" s="1" customFormat="1">
      <c r="A13" s="1" t="s">
        <v>586</v>
      </c>
      <c r="B13" s="1" t="s">
        <v>591</v>
      </c>
      <c r="C13" s="1" t="s">
        <v>232</v>
      </c>
      <c r="D13" s="1" t="s">
        <v>603</v>
      </c>
      <c r="E13" s="3" t="s">
        <v>609</v>
      </c>
      <c r="F13" s="1" t="s">
        <v>233</v>
      </c>
    </row>
    <row r="14" spans="1:6" s="1" customFormat="1">
      <c r="A14" s="1" t="s">
        <v>586</v>
      </c>
      <c r="B14" s="1" t="s">
        <v>591</v>
      </c>
      <c r="C14" s="1" t="s">
        <v>234</v>
      </c>
      <c r="D14" s="1" t="s">
        <v>603</v>
      </c>
      <c r="E14" s="3" t="s">
        <v>609</v>
      </c>
      <c r="F14" s="1" t="s">
        <v>235</v>
      </c>
    </row>
    <row r="15" spans="1:6" s="1" customFormat="1">
      <c r="A15" s="1" t="s">
        <v>586</v>
      </c>
      <c r="B15" s="1" t="s">
        <v>591</v>
      </c>
      <c r="C15" s="1" t="s">
        <v>236</v>
      </c>
      <c r="D15" s="1" t="s">
        <v>603</v>
      </c>
      <c r="E15" s="3" t="s">
        <v>609</v>
      </c>
      <c r="F15" s="1" t="s">
        <v>237</v>
      </c>
    </row>
    <row r="16" spans="1:6" s="1" customFormat="1">
      <c r="A16" s="1" t="s">
        <v>586</v>
      </c>
      <c r="B16" s="1" t="s">
        <v>592</v>
      </c>
      <c r="C16" s="1" t="s">
        <v>238</v>
      </c>
      <c r="D16" s="1" t="s">
        <v>603</v>
      </c>
      <c r="E16" s="3" t="s">
        <v>609</v>
      </c>
      <c r="F16" s="1" t="s">
        <v>239</v>
      </c>
    </row>
    <row r="17" spans="1:10" s="1" customFormat="1">
      <c r="A17" s="1" t="s">
        <v>586</v>
      </c>
      <c r="B17" s="1" t="s">
        <v>592</v>
      </c>
      <c r="C17" s="1" t="s">
        <v>240</v>
      </c>
      <c r="D17" s="1" t="s">
        <v>603</v>
      </c>
      <c r="E17" s="3" t="s">
        <v>609</v>
      </c>
      <c r="F17" s="1" t="s">
        <v>241</v>
      </c>
    </row>
    <row r="18" spans="1:10" s="1" customFormat="1">
      <c r="A18" s="1" t="s">
        <v>586</v>
      </c>
      <c r="B18" s="1" t="s">
        <v>592</v>
      </c>
      <c r="C18" s="1" t="s">
        <v>242</v>
      </c>
      <c r="D18" s="1" t="s">
        <v>603</v>
      </c>
      <c r="E18" s="3" t="s">
        <v>609</v>
      </c>
      <c r="F18" s="1" t="s">
        <v>243</v>
      </c>
    </row>
    <row r="19" spans="1:10" s="1" customFormat="1">
      <c r="A19" s="1" t="s">
        <v>586</v>
      </c>
      <c r="B19" s="1" t="s">
        <v>592</v>
      </c>
      <c r="C19" s="1" t="s">
        <v>244</v>
      </c>
      <c r="D19" s="1" t="s">
        <v>603</v>
      </c>
      <c r="E19" s="3" t="s">
        <v>609</v>
      </c>
      <c r="F19" s="1" t="s">
        <v>245</v>
      </c>
    </row>
    <row r="20" spans="1:10" s="1" customFormat="1">
      <c r="A20" s="1" t="s">
        <v>586</v>
      </c>
      <c r="B20" s="1" t="s">
        <v>592</v>
      </c>
      <c r="C20" s="1" t="s">
        <v>246</v>
      </c>
      <c r="D20" s="1" t="s">
        <v>603</v>
      </c>
      <c r="E20" s="3" t="s">
        <v>609</v>
      </c>
      <c r="F20" s="1" t="s">
        <v>247</v>
      </c>
    </row>
    <row r="21" spans="1:10" s="1" customFormat="1">
      <c r="A21" s="1" t="s">
        <v>586</v>
      </c>
      <c r="B21" s="1" t="s">
        <v>592</v>
      </c>
      <c r="C21" s="1" t="s">
        <v>248</v>
      </c>
      <c r="D21" s="1" t="s">
        <v>603</v>
      </c>
      <c r="E21" s="3" t="s">
        <v>609</v>
      </c>
      <c r="F21" s="1" t="s">
        <v>249</v>
      </c>
    </row>
    <row r="22" spans="1:10" s="1" customFormat="1">
      <c r="A22" s="1" t="s">
        <v>586</v>
      </c>
      <c r="B22" s="1" t="s">
        <v>592</v>
      </c>
      <c r="C22" s="1" t="s">
        <v>250</v>
      </c>
      <c r="D22" s="1" t="s">
        <v>603</v>
      </c>
      <c r="E22" s="3" t="s">
        <v>609</v>
      </c>
      <c r="F22" s="1" t="s">
        <v>251</v>
      </c>
    </row>
    <row r="23" spans="1:10" s="1" customFormat="1">
      <c r="A23" s="1" t="s">
        <v>586</v>
      </c>
      <c r="B23" s="1" t="s">
        <v>592</v>
      </c>
      <c r="C23" s="1" t="s">
        <v>252</v>
      </c>
      <c r="D23" s="1" t="s">
        <v>603</v>
      </c>
      <c r="E23" s="3" t="s">
        <v>609</v>
      </c>
      <c r="F23" s="1" t="s">
        <v>253</v>
      </c>
    </row>
    <row r="24" spans="1:10" s="1" customFormat="1">
      <c r="A24" s="1" t="s">
        <v>586</v>
      </c>
      <c r="B24" s="1" t="s">
        <v>592</v>
      </c>
      <c r="C24" s="1" t="s">
        <v>254</v>
      </c>
      <c r="D24" s="1" t="s">
        <v>603</v>
      </c>
      <c r="E24" s="3" t="s">
        <v>609</v>
      </c>
      <c r="F24" s="1" t="s">
        <v>255</v>
      </c>
    </row>
    <row r="25" spans="1:10" s="1" customFormat="1">
      <c r="A25" s="1" t="s">
        <v>586</v>
      </c>
      <c r="B25" s="1" t="s">
        <v>592</v>
      </c>
      <c r="C25" s="1" t="s">
        <v>256</v>
      </c>
      <c r="D25" s="1" t="s">
        <v>603</v>
      </c>
      <c r="E25" s="3" t="s">
        <v>609</v>
      </c>
      <c r="F25" s="1" t="s">
        <v>257</v>
      </c>
    </row>
    <row r="26" spans="1:10" s="1" customFormat="1">
      <c r="A26" s="1" t="s">
        <v>586</v>
      </c>
      <c r="B26" s="1" t="s">
        <v>592</v>
      </c>
      <c r="C26" s="1" t="s">
        <v>258</v>
      </c>
      <c r="D26" s="1" t="s">
        <v>603</v>
      </c>
      <c r="E26" s="3" t="s">
        <v>609</v>
      </c>
      <c r="F26" s="1" t="s">
        <v>259</v>
      </c>
    </row>
    <row r="27" spans="1:10" s="1" customFormat="1">
      <c r="A27" s="1" t="s">
        <v>586</v>
      </c>
      <c r="B27" s="1" t="s">
        <v>592</v>
      </c>
      <c r="C27" s="1" t="s">
        <v>260</v>
      </c>
      <c r="D27" s="1" t="s">
        <v>603</v>
      </c>
      <c r="E27" s="3" t="s">
        <v>609</v>
      </c>
      <c r="F27" s="1" t="s">
        <v>261</v>
      </c>
    </row>
    <row r="28" spans="1:10" s="119" customFormat="1">
      <c r="A28" s="119" t="s">
        <v>586</v>
      </c>
      <c r="B28" s="119" t="s">
        <v>592</v>
      </c>
      <c r="C28" s="119" t="s">
        <v>262</v>
      </c>
      <c r="D28" s="119" t="s">
        <v>603</v>
      </c>
      <c r="E28" s="120" t="s">
        <v>609</v>
      </c>
      <c r="F28" s="119" t="s">
        <v>263</v>
      </c>
      <c r="J28" s="1"/>
    </row>
    <row r="29" spans="1:10" s="119" customFormat="1">
      <c r="A29" s="119" t="s">
        <v>586</v>
      </c>
      <c r="B29" s="119" t="s">
        <v>592</v>
      </c>
      <c r="C29" s="119" t="s">
        <v>264</v>
      </c>
      <c r="D29" s="119" t="s">
        <v>603</v>
      </c>
      <c r="E29" s="120" t="s">
        <v>609</v>
      </c>
      <c r="F29" s="119" t="s">
        <v>265</v>
      </c>
      <c r="J29" s="1"/>
    </row>
    <row r="30" spans="1:10" s="119" customFormat="1">
      <c r="A30" s="119" t="s">
        <v>586</v>
      </c>
      <c r="B30" s="119" t="s">
        <v>592</v>
      </c>
      <c r="C30" s="119" t="s">
        <v>266</v>
      </c>
      <c r="D30" s="119" t="s">
        <v>603</v>
      </c>
      <c r="E30" s="120" t="s">
        <v>609</v>
      </c>
      <c r="F30" s="119" t="s">
        <v>267</v>
      </c>
      <c r="J30" s="1"/>
    </row>
    <row r="31" spans="1:10" s="1" customFormat="1">
      <c r="A31" s="1" t="s">
        <v>586</v>
      </c>
      <c r="B31" s="1" t="s">
        <v>592</v>
      </c>
      <c r="C31" s="1" t="s">
        <v>268</v>
      </c>
      <c r="D31" s="1" t="s">
        <v>603</v>
      </c>
      <c r="E31" s="3" t="s">
        <v>609</v>
      </c>
      <c r="F31" s="1" t="s">
        <v>269</v>
      </c>
    </row>
    <row r="32" spans="1:10" s="119" customFormat="1">
      <c r="A32" s="119" t="s">
        <v>586</v>
      </c>
      <c r="B32" s="119" t="s">
        <v>592</v>
      </c>
      <c r="C32" s="119" t="s">
        <v>270</v>
      </c>
      <c r="D32" s="119" t="s">
        <v>603</v>
      </c>
      <c r="E32" s="120" t="s">
        <v>609</v>
      </c>
      <c r="F32" s="119" t="s">
        <v>271</v>
      </c>
      <c r="J32" s="1"/>
    </row>
    <row r="33" spans="1:10" s="119" customFormat="1">
      <c r="A33" s="119" t="s">
        <v>586</v>
      </c>
      <c r="B33" s="119" t="s">
        <v>592</v>
      </c>
      <c r="C33" s="119" t="s">
        <v>272</v>
      </c>
      <c r="D33" s="119" t="s">
        <v>603</v>
      </c>
      <c r="E33" s="120" t="s">
        <v>609</v>
      </c>
      <c r="F33" s="119" t="s">
        <v>273</v>
      </c>
      <c r="J33" s="1"/>
    </row>
    <row r="34" spans="1:10" s="1" customFormat="1">
      <c r="A34" s="1" t="s">
        <v>586</v>
      </c>
      <c r="B34" s="1" t="s">
        <v>592</v>
      </c>
      <c r="C34" s="1" t="s">
        <v>274</v>
      </c>
      <c r="D34" s="1" t="s">
        <v>603</v>
      </c>
      <c r="E34" s="3" t="s">
        <v>609</v>
      </c>
      <c r="F34" s="1" t="s">
        <v>275</v>
      </c>
    </row>
    <row r="35" spans="1:10" s="119" customFormat="1">
      <c r="A35" s="119" t="s">
        <v>586</v>
      </c>
      <c r="B35" s="119" t="s">
        <v>592</v>
      </c>
      <c r="C35" s="119" t="s">
        <v>276</v>
      </c>
      <c r="D35" s="119" t="s">
        <v>603</v>
      </c>
      <c r="E35" s="120" t="s">
        <v>609</v>
      </c>
      <c r="F35" s="119" t="s">
        <v>277</v>
      </c>
      <c r="J35" s="1"/>
    </row>
    <row r="36" spans="1:10" s="119" customFormat="1">
      <c r="A36" s="119" t="s">
        <v>586</v>
      </c>
      <c r="B36" s="119" t="s">
        <v>153</v>
      </c>
      <c r="C36" s="119" t="s">
        <v>278</v>
      </c>
      <c r="D36" s="119" t="s">
        <v>603</v>
      </c>
      <c r="E36" s="120" t="s">
        <v>609</v>
      </c>
      <c r="F36" s="119" t="s">
        <v>279</v>
      </c>
      <c r="J36" s="1"/>
    </row>
    <row r="37" spans="1:10" s="119" customFormat="1">
      <c r="A37" s="119" t="s">
        <v>586</v>
      </c>
      <c r="B37" s="119" t="s">
        <v>280</v>
      </c>
      <c r="C37" s="119" t="s">
        <v>281</v>
      </c>
      <c r="D37" s="119" t="s">
        <v>603</v>
      </c>
      <c r="E37" s="120" t="s">
        <v>609</v>
      </c>
      <c r="F37" s="119" t="s">
        <v>282</v>
      </c>
      <c r="J37" s="1"/>
    </row>
    <row r="38" spans="1:10" s="1" customFormat="1">
      <c r="A38" s="1" t="s">
        <v>586</v>
      </c>
      <c r="B38" s="1" t="s">
        <v>593</v>
      </c>
      <c r="C38" s="1" t="s">
        <v>283</v>
      </c>
      <c r="D38" s="1" t="s">
        <v>603</v>
      </c>
      <c r="E38" s="3" t="s">
        <v>609</v>
      </c>
      <c r="F38" s="207" t="s">
        <v>617</v>
      </c>
    </row>
    <row r="39" spans="1:10" s="1" customFormat="1">
      <c r="A39" s="1" t="s">
        <v>586</v>
      </c>
      <c r="B39" s="1" t="s">
        <v>593</v>
      </c>
      <c r="C39" s="1" t="s">
        <v>284</v>
      </c>
      <c r="D39" s="1" t="s">
        <v>603</v>
      </c>
      <c r="E39" s="3" t="s">
        <v>609</v>
      </c>
      <c r="F39" s="1" t="s">
        <v>285</v>
      </c>
    </row>
    <row r="40" spans="1:10" s="1" customFormat="1">
      <c r="A40" s="1" t="s">
        <v>586</v>
      </c>
      <c r="B40" s="1" t="s">
        <v>593</v>
      </c>
      <c r="C40" s="1" t="s">
        <v>286</v>
      </c>
      <c r="D40" s="1" t="s">
        <v>603</v>
      </c>
      <c r="E40" s="3" t="s">
        <v>609</v>
      </c>
      <c r="F40" s="1" t="s">
        <v>287</v>
      </c>
    </row>
    <row r="41" spans="1:10" s="1" customFormat="1">
      <c r="A41" s="1" t="s">
        <v>586</v>
      </c>
      <c r="B41" s="1" t="s">
        <v>593</v>
      </c>
      <c r="C41" s="1" t="s">
        <v>288</v>
      </c>
      <c r="D41" s="1" t="s">
        <v>603</v>
      </c>
      <c r="E41" s="3" t="s">
        <v>609</v>
      </c>
      <c r="F41" s="1" t="s">
        <v>289</v>
      </c>
    </row>
    <row r="42" spans="1:10" s="1" customFormat="1">
      <c r="A42" s="1" t="s">
        <v>586</v>
      </c>
      <c r="B42" s="1" t="s">
        <v>593</v>
      </c>
      <c r="C42" s="1" t="s">
        <v>290</v>
      </c>
      <c r="D42" s="1" t="s">
        <v>603</v>
      </c>
      <c r="E42" s="3" t="s">
        <v>609</v>
      </c>
      <c r="F42" s="1" t="s">
        <v>291</v>
      </c>
    </row>
    <row r="43" spans="1:10" s="1" customFormat="1">
      <c r="A43" s="1" t="s">
        <v>586</v>
      </c>
      <c r="B43" s="1" t="s">
        <v>593</v>
      </c>
      <c r="C43" s="1" t="s">
        <v>292</v>
      </c>
      <c r="D43" s="1" t="s">
        <v>603</v>
      </c>
      <c r="E43" s="3" t="s">
        <v>609</v>
      </c>
      <c r="F43" s="1" t="s">
        <v>293</v>
      </c>
    </row>
    <row r="44" spans="1:10" s="1" customFormat="1">
      <c r="A44" s="1" t="s">
        <v>586</v>
      </c>
      <c r="B44" s="1" t="s">
        <v>593</v>
      </c>
      <c r="C44" s="1" t="s">
        <v>294</v>
      </c>
      <c r="D44" s="1" t="s">
        <v>603</v>
      </c>
      <c r="E44" s="3" t="s">
        <v>609</v>
      </c>
      <c r="F44" s="1" t="s">
        <v>295</v>
      </c>
    </row>
    <row r="45" spans="1:10" s="1" customFormat="1">
      <c r="A45" s="1" t="s">
        <v>586</v>
      </c>
      <c r="B45" s="1" t="s">
        <v>593</v>
      </c>
      <c r="C45" s="1" t="s">
        <v>296</v>
      </c>
      <c r="D45" s="1" t="s">
        <v>603</v>
      </c>
      <c r="E45" s="3" t="s">
        <v>609</v>
      </c>
      <c r="F45" s="1" t="s">
        <v>297</v>
      </c>
    </row>
    <row r="46" spans="1:10" s="1" customFormat="1">
      <c r="A46" s="1" t="s">
        <v>586</v>
      </c>
      <c r="B46" s="1" t="s">
        <v>593</v>
      </c>
      <c r="C46" s="1" t="s">
        <v>298</v>
      </c>
      <c r="D46" s="1" t="s">
        <v>603</v>
      </c>
      <c r="E46" s="3" t="s">
        <v>609</v>
      </c>
      <c r="F46" s="1" t="s">
        <v>299</v>
      </c>
    </row>
    <row r="47" spans="1:10" s="1" customFormat="1">
      <c r="A47" s="1" t="s">
        <v>586</v>
      </c>
      <c r="B47" s="1" t="s">
        <v>593</v>
      </c>
      <c r="C47" s="1" t="s">
        <v>300</v>
      </c>
      <c r="D47" s="1" t="s">
        <v>603</v>
      </c>
      <c r="E47" s="3" t="s">
        <v>609</v>
      </c>
      <c r="F47" s="1" t="s">
        <v>301</v>
      </c>
    </row>
    <row r="48" spans="1:10" s="1" customFormat="1">
      <c r="A48" s="1" t="s">
        <v>586</v>
      </c>
      <c r="B48" s="1" t="s">
        <v>593</v>
      </c>
      <c r="C48" s="1" t="s">
        <v>302</v>
      </c>
      <c r="D48" s="1" t="s">
        <v>603</v>
      </c>
      <c r="E48" s="3" t="s">
        <v>609</v>
      </c>
      <c r="F48" s="1" t="s">
        <v>303</v>
      </c>
    </row>
    <row r="49" spans="1:6" s="1" customFormat="1">
      <c r="A49" s="1" t="s">
        <v>586</v>
      </c>
      <c r="B49" s="1" t="s">
        <v>593</v>
      </c>
      <c r="C49" s="1" t="s">
        <v>304</v>
      </c>
      <c r="D49" s="1" t="s">
        <v>603</v>
      </c>
      <c r="E49" s="3" t="s">
        <v>609</v>
      </c>
      <c r="F49" s="1" t="s">
        <v>305</v>
      </c>
    </row>
    <row r="50" spans="1:6" s="1" customFormat="1">
      <c r="A50" s="1" t="s">
        <v>586</v>
      </c>
      <c r="B50" s="1" t="s">
        <v>593</v>
      </c>
      <c r="C50" s="1" t="s">
        <v>306</v>
      </c>
      <c r="D50" s="1" t="s">
        <v>603</v>
      </c>
      <c r="E50" s="3" t="s">
        <v>609</v>
      </c>
      <c r="F50" s="1" t="s">
        <v>307</v>
      </c>
    </row>
    <row r="51" spans="1:6" s="1" customFormat="1">
      <c r="A51" s="1" t="s">
        <v>586</v>
      </c>
      <c r="B51" s="1" t="s">
        <v>593</v>
      </c>
      <c r="C51" s="1" t="s">
        <v>308</v>
      </c>
      <c r="D51" s="1" t="s">
        <v>603</v>
      </c>
      <c r="E51" s="3" t="s">
        <v>609</v>
      </c>
      <c r="F51" s="1" t="s">
        <v>309</v>
      </c>
    </row>
    <row r="52" spans="1:6" s="1" customFormat="1">
      <c r="A52" s="1" t="s">
        <v>586</v>
      </c>
      <c r="B52" s="1" t="s">
        <v>594</v>
      </c>
      <c r="C52" s="1" t="s">
        <v>310</v>
      </c>
      <c r="D52" s="1" t="s">
        <v>603</v>
      </c>
      <c r="E52" s="3" t="s">
        <v>609</v>
      </c>
      <c r="F52" s="1" t="s">
        <v>311</v>
      </c>
    </row>
    <row r="53" spans="1:6" s="1" customFormat="1">
      <c r="A53" s="1" t="s">
        <v>586</v>
      </c>
      <c r="B53" s="1" t="s">
        <v>594</v>
      </c>
      <c r="C53" s="1" t="s">
        <v>312</v>
      </c>
      <c r="D53" s="1" t="s">
        <v>603</v>
      </c>
      <c r="E53" s="3" t="s">
        <v>609</v>
      </c>
      <c r="F53" s="1" t="s">
        <v>610</v>
      </c>
    </row>
    <row r="54" spans="1:6" s="1" customFormat="1">
      <c r="A54" s="1" t="s">
        <v>586</v>
      </c>
      <c r="B54" s="1" t="s">
        <v>594</v>
      </c>
      <c r="C54" s="1" t="s">
        <v>314</v>
      </c>
      <c r="D54" s="1" t="s">
        <v>603</v>
      </c>
      <c r="E54" s="3" t="s">
        <v>609</v>
      </c>
      <c r="F54" s="1" t="s">
        <v>315</v>
      </c>
    </row>
    <row r="55" spans="1:6" s="1" customFormat="1">
      <c r="A55" s="1" t="s">
        <v>586</v>
      </c>
      <c r="B55" s="1" t="s">
        <v>594</v>
      </c>
      <c r="C55" s="1" t="s">
        <v>316</v>
      </c>
      <c r="D55" s="1" t="s">
        <v>603</v>
      </c>
      <c r="E55" s="3" t="s">
        <v>609</v>
      </c>
      <c r="F55" s="1" t="s">
        <v>313</v>
      </c>
    </row>
    <row r="56" spans="1:6" s="1" customFormat="1">
      <c r="A56" s="1" t="s">
        <v>586</v>
      </c>
      <c r="B56" s="1" t="s">
        <v>594</v>
      </c>
      <c r="C56" s="1" t="s">
        <v>317</v>
      </c>
      <c r="D56" s="1" t="s">
        <v>603</v>
      </c>
      <c r="E56" s="3" t="s">
        <v>609</v>
      </c>
      <c r="F56" s="1" t="s">
        <v>318</v>
      </c>
    </row>
    <row r="57" spans="1:6" s="1" customFormat="1">
      <c r="A57" s="1" t="s">
        <v>586</v>
      </c>
      <c r="B57" s="1" t="s">
        <v>594</v>
      </c>
      <c r="C57" s="1" t="s">
        <v>319</v>
      </c>
      <c r="D57" s="1" t="s">
        <v>603</v>
      </c>
      <c r="E57" s="3" t="s">
        <v>609</v>
      </c>
      <c r="F57" s="1" t="s">
        <v>320</v>
      </c>
    </row>
    <row r="58" spans="1:6" s="1" customFormat="1">
      <c r="A58" s="1" t="s">
        <v>158</v>
      </c>
      <c r="B58" s="1" t="s">
        <v>594</v>
      </c>
      <c r="C58" s="1" t="s">
        <v>321</v>
      </c>
      <c r="D58" s="1" t="s">
        <v>215</v>
      </c>
      <c r="E58" s="3" t="s">
        <v>216</v>
      </c>
      <c r="F58" s="1" t="s">
        <v>322</v>
      </c>
    </row>
    <row r="59" spans="1:6" s="1" customFormat="1">
      <c r="A59" s="1" t="s">
        <v>587</v>
      </c>
      <c r="B59" s="1" t="s">
        <v>591</v>
      </c>
      <c r="C59" s="1" t="s">
        <v>323</v>
      </c>
      <c r="D59" s="1" t="s">
        <v>604</v>
      </c>
      <c r="E59" s="3" t="s">
        <v>325</v>
      </c>
      <c r="F59" s="1" t="s">
        <v>611</v>
      </c>
    </row>
    <row r="60" spans="1:6" s="1" customFormat="1">
      <c r="A60" s="1" t="s">
        <v>587</v>
      </c>
      <c r="B60" s="1" t="s">
        <v>591</v>
      </c>
      <c r="C60" s="1" t="s">
        <v>327</v>
      </c>
      <c r="D60" s="1" t="s">
        <v>604</v>
      </c>
      <c r="E60" s="3" t="s">
        <v>328</v>
      </c>
      <c r="F60" s="1" t="s">
        <v>611</v>
      </c>
    </row>
    <row r="61" spans="1:6" s="1" customFormat="1">
      <c r="A61" s="1" t="s">
        <v>587</v>
      </c>
      <c r="B61" s="1" t="s">
        <v>591</v>
      </c>
      <c r="C61" s="1" t="s">
        <v>329</v>
      </c>
      <c r="D61" s="1" t="s">
        <v>604</v>
      </c>
      <c r="E61" s="3" t="s">
        <v>330</v>
      </c>
      <c r="F61" s="1" t="s">
        <v>326</v>
      </c>
    </row>
    <row r="62" spans="1:6" s="1" customFormat="1">
      <c r="A62" s="1" t="s">
        <v>587</v>
      </c>
      <c r="B62" s="1" t="s">
        <v>591</v>
      </c>
      <c r="C62" s="1" t="s">
        <v>331</v>
      </c>
      <c r="D62" s="1" t="s">
        <v>604</v>
      </c>
      <c r="E62" s="3" t="s">
        <v>332</v>
      </c>
      <c r="F62" s="1" t="s">
        <v>333</v>
      </c>
    </row>
    <row r="63" spans="1:6" s="1" customFormat="1">
      <c r="A63" s="1" t="s">
        <v>587</v>
      </c>
      <c r="B63" s="1" t="s">
        <v>591</v>
      </c>
      <c r="C63" s="1" t="s">
        <v>334</v>
      </c>
      <c r="D63" s="1" t="s">
        <v>604</v>
      </c>
      <c r="E63" s="3" t="s">
        <v>335</v>
      </c>
      <c r="F63" s="1" t="s">
        <v>336</v>
      </c>
    </row>
    <row r="64" spans="1:6" s="1" customFormat="1">
      <c r="A64" s="1" t="s">
        <v>587</v>
      </c>
      <c r="B64" s="1" t="s">
        <v>591</v>
      </c>
      <c r="C64" s="1" t="s">
        <v>337</v>
      </c>
      <c r="D64" s="1" t="s">
        <v>604</v>
      </c>
      <c r="E64" s="3" t="s">
        <v>338</v>
      </c>
      <c r="F64" s="1" t="s">
        <v>339</v>
      </c>
    </row>
    <row r="65" spans="1:6" s="1" customFormat="1">
      <c r="A65" s="1" t="s">
        <v>587</v>
      </c>
      <c r="B65" s="1" t="s">
        <v>591</v>
      </c>
      <c r="C65" s="1" t="s">
        <v>340</v>
      </c>
      <c r="D65" s="1" t="s">
        <v>604</v>
      </c>
      <c r="E65" s="3" t="s">
        <v>341</v>
      </c>
      <c r="F65" s="1" t="s">
        <v>342</v>
      </c>
    </row>
    <row r="66" spans="1:6" s="1" customFormat="1">
      <c r="A66" s="1" t="s">
        <v>587</v>
      </c>
      <c r="B66" s="1" t="s">
        <v>591</v>
      </c>
      <c r="C66" s="1" t="s">
        <v>343</v>
      </c>
      <c r="D66" s="1" t="s">
        <v>604</v>
      </c>
      <c r="E66" s="3" t="s">
        <v>344</v>
      </c>
      <c r="F66" s="1" t="s">
        <v>345</v>
      </c>
    </row>
    <row r="67" spans="1:6" s="1" customFormat="1">
      <c r="A67" s="1" t="s">
        <v>587</v>
      </c>
      <c r="B67" s="1" t="s">
        <v>591</v>
      </c>
      <c r="C67" s="1" t="s">
        <v>346</v>
      </c>
      <c r="D67" s="1" t="s">
        <v>604</v>
      </c>
      <c r="E67" s="3" t="s">
        <v>347</v>
      </c>
      <c r="F67" s="1" t="s">
        <v>348</v>
      </c>
    </row>
    <row r="68" spans="1:6" s="1" customFormat="1">
      <c r="A68" s="1" t="s">
        <v>587</v>
      </c>
      <c r="B68" s="1" t="s">
        <v>591</v>
      </c>
      <c r="C68" s="1" t="s">
        <v>349</v>
      </c>
      <c r="D68" s="1" t="s">
        <v>604</v>
      </c>
      <c r="E68" s="3" t="s">
        <v>350</v>
      </c>
      <c r="F68" s="1" t="s">
        <v>351</v>
      </c>
    </row>
    <row r="69" spans="1:6" s="1" customFormat="1">
      <c r="A69" s="1" t="s">
        <v>587</v>
      </c>
      <c r="B69" s="1" t="s">
        <v>591</v>
      </c>
      <c r="C69" s="1" t="s">
        <v>352</v>
      </c>
      <c r="D69" s="1" t="s">
        <v>604</v>
      </c>
      <c r="E69" s="3" t="s">
        <v>353</v>
      </c>
      <c r="F69" s="1" t="s">
        <v>354</v>
      </c>
    </row>
    <row r="70" spans="1:6" s="1" customFormat="1">
      <c r="A70" s="1" t="s">
        <v>587</v>
      </c>
      <c r="B70" s="1" t="s">
        <v>591</v>
      </c>
      <c r="C70" s="1" t="s">
        <v>355</v>
      </c>
      <c r="D70" s="1" t="s">
        <v>604</v>
      </c>
      <c r="E70" s="3" t="s">
        <v>356</v>
      </c>
      <c r="F70" s="1" t="s">
        <v>357</v>
      </c>
    </row>
    <row r="71" spans="1:6" s="1" customFormat="1">
      <c r="A71" s="1" t="s">
        <v>587</v>
      </c>
      <c r="B71" s="1" t="s">
        <v>591</v>
      </c>
      <c r="C71" s="1" t="s">
        <v>358</v>
      </c>
      <c r="D71" s="1" t="s">
        <v>604</v>
      </c>
      <c r="E71" s="3" t="s">
        <v>359</v>
      </c>
      <c r="F71" s="1" t="s">
        <v>360</v>
      </c>
    </row>
    <row r="72" spans="1:6" s="1" customFormat="1">
      <c r="A72" s="1" t="s">
        <v>587</v>
      </c>
      <c r="B72" s="1" t="s">
        <v>591</v>
      </c>
      <c r="C72" s="1" t="s">
        <v>361</v>
      </c>
      <c r="D72" s="1" t="s">
        <v>604</v>
      </c>
      <c r="E72" s="3" t="s">
        <v>362</v>
      </c>
      <c r="F72" s="1" t="s">
        <v>363</v>
      </c>
    </row>
    <row r="73" spans="1:6" s="1" customFormat="1">
      <c r="A73" s="1" t="s">
        <v>587</v>
      </c>
      <c r="B73" s="1" t="s">
        <v>591</v>
      </c>
      <c r="C73" s="1" t="s">
        <v>364</v>
      </c>
      <c r="D73" s="1" t="s">
        <v>324</v>
      </c>
      <c r="E73" s="3" t="s">
        <v>365</v>
      </c>
      <c r="F73" s="1" t="s">
        <v>366</v>
      </c>
    </row>
    <row r="74" spans="1:6" s="1" customFormat="1">
      <c r="A74" s="1" t="s">
        <v>587</v>
      </c>
      <c r="B74" s="1" t="s">
        <v>595</v>
      </c>
      <c r="C74" s="1" t="s">
        <v>602</v>
      </c>
      <c r="D74" s="1" t="s">
        <v>605</v>
      </c>
      <c r="E74" s="3" t="s">
        <v>369</v>
      </c>
      <c r="F74" s="1" t="s">
        <v>370</v>
      </c>
    </row>
    <row r="75" spans="1:6" s="1" customFormat="1">
      <c r="A75" s="1" t="s">
        <v>587</v>
      </c>
      <c r="B75" s="1" t="s">
        <v>596</v>
      </c>
      <c r="C75" s="1" t="s">
        <v>371</v>
      </c>
      <c r="D75" s="1" t="s">
        <v>605</v>
      </c>
      <c r="E75" s="3" t="s">
        <v>372</v>
      </c>
      <c r="F75" s="1" t="s">
        <v>612</v>
      </c>
    </row>
    <row r="76" spans="1:6" s="1" customFormat="1">
      <c r="A76" s="1" t="s">
        <v>587</v>
      </c>
      <c r="B76" s="1" t="s">
        <v>597</v>
      </c>
      <c r="C76" s="1" t="s">
        <v>367</v>
      </c>
      <c r="D76" s="1" t="s">
        <v>605</v>
      </c>
      <c r="E76" s="3" t="s">
        <v>374</v>
      </c>
      <c r="F76" s="1" t="s">
        <v>373</v>
      </c>
    </row>
    <row r="77" spans="1:6" s="1" customFormat="1">
      <c r="A77" s="1" t="s">
        <v>160</v>
      </c>
      <c r="B77" s="1" t="s">
        <v>591</v>
      </c>
      <c r="C77" s="207" t="s">
        <v>618</v>
      </c>
      <c r="D77" s="1" t="s">
        <v>368</v>
      </c>
      <c r="E77" s="3" t="s">
        <v>375</v>
      </c>
      <c r="F77" s="1" t="s">
        <v>376</v>
      </c>
    </row>
    <row r="78" spans="1:6" s="1" customFormat="1">
      <c r="A78" s="1" t="s">
        <v>588</v>
      </c>
      <c r="B78" s="1" t="s">
        <v>591</v>
      </c>
      <c r="C78" s="1" t="s">
        <v>378</v>
      </c>
      <c r="D78" s="1" t="s">
        <v>606</v>
      </c>
      <c r="E78" s="3" t="s">
        <v>380</v>
      </c>
      <c r="F78" s="1" t="s">
        <v>381</v>
      </c>
    </row>
    <row r="79" spans="1:6" s="1" customFormat="1" ht="15.75" customHeight="1">
      <c r="A79" s="1" t="s">
        <v>588</v>
      </c>
      <c r="B79" s="1" t="s">
        <v>591</v>
      </c>
      <c r="C79" s="1" t="s">
        <v>382</v>
      </c>
      <c r="D79" s="1" t="s">
        <v>606</v>
      </c>
      <c r="E79" s="3" t="s">
        <v>383</v>
      </c>
      <c r="F79" s="1" t="s">
        <v>384</v>
      </c>
    </row>
    <row r="80" spans="1:6" s="1" customFormat="1">
      <c r="A80" s="1" t="s">
        <v>588</v>
      </c>
      <c r="B80" s="1" t="s">
        <v>213</v>
      </c>
      <c r="C80" s="1" t="s">
        <v>385</v>
      </c>
      <c r="D80" s="1" t="s">
        <v>606</v>
      </c>
      <c r="E80" s="3" t="s">
        <v>386</v>
      </c>
      <c r="F80" s="1" t="s">
        <v>387</v>
      </c>
    </row>
    <row r="81" spans="1:8" s="1" customFormat="1">
      <c r="A81" s="1" t="s">
        <v>588</v>
      </c>
      <c r="B81" s="1" t="s">
        <v>598</v>
      </c>
      <c r="C81" s="1" t="s">
        <v>388</v>
      </c>
      <c r="D81" s="1" t="s">
        <v>606</v>
      </c>
      <c r="E81" s="3" t="s">
        <v>389</v>
      </c>
      <c r="F81" s="1" t="s">
        <v>390</v>
      </c>
      <c r="H81" s="1" t="s">
        <v>391</v>
      </c>
    </row>
    <row r="82" spans="1:8" s="1" customFormat="1">
      <c r="A82" s="1" t="s">
        <v>588</v>
      </c>
      <c r="B82" s="1" t="s">
        <v>598</v>
      </c>
      <c r="C82" s="1" t="s">
        <v>392</v>
      </c>
      <c r="D82" s="1" t="s">
        <v>606</v>
      </c>
      <c r="E82" s="3" t="s">
        <v>393</v>
      </c>
      <c r="F82" s="207" t="s">
        <v>619</v>
      </c>
      <c r="H82" s="207" t="s">
        <v>620</v>
      </c>
    </row>
    <row r="83" spans="1:8" s="1" customFormat="1">
      <c r="A83" s="1" t="s">
        <v>588</v>
      </c>
      <c r="B83" s="1" t="s">
        <v>598</v>
      </c>
      <c r="C83" s="1" t="s">
        <v>394</v>
      </c>
      <c r="D83" s="1" t="s">
        <v>606</v>
      </c>
      <c r="E83" s="3" t="s">
        <v>395</v>
      </c>
      <c r="F83" s="1" t="s">
        <v>396</v>
      </c>
      <c r="H83" s="1" t="s">
        <v>397</v>
      </c>
    </row>
    <row r="84" spans="1:8" s="1" customFormat="1">
      <c r="A84" s="1" t="s">
        <v>588</v>
      </c>
      <c r="B84" s="1" t="s">
        <v>598</v>
      </c>
      <c r="C84" s="1" t="s">
        <v>398</v>
      </c>
      <c r="D84" s="1" t="s">
        <v>606</v>
      </c>
      <c r="E84" s="3" t="s">
        <v>399</v>
      </c>
      <c r="F84" s="1" t="s">
        <v>400</v>
      </c>
      <c r="H84" s="1" t="s">
        <v>401</v>
      </c>
    </row>
    <row r="85" spans="1:8" s="1" customFormat="1">
      <c r="A85" s="1" t="s">
        <v>588</v>
      </c>
      <c r="B85" s="1" t="s">
        <v>598</v>
      </c>
      <c r="C85" s="1" t="s">
        <v>402</v>
      </c>
      <c r="D85" s="1" t="s">
        <v>606</v>
      </c>
      <c r="E85" s="3" t="s">
        <v>403</v>
      </c>
      <c r="F85" s="1" t="s">
        <v>404</v>
      </c>
      <c r="H85" s="1" t="s">
        <v>405</v>
      </c>
    </row>
    <row r="86" spans="1:8" s="1" customFormat="1">
      <c r="A86" s="1" t="s">
        <v>588</v>
      </c>
      <c r="B86" s="1" t="s">
        <v>598</v>
      </c>
      <c r="C86" s="1" t="s">
        <v>406</v>
      </c>
      <c r="D86" s="1" t="s">
        <v>606</v>
      </c>
      <c r="E86" s="3" t="s">
        <v>407</v>
      </c>
      <c r="F86" s="1" t="s">
        <v>408</v>
      </c>
      <c r="H86" s="1" t="s">
        <v>409</v>
      </c>
    </row>
    <row r="87" spans="1:8" s="1" customFormat="1">
      <c r="A87" s="1" t="s">
        <v>588</v>
      </c>
      <c r="B87" s="1" t="s">
        <v>598</v>
      </c>
      <c r="C87" s="1" t="s">
        <v>410</v>
      </c>
      <c r="D87" s="1" t="s">
        <v>606</v>
      </c>
      <c r="E87" s="3" t="s">
        <v>411</v>
      </c>
      <c r="F87" s="1" t="s">
        <v>412</v>
      </c>
      <c r="H87" s="1" t="s">
        <v>413</v>
      </c>
    </row>
    <row r="88" spans="1:8" s="1" customFormat="1">
      <c r="A88" s="1" t="s">
        <v>588</v>
      </c>
      <c r="B88" s="1" t="s">
        <v>598</v>
      </c>
      <c r="C88" s="1" t="s">
        <v>414</v>
      </c>
      <c r="D88" s="1" t="s">
        <v>606</v>
      </c>
      <c r="E88" s="3" t="s">
        <v>415</v>
      </c>
      <c r="F88" s="207" t="s">
        <v>621</v>
      </c>
      <c r="H88" s="207" t="s">
        <v>622</v>
      </c>
    </row>
    <row r="89" spans="1:8" s="1" customFormat="1">
      <c r="A89" s="1" t="s">
        <v>377</v>
      </c>
      <c r="B89" s="1" t="s">
        <v>598</v>
      </c>
      <c r="C89" s="1" t="s">
        <v>416</v>
      </c>
      <c r="D89" s="1" t="s">
        <v>379</v>
      </c>
      <c r="E89" s="3" t="s">
        <v>417</v>
      </c>
      <c r="F89" s="207" t="s">
        <v>623</v>
      </c>
      <c r="H89" s="207" t="s">
        <v>624</v>
      </c>
    </row>
    <row r="90" spans="1:8" s="1" customFormat="1">
      <c r="A90" s="1" t="s">
        <v>589</v>
      </c>
      <c r="B90" s="1" t="s">
        <v>599</v>
      </c>
      <c r="C90" s="1" t="s">
        <v>419</v>
      </c>
      <c r="D90" s="1" t="s">
        <v>607</v>
      </c>
      <c r="E90" s="121" t="s">
        <v>421</v>
      </c>
      <c r="F90" s="1" t="s">
        <v>422</v>
      </c>
    </row>
    <row r="91" spans="1:8" s="1" customFormat="1">
      <c r="A91" s="1" t="s">
        <v>589</v>
      </c>
      <c r="B91" s="1" t="s">
        <v>418</v>
      </c>
      <c r="C91" s="1" t="s">
        <v>423</v>
      </c>
      <c r="D91" s="1" t="s">
        <v>607</v>
      </c>
      <c r="E91" s="121" t="s">
        <v>424</v>
      </c>
      <c r="F91" s="1" t="s">
        <v>425</v>
      </c>
    </row>
    <row r="92" spans="1:8" s="1" customFormat="1">
      <c r="A92" s="1" t="s">
        <v>589</v>
      </c>
      <c r="B92" s="1" t="s">
        <v>600</v>
      </c>
      <c r="C92" s="1" t="s">
        <v>427</v>
      </c>
      <c r="D92" s="1" t="s">
        <v>607</v>
      </c>
      <c r="E92" s="121" t="s">
        <v>428</v>
      </c>
      <c r="F92" s="1" t="s">
        <v>429</v>
      </c>
    </row>
    <row r="93" spans="1:8" s="1" customFormat="1">
      <c r="A93" s="1" t="s">
        <v>589</v>
      </c>
      <c r="B93" s="1" t="s">
        <v>600</v>
      </c>
      <c r="C93" s="1" t="s">
        <v>430</v>
      </c>
      <c r="D93" s="1" t="s">
        <v>607</v>
      </c>
      <c r="E93" s="121" t="s">
        <v>431</v>
      </c>
      <c r="F93" s="1" t="s">
        <v>432</v>
      </c>
    </row>
    <row r="94" spans="1:8" s="1" customFormat="1">
      <c r="A94" s="1" t="s">
        <v>589</v>
      </c>
      <c r="B94" s="1" t="s">
        <v>600</v>
      </c>
      <c r="C94" s="1" t="s">
        <v>433</v>
      </c>
      <c r="D94" s="1" t="s">
        <v>607</v>
      </c>
      <c r="E94" s="121" t="s">
        <v>434</v>
      </c>
      <c r="F94" s="1" t="s">
        <v>435</v>
      </c>
    </row>
    <row r="95" spans="1:8" s="1" customFormat="1">
      <c r="A95" s="1" t="s">
        <v>589</v>
      </c>
      <c r="B95" s="1" t="s">
        <v>600</v>
      </c>
      <c r="C95" s="1" t="s">
        <v>436</v>
      </c>
      <c r="D95" s="1" t="s">
        <v>607</v>
      </c>
      <c r="E95" s="121" t="s">
        <v>437</v>
      </c>
      <c r="F95" s="1" t="s">
        <v>438</v>
      </c>
    </row>
    <row r="96" spans="1:8" s="1" customFormat="1">
      <c r="A96" s="1" t="s">
        <v>589</v>
      </c>
      <c r="B96" s="1" t="s">
        <v>600</v>
      </c>
      <c r="C96" s="1" t="s">
        <v>439</v>
      </c>
      <c r="D96" s="1" t="s">
        <v>607</v>
      </c>
      <c r="E96" s="121" t="s">
        <v>440</v>
      </c>
      <c r="F96" s="1" t="s">
        <v>441</v>
      </c>
    </row>
    <row r="97" spans="1:6" s="1" customFormat="1">
      <c r="A97" s="1" t="s">
        <v>589</v>
      </c>
      <c r="B97" s="1" t="s">
        <v>600</v>
      </c>
      <c r="C97" s="1" t="s">
        <v>442</v>
      </c>
      <c r="D97" s="1" t="s">
        <v>607</v>
      </c>
      <c r="E97" s="121" t="s">
        <v>443</v>
      </c>
      <c r="F97" s="1" t="s">
        <v>444</v>
      </c>
    </row>
    <row r="98" spans="1:6" s="1" customFormat="1">
      <c r="A98" s="1" t="s">
        <v>589</v>
      </c>
      <c r="B98" s="1" t="s">
        <v>600</v>
      </c>
      <c r="C98" s="1" t="s">
        <v>445</v>
      </c>
      <c r="D98" s="1" t="s">
        <v>607</v>
      </c>
      <c r="E98" s="121" t="s">
        <v>446</v>
      </c>
      <c r="F98" s="1" t="s">
        <v>447</v>
      </c>
    </row>
    <row r="99" spans="1:6" s="1" customFormat="1">
      <c r="A99" s="1" t="s">
        <v>589</v>
      </c>
      <c r="B99" s="1" t="s">
        <v>600</v>
      </c>
      <c r="C99" s="1" t="s">
        <v>448</v>
      </c>
      <c r="D99" s="1" t="s">
        <v>607</v>
      </c>
      <c r="E99" s="121" t="s">
        <v>449</v>
      </c>
      <c r="F99" s="1" t="s">
        <v>450</v>
      </c>
    </row>
    <row r="100" spans="1:6" s="1" customFormat="1">
      <c r="A100" s="1" t="s">
        <v>589</v>
      </c>
      <c r="B100" s="1" t="s">
        <v>426</v>
      </c>
      <c r="C100" s="1" t="s">
        <v>451</v>
      </c>
      <c r="D100" s="1" t="s">
        <v>608</v>
      </c>
      <c r="E100" s="121" t="s">
        <v>453</v>
      </c>
      <c r="F100" s="1" t="s">
        <v>454</v>
      </c>
    </row>
    <row r="101" spans="1:6" s="1" customFormat="1">
      <c r="A101" s="1" t="s">
        <v>589</v>
      </c>
      <c r="B101" s="1" t="s">
        <v>601</v>
      </c>
      <c r="C101" s="1" t="s">
        <v>456</v>
      </c>
      <c r="D101" s="1" t="s">
        <v>452</v>
      </c>
      <c r="E101" s="121" t="s">
        <v>457</v>
      </c>
      <c r="F101" s="1" t="s">
        <v>458</v>
      </c>
    </row>
    <row r="102" spans="1:6" s="1" customFormat="1">
      <c r="A102" s="1" t="s">
        <v>159</v>
      </c>
      <c r="B102" s="1" t="s">
        <v>455</v>
      </c>
      <c r="C102" s="1" t="s">
        <v>459</v>
      </c>
      <c r="D102" s="1" t="s">
        <v>420</v>
      </c>
      <c r="E102" s="121" t="s">
        <v>460</v>
      </c>
      <c r="F102" s="1" t="s">
        <v>461</v>
      </c>
    </row>
  </sheetData>
  <hyperlinks>
    <hyperlink ref="A1" location="'Table of Contents'!A1" display="Return to Table of Contents" xr:uid="{00000000-0004-0000-0E00-000000000000}"/>
    <hyperlink ref="E15" r:id="rId1" xr:uid="{00000000-0004-0000-0E00-000001000000}"/>
    <hyperlink ref="E16:E37" r:id="rId2" display="http://apolo.creg.gov.co/Publicac.nsf/Documentos-Resoluciones?openview=" xr:uid="{00000000-0004-0000-0E00-000002000000}"/>
    <hyperlink ref="E9" r:id="rId3" xr:uid="{00000000-0004-0000-0E00-000003000000}"/>
    <hyperlink ref="E59" r:id="rId4" xr:uid="{00000000-0004-0000-0E00-000004000000}"/>
    <hyperlink ref="E60" r:id="rId5" xr:uid="{00000000-0004-0000-0E00-000005000000}"/>
    <hyperlink ref="E61" r:id="rId6" xr:uid="{00000000-0004-0000-0E00-000006000000}"/>
    <hyperlink ref="E62" r:id="rId7" xr:uid="{00000000-0004-0000-0E00-000007000000}"/>
    <hyperlink ref="E63" r:id="rId8" xr:uid="{00000000-0004-0000-0E00-000008000000}"/>
    <hyperlink ref="E65" r:id="rId9" xr:uid="{00000000-0004-0000-0E00-000009000000}"/>
    <hyperlink ref="E64" r:id="rId10" xr:uid="{00000000-0004-0000-0E00-00000A000000}"/>
    <hyperlink ref="E67" r:id="rId11" xr:uid="{00000000-0004-0000-0E00-00000B000000}"/>
    <hyperlink ref="E66" r:id="rId12" xr:uid="{00000000-0004-0000-0E00-00000C000000}"/>
    <hyperlink ref="E68" r:id="rId13" xr:uid="{00000000-0004-0000-0E00-00000D000000}"/>
    <hyperlink ref="E69" r:id="rId14" xr:uid="{00000000-0004-0000-0E00-00000E000000}"/>
    <hyperlink ref="E70" r:id="rId15" xr:uid="{00000000-0004-0000-0E00-00000F000000}"/>
    <hyperlink ref="E71" r:id="rId16" xr:uid="{00000000-0004-0000-0E00-000010000000}"/>
    <hyperlink ref="E72" r:id="rId17" xr:uid="{00000000-0004-0000-0E00-000011000000}"/>
    <hyperlink ref="E73" r:id="rId18" xr:uid="{00000000-0004-0000-0E00-000012000000}"/>
    <hyperlink ref="E74" r:id="rId19" xr:uid="{00000000-0004-0000-0E00-000013000000}"/>
    <hyperlink ref="E75" r:id="rId20" xr:uid="{00000000-0004-0000-0E00-000014000000}"/>
    <hyperlink ref="E76" r:id="rId21" xr:uid="{00000000-0004-0000-0E00-000015000000}"/>
    <hyperlink ref="E77" r:id="rId22" xr:uid="{00000000-0004-0000-0E00-000016000000}"/>
    <hyperlink ref="E81" r:id="rId23" xr:uid="{00000000-0004-0000-0E00-000017000000}"/>
    <hyperlink ref="E79" r:id="rId24" xr:uid="{00000000-0004-0000-0E00-000018000000}"/>
    <hyperlink ref="E5" r:id="rId25" xr:uid="{00000000-0004-0000-0E00-000019000000}"/>
    <hyperlink ref="E12" r:id="rId26" xr:uid="{00000000-0004-0000-0E00-00001A000000}"/>
    <hyperlink ref="E14" r:id="rId27" xr:uid="{00000000-0004-0000-0E00-00001B000000}"/>
    <hyperlink ref="E38" r:id="rId28" xr:uid="{00000000-0004-0000-0E00-00001C000000}"/>
    <hyperlink ref="E26" r:id="rId29" xr:uid="{00000000-0004-0000-0E00-00001D000000}"/>
    <hyperlink ref="E25" r:id="rId30" xr:uid="{00000000-0004-0000-0E00-00001E000000}"/>
    <hyperlink ref="E6" r:id="rId31" xr:uid="{00000000-0004-0000-0E00-00001F000000}"/>
    <hyperlink ref="E7" r:id="rId32" xr:uid="{00000000-0004-0000-0E00-000020000000}"/>
    <hyperlink ref="E8" r:id="rId33" xr:uid="{00000000-0004-0000-0E00-000021000000}"/>
    <hyperlink ref="E11" r:id="rId34" xr:uid="{00000000-0004-0000-0E00-000022000000}"/>
    <hyperlink ref="E10" r:id="rId35" xr:uid="{00000000-0004-0000-0E00-000023000000}"/>
    <hyperlink ref="E13" r:id="rId36" xr:uid="{00000000-0004-0000-0E00-000024000000}"/>
    <hyperlink ref="E40" r:id="rId37" xr:uid="{00000000-0004-0000-0E00-000025000000}"/>
    <hyperlink ref="E41" r:id="rId38" xr:uid="{00000000-0004-0000-0E00-000026000000}"/>
    <hyperlink ref="E42" r:id="rId39" xr:uid="{00000000-0004-0000-0E00-000027000000}"/>
    <hyperlink ref="E45" r:id="rId40" xr:uid="{00000000-0004-0000-0E00-000028000000}"/>
    <hyperlink ref="E46" r:id="rId41" xr:uid="{00000000-0004-0000-0E00-000029000000}"/>
    <hyperlink ref="E48" r:id="rId42" xr:uid="{00000000-0004-0000-0E00-00002A000000}"/>
    <hyperlink ref="E52" r:id="rId43" xr:uid="{00000000-0004-0000-0E00-00002B000000}"/>
    <hyperlink ref="E53" r:id="rId44" xr:uid="{00000000-0004-0000-0E00-00002C000000}"/>
    <hyperlink ref="E54" r:id="rId45" xr:uid="{00000000-0004-0000-0E00-00002D000000}"/>
    <hyperlink ref="E55" r:id="rId46" xr:uid="{00000000-0004-0000-0E00-00002E000000}"/>
    <hyperlink ref="E56" r:id="rId47" xr:uid="{00000000-0004-0000-0E00-00002F000000}"/>
    <hyperlink ref="E57" r:id="rId48" xr:uid="{00000000-0004-0000-0E00-000030000000}"/>
    <hyperlink ref="E58" r:id="rId49" xr:uid="{00000000-0004-0000-0E00-000031000000}"/>
    <hyperlink ref="E96" r:id="rId50" xr:uid="{00000000-0004-0000-0E00-000032000000}"/>
    <hyperlink ref="E99" r:id="rId51" xr:uid="{00000000-0004-0000-0E00-000033000000}"/>
  </hyperlinks>
  <pageMargins left="0.7" right="0.7" top="0.75" bottom="0.75" header="0.3" footer="0.3"/>
  <pageSetup orientation="portrait"/>
  <customProperties>
    <customPr name="_pios_id" r:id="rId52"/>
    <customPr name="EpmWorksheetKeyString_GUID" r:id="rId5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335E-E996-4727-AA6D-5E8F37BF0466}">
  <dimension ref="A1:AD31"/>
  <sheetViews>
    <sheetView showGridLines="0" zoomScale="70" zoomScaleNormal="70" workbookViewId="0">
      <pane xSplit="1" ySplit="5" topLeftCell="B22" activePane="bottomRight" state="frozen"/>
      <selection pane="topRight" activeCell="B1" sqref="B1"/>
      <selection pane="bottomLeft" activeCell="A5" sqref="A5"/>
      <selection pane="bottomRight" activeCell="C40" sqref="C40"/>
    </sheetView>
  </sheetViews>
  <sheetFormatPr baseColWidth="10" defaultColWidth="11.42578125" defaultRowHeight="15"/>
  <cols>
    <col min="1" max="1" width="11.42578125" style="135"/>
    <col min="2" max="2" width="26.140625" style="135" customWidth="1"/>
    <col min="3" max="3" width="163.140625" style="135" customWidth="1"/>
    <col min="4" max="4" width="52.5703125" style="135" customWidth="1"/>
    <col min="5" max="16384" width="11.42578125" style="135"/>
  </cols>
  <sheetData>
    <row r="1" spans="1:30">
      <c r="A1" s="3" t="s">
        <v>627</v>
      </c>
    </row>
    <row r="2" spans="1:30">
      <c r="A2" s="3"/>
    </row>
    <row r="3" spans="1:30">
      <c r="A3" s="3"/>
    </row>
    <row r="4" spans="1:30" s="116" customFormat="1" ht="26.25">
      <c r="A4" s="397" t="s">
        <v>998</v>
      </c>
      <c r="B4" s="396"/>
      <c r="C4" s="396"/>
      <c r="D4" s="396"/>
      <c r="E4" s="396"/>
      <c r="F4" s="396"/>
      <c r="G4" s="396"/>
      <c r="H4" s="396"/>
      <c r="I4" s="396"/>
      <c r="J4" s="396"/>
      <c r="K4" s="396"/>
      <c r="L4" s="396"/>
      <c r="M4" s="396"/>
      <c r="N4" s="396"/>
      <c r="O4" s="396"/>
      <c r="P4" s="396"/>
      <c r="Q4" s="396"/>
      <c r="R4" s="396"/>
      <c r="S4" s="396"/>
      <c r="T4" s="396"/>
      <c r="U4" s="396"/>
      <c r="V4" s="396"/>
      <c r="W4" s="396"/>
      <c r="X4" s="396"/>
      <c r="Y4" s="396"/>
      <c r="Z4" s="396"/>
      <c r="AA4" s="396"/>
      <c r="AB4" s="396"/>
      <c r="AC4" s="396"/>
      <c r="AD4" s="396"/>
    </row>
    <row r="5" spans="1:30" ht="19.5">
      <c r="A5" s="395" t="s">
        <v>995</v>
      </c>
      <c r="B5" s="394" t="s">
        <v>994</v>
      </c>
      <c r="C5" s="393" t="s">
        <v>1005</v>
      </c>
      <c r="D5" s="393" t="s">
        <v>1004</v>
      </c>
      <c r="E5" s="392"/>
      <c r="F5" s="392"/>
      <c r="G5" s="392"/>
      <c r="H5" s="392"/>
      <c r="I5" s="392"/>
      <c r="J5" s="392"/>
      <c r="K5" s="392"/>
      <c r="L5" s="392"/>
      <c r="M5" s="392"/>
      <c r="N5" s="391"/>
      <c r="O5" s="391"/>
      <c r="P5" s="391"/>
      <c r="Q5" s="391"/>
      <c r="R5" s="391"/>
      <c r="S5" s="391"/>
      <c r="T5" s="391"/>
      <c r="U5" s="391"/>
      <c r="V5" s="5"/>
      <c r="W5" s="5"/>
      <c r="X5" s="5"/>
      <c r="Y5" s="5"/>
      <c r="Z5" s="5"/>
      <c r="AA5" s="5"/>
      <c r="AB5" s="5"/>
      <c r="AC5" s="5"/>
      <c r="AD5" s="5"/>
    </row>
    <row r="6" spans="1:30" ht="15.75">
      <c r="A6" s="390" t="s">
        <v>993</v>
      </c>
      <c r="B6" s="302" t="s">
        <v>992</v>
      </c>
      <c r="C6" s="389" t="s">
        <v>991</v>
      </c>
      <c r="D6" s="302" t="s">
        <v>1002</v>
      </c>
      <c r="E6" s="5"/>
      <c r="F6" s="5"/>
      <c r="G6" s="5"/>
      <c r="H6" s="302"/>
      <c r="I6" s="302"/>
      <c r="J6" s="302"/>
      <c r="K6" s="302"/>
      <c r="L6" s="302"/>
      <c r="M6" s="302"/>
      <c r="N6" s="302"/>
      <c r="O6" s="302"/>
      <c r="P6" s="5"/>
      <c r="Q6" s="5"/>
      <c r="R6" s="5"/>
      <c r="S6" s="5"/>
      <c r="T6" s="5"/>
      <c r="U6" s="5"/>
      <c r="V6" s="5"/>
      <c r="W6" s="5"/>
      <c r="X6" s="5"/>
      <c r="Y6" s="5"/>
      <c r="Z6" s="5"/>
      <c r="AA6" s="5"/>
      <c r="AB6" s="5"/>
      <c r="AC6" s="5"/>
      <c r="AD6" s="5"/>
    </row>
    <row r="7" spans="1:30" ht="15.75">
      <c r="A7" s="5"/>
      <c r="B7" s="5"/>
      <c r="C7" s="389" t="s">
        <v>990</v>
      </c>
      <c r="D7" s="302" t="s">
        <v>999</v>
      </c>
      <c r="H7" s="5"/>
      <c r="I7" s="5"/>
      <c r="J7" s="5"/>
      <c r="K7" s="5"/>
      <c r="L7" s="5"/>
      <c r="M7" s="5"/>
      <c r="N7" s="5"/>
      <c r="O7" s="5"/>
      <c r="P7" s="5"/>
      <c r="Q7" s="5"/>
      <c r="R7" s="5"/>
      <c r="S7" s="5"/>
      <c r="T7" s="5"/>
      <c r="U7" s="5"/>
      <c r="V7" s="5"/>
      <c r="W7" s="5"/>
      <c r="X7" s="5"/>
      <c r="Y7" s="5"/>
      <c r="Z7" s="5"/>
      <c r="AA7" s="5"/>
      <c r="AB7" s="5"/>
      <c r="AC7" s="5"/>
      <c r="AD7" s="5"/>
    </row>
    <row r="8" spans="1:30" ht="15.75">
      <c r="A8" s="5"/>
      <c r="B8" s="5"/>
      <c r="C8" s="389"/>
      <c r="D8" s="302"/>
      <c r="H8" s="5"/>
      <c r="I8" s="5"/>
      <c r="J8" s="5"/>
      <c r="K8" s="5"/>
      <c r="L8" s="5"/>
      <c r="M8" s="5"/>
      <c r="N8" s="5"/>
      <c r="O8" s="5"/>
      <c r="P8" s="5"/>
      <c r="Q8" s="5"/>
      <c r="R8" s="5"/>
      <c r="S8" s="5"/>
      <c r="T8" s="5"/>
      <c r="U8" s="5"/>
      <c r="V8" s="5"/>
      <c r="W8" s="5"/>
      <c r="X8" s="5"/>
      <c r="Y8" s="5"/>
      <c r="Z8" s="5"/>
      <c r="AA8" s="5"/>
      <c r="AB8" s="5"/>
      <c r="AC8" s="5"/>
      <c r="AD8" s="5"/>
    </row>
    <row r="9" spans="1:30" ht="15.75">
      <c r="A9" s="390" t="s">
        <v>974</v>
      </c>
      <c r="B9" s="302" t="s">
        <v>989</v>
      </c>
      <c r="C9" s="389" t="s">
        <v>988</v>
      </c>
      <c r="D9" s="302" t="s">
        <v>1001</v>
      </c>
      <c r="G9" s="5"/>
      <c r="H9" s="302"/>
      <c r="I9" s="302"/>
      <c r="J9" s="302"/>
      <c r="K9" s="302"/>
      <c r="L9" s="302"/>
      <c r="M9" s="302"/>
      <c r="N9" s="302"/>
      <c r="O9" s="302"/>
      <c r="P9" s="5"/>
      <c r="Q9" s="5"/>
      <c r="R9" s="5"/>
      <c r="S9" s="5"/>
      <c r="T9" s="5"/>
      <c r="U9" s="5"/>
      <c r="V9" s="5"/>
      <c r="W9" s="5"/>
      <c r="X9" s="5"/>
      <c r="Y9" s="5"/>
      <c r="Z9" s="5"/>
      <c r="AA9" s="5"/>
      <c r="AB9" s="5"/>
      <c r="AC9" s="5"/>
      <c r="AD9" s="5"/>
    </row>
    <row r="10" spans="1:30" ht="15.75">
      <c r="A10" s="390"/>
      <c r="B10" s="5"/>
      <c r="C10" s="389" t="s">
        <v>987</v>
      </c>
      <c r="D10" s="302" t="s">
        <v>1000</v>
      </c>
      <c r="G10" s="5"/>
      <c r="H10" s="302"/>
      <c r="I10" s="302"/>
      <c r="J10" s="302"/>
      <c r="K10" s="302"/>
      <c r="L10" s="302"/>
      <c r="M10" s="302"/>
      <c r="N10" s="302"/>
      <c r="O10" s="302"/>
      <c r="P10" s="5"/>
      <c r="Q10" s="5"/>
      <c r="R10" s="5"/>
      <c r="S10" s="5"/>
      <c r="T10" s="5"/>
      <c r="U10" s="5"/>
      <c r="V10" s="5"/>
      <c r="W10" s="5"/>
      <c r="X10" s="5"/>
      <c r="Y10" s="5"/>
      <c r="Z10" s="5"/>
      <c r="AA10" s="5"/>
      <c r="AB10" s="5"/>
      <c r="AC10" s="5"/>
      <c r="AD10" s="5"/>
    </row>
    <row r="11" spans="1:30" ht="15.75">
      <c r="A11" s="390"/>
      <c r="B11" s="5"/>
      <c r="C11" s="389"/>
      <c r="D11" s="302"/>
      <c r="G11" s="5"/>
      <c r="H11" s="302"/>
      <c r="I11" s="302"/>
      <c r="J11" s="302"/>
      <c r="K11" s="302"/>
      <c r="L11" s="302"/>
      <c r="M11" s="302"/>
      <c r="N11" s="302"/>
      <c r="O11" s="302"/>
      <c r="P11" s="5"/>
      <c r="Q11" s="5"/>
      <c r="R11" s="5"/>
      <c r="S11" s="5"/>
      <c r="T11" s="5"/>
      <c r="U11" s="5"/>
      <c r="V11" s="5"/>
      <c r="W11" s="5"/>
      <c r="X11" s="5"/>
      <c r="Y11" s="5"/>
      <c r="Z11" s="5"/>
      <c r="AA11" s="5"/>
      <c r="AB11" s="5"/>
      <c r="AC11" s="5"/>
      <c r="AD11" s="5"/>
    </row>
    <row r="12" spans="1:30" ht="15.75">
      <c r="A12" s="390"/>
      <c r="B12" s="302" t="s">
        <v>986</v>
      </c>
      <c r="C12" s="389" t="s">
        <v>985</v>
      </c>
      <c r="D12" s="302" t="s">
        <v>1001</v>
      </c>
      <c r="G12" s="5"/>
      <c r="H12" s="302"/>
      <c r="I12" s="302"/>
      <c r="J12" s="302"/>
      <c r="K12" s="302"/>
      <c r="L12" s="302"/>
      <c r="M12" s="302"/>
      <c r="N12" s="302"/>
      <c r="O12" s="302"/>
      <c r="P12" s="5"/>
      <c r="Q12" s="5"/>
      <c r="R12" s="5"/>
      <c r="S12" s="5"/>
      <c r="T12" s="5"/>
      <c r="U12" s="5"/>
      <c r="V12" s="5"/>
      <c r="W12" s="5"/>
      <c r="X12" s="5"/>
      <c r="Y12" s="5"/>
      <c r="Z12" s="5"/>
      <c r="AA12" s="5"/>
      <c r="AB12" s="5"/>
      <c r="AC12" s="5"/>
      <c r="AD12" s="5"/>
    </row>
    <row r="13" spans="1:30" ht="15.75">
      <c r="A13" s="390"/>
      <c r="B13" s="5"/>
      <c r="C13" s="389" t="s">
        <v>984</v>
      </c>
      <c r="D13" s="302" t="s">
        <v>1000</v>
      </c>
      <c r="G13" s="5"/>
      <c r="H13" s="302"/>
      <c r="I13" s="302"/>
      <c r="J13" s="302"/>
      <c r="K13" s="302"/>
      <c r="L13" s="302"/>
      <c r="M13" s="302"/>
      <c r="N13" s="302"/>
      <c r="O13" s="302"/>
      <c r="P13" s="5"/>
      <c r="Q13" s="5"/>
      <c r="R13" s="5"/>
      <c r="S13" s="5"/>
      <c r="T13" s="5"/>
      <c r="U13" s="5"/>
      <c r="V13" s="5"/>
      <c r="W13" s="5"/>
      <c r="X13" s="5"/>
      <c r="Y13" s="5"/>
      <c r="Z13" s="5"/>
      <c r="AA13" s="5"/>
      <c r="AB13" s="5"/>
      <c r="AC13" s="5"/>
      <c r="AD13" s="5"/>
    </row>
    <row r="14" spans="1:30" ht="15.75">
      <c r="A14" s="390"/>
      <c r="B14" s="5"/>
      <c r="C14" s="389"/>
      <c r="D14" s="302"/>
      <c r="G14" s="5"/>
      <c r="H14" s="302"/>
      <c r="I14" s="302"/>
      <c r="J14" s="302"/>
      <c r="K14" s="302"/>
      <c r="L14" s="302"/>
      <c r="M14" s="302"/>
      <c r="N14" s="302"/>
      <c r="O14" s="302"/>
      <c r="P14" s="5"/>
      <c r="Q14" s="5"/>
      <c r="R14" s="5"/>
      <c r="S14" s="5"/>
      <c r="T14" s="5"/>
      <c r="U14" s="5"/>
      <c r="V14" s="5"/>
      <c r="W14" s="5"/>
      <c r="X14" s="5"/>
      <c r="Y14" s="5"/>
      <c r="Z14" s="5"/>
      <c r="AA14" s="5"/>
      <c r="AB14" s="5"/>
      <c r="AC14" s="5"/>
      <c r="AD14" s="5"/>
    </row>
    <row r="15" spans="1:30" ht="15.75">
      <c r="A15" s="390"/>
      <c r="B15" s="302" t="s">
        <v>983</v>
      </c>
      <c r="C15" s="389" t="s">
        <v>982</v>
      </c>
      <c r="D15" s="302" t="s">
        <v>1001</v>
      </c>
      <c r="G15" s="5"/>
      <c r="H15" s="302"/>
      <c r="I15" s="302"/>
      <c r="J15" s="302"/>
      <c r="K15" s="302"/>
      <c r="L15" s="302"/>
      <c r="M15" s="302"/>
      <c r="N15" s="302"/>
      <c r="O15" s="302"/>
      <c r="P15" s="5"/>
      <c r="Q15" s="5"/>
      <c r="R15" s="5"/>
      <c r="S15" s="5"/>
      <c r="T15" s="5"/>
      <c r="U15" s="5"/>
      <c r="V15" s="5"/>
      <c r="W15" s="5"/>
      <c r="X15" s="5"/>
      <c r="Y15" s="5"/>
      <c r="Z15" s="5"/>
      <c r="AA15" s="5"/>
      <c r="AB15" s="5"/>
      <c r="AC15" s="5"/>
      <c r="AD15" s="5"/>
    </row>
    <row r="16" spans="1:30" ht="15.75">
      <c r="A16" s="390"/>
      <c r="B16" s="5"/>
      <c r="C16" s="389" t="s">
        <v>981</v>
      </c>
      <c r="D16" s="302" t="s">
        <v>1000</v>
      </c>
      <c r="G16" s="5"/>
      <c r="H16" s="302"/>
      <c r="I16" s="302"/>
      <c r="J16" s="302"/>
      <c r="K16" s="302"/>
      <c r="L16" s="302"/>
      <c r="M16" s="302"/>
      <c r="N16" s="302"/>
      <c r="O16" s="302"/>
      <c r="P16" s="5"/>
      <c r="Q16" s="5"/>
      <c r="R16" s="5"/>
      <c r="S16" s="5"/>
      <c r="T16" s="5"/>
      <c r="U16" s="5"/>
      <c r="V16" s="5"/>
      <c r="W16" s="5"/>
      <c r="X16" s="5"/>
      <c r="Y16" s="5"/>
      <c r="Z16" s="5"/>
      <c r="AA16" s="5"/>
      <c r="AB16" s="5"/>
      <c r="AC16" s="5"/>
      <c r="AD16" s="5"/>
    </row>
    <row r="17" spans="1:30" ht="15.75">
      <c r="A17" s="390"/>
      <c r="B17" s="5"/>
      <c r="C17" s="389"/>
      <c r="D17" s="302"/>
      <c r="G17" s="5"/>
      <c r="H17" s="302"/>
      <c r="I17" s="302"/>
      <c r="J17" s="302"/>
      <c r="K17" s="302"/>
      <c r="L17" s="302"/>
      <c r="M17" s="302"/>
      <c r="N17" s="302"/>
      <c r="O17" s="302"/>
      <c r="P17" s="5"/>
      <c r="Q17" s="5"/>
      <c r="R17" s="5"/>
      <c r="S17" s="5"/>
      <c r="T17" s="5"/>
      <c r="U17" s="5"/>
      <c r="V17" s="5"/>
      <c r="W17" s="5"/>
      <c r="X17" s="5"/>
      <c r="Y17" s="5"/>
      <c r="Z17" s="5"/>
      <c r="AA17" s="5"/>
      <c r="AB17" s="5"/>
      <c r="AC17" s="5"/>
      <c r="AD17" s="5"/>
    </row>
    <row r="18" spans="1:30" ht="15.75">
      <c r="A18" s="390"/>
      <c r="B18" s="302" t="s">
        <v>980</v>
      </c>
      <c r="C18" s="389" t="s">
        <v>979</v>
      </c>
      <c r="D18" s="302" t="s">
        <v>1001</v>
      </c>
      <c r="G18" s="5"/>
      <c r="H18" s="302"/>
      <c r="I18" s="302"/>
      <c r="J18" s="302"/>
      <c r="K18" s="302"/>
      <c r="L18" s="302"/>
      <c r="M18" s="302"/>
      <c r="N18" s="302"/>
      <c r="O18" s="302"/>
      <c r="P18" s="5"/>
      <c r="Q18" s="5"/>
      <c r="R18" s="5"/>
      <c r="S18" s="5"/>
      <c r="T18" s="5"/>
      <c r="U18" s="5"/>
      <c r="V18" s="5"/>
      <c r="W18" s="5"/>
      <c r="X18" s="5"/>
      <c r="Y18" s="5"/>
      <c r="Z18" s="5"/>
      <c r="AA18" s="5"/>
      <c r="AB18" s="5"/>
      <c r="AC18" s="5"/>
      <c r="AD18" s="5"/>
    </row>
    <row r="19" spans="1:30" ht="15.75">
      <c r="A19" s="390"/>
      <c r="B19" s="5"/>
      <c r="C19" s="389" t="s">
        <v>978</v>
      </c>
      <c r="D19" s="302" t="s">
        <v>1000</v>
      </c>
      <c r="G19" s="5"/>
      <c r="H19" s="302"/>
      <c r="I19" s="302"/>
      <c r="J19" s="302"/>
      <c r="K19" s="302"/>
      <c r="L19" s="302"/>
      <c r="M19" s="302"/>
      <c r="N19" s="302"/>
      <c r="O19" s="302"/>
      <c r="P19" s="5"/>
      <c r="Q19" s="5"/>
      <c r="R19" s="5"/>
      <c r="S19" s="5"/>
      <c r="T19" s="5"/>
      <c r="U19" s="5"/>
      <c r="V19" s="5"/>
      <c r="W19" s="5"/>
      <c r="X19" s="5"/>
      <c r="Y19" s="5"/>
      <c r="Z19" s="5"/>
      <c r="AA19" s="5"/>
      <c r="AB19" s="5"/>
      <c r="AC19" s="5"/>
      <c r="AD19" s="5"/>
    </row>
    <row r="20" spans="1:30" ht="15.75">
      <c r="A20" s="390"/>
      <c r="B20" s="5"/>
      <c r="C20" s="389"/>
      <c r="D20" s="302"/>
      <c r="G20" s="5"/>
      <c r="H20" s="302"/>
      <c r="I20" s="302"/>
      <c r="J20" s="302"/>
      <c r="K20" s="302"/>
      <c r="L20" s="302"/>
      <c r="M20" s="302"/>
      <c r="N20" s="302"/>
      <c r="O20" s="302"/>
      <c r="P20" s="5"/>
      <c r="Q20" s="5"/>
      <c r="R20" s="5"/>
      <c r="S20" s="5"/>
      <c r="T20" s="5"/>
      <c r="U20" s="5"/>
      <c r="V20" s="5"/>
      <c r="W20" s="5"/>
      <c r="X20" s="5"/>
      <c r="Y20" s="5"/>
      <c r="Z20" s="5"/>
      <c r="AA20" s="5"/>
      <c r="AB20" s="5"/>
      <c r="AC20" s="5"/>
      <c r="AD20" s="5"/>
    </row>
    <row r="21" spans="1:30" ht="15.75">
      <c r="A21" s="390"/>
      <c r="B21" s="302" t="s">
        <v>977</v>
      </c>
      <c r="C21" s="389" t="s">
        <v>976</v>
      </c>
      <c r="D21" s="302" t="s">
        <v>1001</v>
      </c>
      <c r="G21" s="5"/>
      <c r="H21" s="302"/>
      <c r="I21" s="302"/>
      <c r="J21" s="302"/>
      <c r="K21" s="302"/>
      <c r="L21" s="302"/>
      <c r="M21" s="302"/>
      <c r="N21" s="302"/>
      <c r="O21" s="302"/>
      <c r="P21" s="5"/>
      <c r="Q21" s="5"/>
      <c r="R21" s="5"/>
      <c r="S21" s="5"/>
      <c r="T21" s="5"/>
      <c r="U21" s="5"/>
      <c r="V21" s="5"/>
      <c r="W21" s="5"/>
      <c r="X21" s="5"/>
      <c r="Y21" s="5"/>
      <c r="Z21" s="5"/>
      <c r="AA21" s="5"/>
      <c r="AB21" s="5"/>
      <c r="AC21" s="5"/>
      <c r="AD21" s="5"/>
    </row>
    <row r="22" spans="1:30" ht="15.75">
      <c r="A22" s="390"/>
      <c r="B22" s="5"/>
      <c r="C22" s="389" t="s">
        <v>975</v>
      </c>
      <c r="D22" s="302" t="s">
        <v>1000</v>
      </c>
      <c r="E22" s="5"/>
      <c r="F22" s="5"/>
      <c r="G22" s="5"/>
      <c r="H22" s="302"/>
      <c r="I22" s="302"/>
      <c r="J22" s="302"/>
      <c r="K22" s="302"/>
      <c r="L22" s="302"/>
      <c r="M22" s="302"/>
      <c r="N22" s="302"/>
      <c r="O22" s="302"/>
      <c r="P22" s="5"/>
      <c r="Q22" s="5"/>
      <c r="R22" s="5"/>
      <c r="S22" s="5"/>
      <c r="T22" s="5"/>
      <c r="U22" s="5"/>
      <c r="V22" s="5"/>
      <c r="W22" s="5"/>
      <c r="X22" s="5"/>
      <c r="Y22" s="5"/>
      <c r="Z22" s="5"/>
      <c r="AA22" s="5"/>
      <c r="AB22" s="5"/>
      <c r="AC22" s="5"/>
      <c r="AD22" s="5"/>
    </row>
    <row r="23" spans="1:30" ht="15.75">
      <c r="A23" s="390"/>
      <c r="B23" s="5"/>
      <c r="C23" s="389"/>
      <c r="D23" s="302"/>
      <c r="E23" s="5"/>
      <c r="F23" s="5"/>
      <c r="G23" s="5"/>
      <c r="H23" s="302"/>
      <c r="I23" s="302"/>
      <c r="J23" s="302"/>
      <c r="K23" s="302"/>
      <c r="L23" s="302"/>
      <c r="M23" s="302"/>
      <c r="N23" s="302"/>
      <c r="O23" s="302"/>
      <c r="P23" s="5"/>
      <c r="Q23" s="5"/>
      <c r="R23" s="5"/>
      <c r="S23" s="5"/>
      <c r="T23" s="5"/>
      <c r="U23" s="5"/>
      <c r="V23" s="5"/>
      <c r="W23" s="5"/>
      <c r="X23" s="5"/>
      <c r="Y23" s="5"/>
      <c r="Z23" s="5"/>
      <c r="AA23" s="5"/>
      <c r="AB23" s="5"/>
      <c r="AC23" s="5"/>
      <c r="AD23" s="5"/>
    </row>
    <row r="24" spans="1:30" ht="15.75">
      <c r="A24" s="390" t="s">
        <v>974</v>
      </c>
      <c r="B24" s="302" t="s">
        <v>997</v>
      </c>
      <c r="C24" s="389" t="s">
        <v>973</v>
      </c>
      <c r="D24" s="302" t="s">
        <v>1003</v>
      </c>
      <c r="E24" s="5"/>
      <c r="F24" s="5"/>
      <c r="G24" s="5"/>
      <c r="H24" s="302"/>
      <c r="I24" s="302"/>
      <c r="J24" s="302"/>
      <c r="K24" s="302"/>
      <c r="L24" s="302"/>
      <c r="M24" s="302"/>
      <c r="N24" s="302"/>
      <c r="O24" s="302"/>
      <c r="P24" s="5"/>
      <c r="Q24" s="5"/>
      <c r="R24" s="5"/>
      <c r="S24" s="5"/>
      <c r="T24" s="5"/>
      <c r="U24" s="5"/>
      <c r="V24" s="5"/>
      <c r="W24" s="5"/>
      <c r="X24" s="5"/>
      <c r="Y24" s="5"/>
      <c r="Z24" s="5"/>
      <c r="AA24" s="5"/>
      <c r="AB24" s="5"/>
      <c r="AC24" s="5"/>
      <c r="AD24" s="5"/>
    </row>
    <row r="25" spans="1:30" ht="15.75">
      <c r="A25" s="390"/>
      <c r="B25" s="302"/>
      <c r="C25" s="389"/>
      <c r="D25" s="302"/>
      <c r="E25" s="5"/>
      <c r="F25" s="5"/>
      <c r="G25" s="5"/>
      <c r="H25" s="302"/>
      <c r="I25" s="302"/>
      <c r="J25" s="302"/>
      <c r="K25" s="302"/>
      <c r="L25" s="302"/>
      <c r="M25" s="302"/>
      <c r="N25" s="302"/>
      <c r="O25" s="302"/>
      <c r="P25" s="5"/>
      <c r="Q25" s="5"/>
      <c r="R25" s="5"/>
      <c r="S25" s="5"/>
      <c r="T25" s="5"/>
      <c r="U25" s="5"/>
      <c r="V25" s="5"/>
      <c r="W25" s="5"/>
      <c r="X25" s="5"/>
      <c r="Y25" s="5"/>
      <c r="Z25" s="5"/>
      <c r="AA25" s="5"/>
      <c r="AB25" s="5"/>
      <c r="AC25" s="5"/>
      <c r="AD25" s="5"/>
    </row>
    <row r="26" spans="1:30" ht="15.75">
      <c r="A26" s="390"/>
      <c r="B26" s="302"/>
      <c r="C26" s="389"/>
      <c r="D26" s="5"/>
      <c r="E26" s="5"/>
      <c r="F26" s="5"/>
      <c r="G26" s="5"/>
      <c r="H26" s="302"/>
      <c r="I26" s="302"/>
      <c r="J26" s="302"/>
      <c r="K26" s="302"/>
      <c r="L26" s="302"/>
      <c r="M26" s="302"/>
      <c r="N26" s="302"/>
      <c r="O26" s="302"/>
      <c r="P26" s="5"/>
      <c r="Q26" s="5"/>
      <c r="R26" s="5"/>
      <c r="S26" s="5"/>
      <c r="T26" s="5"/>
      <c r="U26" s="5"/>
      <c r="V26" s="5"/>
      <c r="W26" s="5"/>
      <c r="X26" s="5"/>
      <c r="Y26" s="5"/>
      <c r="Z26" s="5"/>
      <c r="AA26" s="5"/>
      <c r="AB26" s="5"/>
      <c r="AC26" s="5"/>
      <c r="AD26" s="5"/>
    </row>
    <row r="27" spans="1:30" ht="15.75">
      <c r="A27" s="390"/>
      <c r="B27" s="302"/>
      <c r="C27" s="389"/>
      <c r="D27" s="5"/>
      <c r="E27" s="5"/>
      <c r="F27" s="5"/>
      <c r="G27" s="5"/>
      <c r="H27" s="302"/>
      <c r="I27" s="302"/>
      <c r="J27" s="302"/>
      <c r="K27" s="302"/>
      <c r="L27" s="302"/>
      <c r="M27" s="302"/>
      <c r="N27" s="302"/>
      <c r="O27" s="302"/>
      <c r="P27" s="5"/>
      <c r="Q27" s="5"/>
      <c r="R27" s="5"/>
      <c r="S27" s="5"/>
      <c r="T27" s="5"/>
      <c r="U27" s="5"/>
      <c r="V27" s="5"/>
      <c r="W27" s="5"/>
      <c r="X27" s="5"/>
      <c r="Y27" s="5"/>
      <c r="Z27" s="5"/>
      <c r="AA27" s="5"/>
      <c r="AB27" s="5"/>
      <c r="AC27" s="5"/>
      <c r="AD27" s="5"/>
    </row>
    <row r="28" spans="1:30" ht="15.75">
      <c r="A28" s="390"/>
      <c r="B28" s="302"/>
      <c r="C28" s="389"/>
      <c r="D28" s="5"/>
      <c r="E28" s="5"/>
      <c r="F28" s="5"/>
      <c r="G28" s="5"/>
      <c r="H28" s="302"/>
      <c r="I28" s="302"/>
      <c r="J28" s="302"/>
      <c r="K28" s="302"/>
      <c r="L28" s="302"/>
      <c r="M28" s="302"/>
      <c r="N28" s="302"/>
      <c r="O28" s="302"/>
      <c r="P28" s="5"/>
      <c r="Q28" s="5"/>
      <c r="R28" s="5"/>
      <c r="S28" s="5"/>
      <c r="T28" s="5"/>
      <c r="U28" s="5"/>
      <c r="V28" s="5"/>
      <c r="W28" s="5"/>
      <c r="X28" s="5"/>
      <c r="Y28" s="5"/>
      <c r="Z28" s="5"/>
      <c r="AA28" s="5"/>
      <c r="AB28" s="5"/>
      <c r="AC28" s="5"/>
      <c r="AD28" s="5"/>
    </row>
    <row r="29" spans="1:30" ht="15.75">
      <c r="A29" s="390"/>
      <c r="B29" s="302"/>
      <c r="C29" s="389"/>
      <c r="D29" s="5"/>
      <c r="E29" s="5"/>
      <c r="F29" s="5"/>
      <c r="G29" s="5"/>
      <c r="H29" s="302"/>
      <c r="I29" s="302"/>
      <c r="J29" s="302"/>
      <c r="K29" s="302"/>
      <c r="L29" s="302"/>
      <c r="M29" s="302"/>
      <c r="N29" s="302"/>
      <c r="O29" s="302"/>
      <c r="P29" s="5"/>
      <c r="Q29" s="5"/>
      <c r="R29" s="5"/>
      <c r="S29" s="5"/>
      <c r="T29" s="5"/>
      <c r="U29" s="5"/>
      <c r="V29" s="5"/>
      <c r="W29" s="5"/>
      <c r="X29" s="5"/>
      <c r="Y29" s="5"/>
      <c r="Z29" s="5"/>
      <c r="AA29" s="5"/>
      <c r="AB29" s="5"/>
      <c r="AC29" s="5"/>
      <c r="AD29" s="5"/>
    </row>
    <row r="30" spans="1:30" ht="15.75">
      <c r="A30" s="390"/>
      <c r="B30" s="302"/>
      <c r="C30" s="389"/>
      <c r="D30" s="5"/>
      <c r="E30" s="5"/>
      <c r="F30" s="5"/>
      <c r="G30" s="5"/>
      <c r="H30" s="302"/>
      <c r="I30" s="302"/>
      <c r="J30" s="302"/>
      <c r="K30" s="302"/>
      <c r="L30" s="302"/>
      <c r="M30" s="302"/>
      <c r="N30" s="302"/>
      <c r="O30" s="302"/>
      <c r="P30" s="5"/>
      <c r="Q30" s="5"/>
      <c r="R30" s="5"/>
      <c r="S30" s="5"/>
      <c r="T30" s="5"/>
      <c r="U30" s="5"/>
      <c r="V30" s="5"/>
      <c r="W30" s="5"/>
      <c r="X30" s="5"/>
      <c r="Y30" s="5"/>
      <c r="Z30" s="5"/>
      <c r="AA30" s="5"/>
      <c r="AB30" s="5"/>
      <c r="AC30" s="5"/>
      <c r="AD30" s="5"/>
    </row>
    <row r="31" spans="1:30" ht="15.75">
      <c r="A31" s="390"/>
      <c r="B31" s="302"/>
      <c r="C31" s="389"/>
      <c r="D31" s="5"/>
      <c r="E31" s="5"/>
      <c r="F31" s="5"/>
      <c r="G31" s="5"/>
      <c r="H31" s="302"/>
      <c r="I31" s="302"/>
      <c r="J31" s="302"/>
      <c r="K31" s="302"/>
      <c r="L31" s="302"/>
      <c r="M31" s="302"/>
      <c r="N31" s="302"/>
      <c r="O31" s="302"/>
      <c r="P31" s="5"/>
      <c r="Q31" s="5"/>
      <c r="R31" s="5"/>
      <c r="S31" s="5"/>
      <c r="T31" s="5"/>
      <c r="U31" s="5"/>
      <c r="V31" s="5"/>
      <c r="W31" s="5"/>
      <c r="X31" s="5"/>
      <c r="Y31" s="5"/>
      <c r="Z31" s="5"/>
      <c r="AA31" s="5"/>
      <c r="AB31" s="5"/>
      <c r="AC31" s="5"/>
      <c r="AD31" s="5"/>
    </row>
  </sheetData>
  <hyperlinks>
    <hyperlink ref="C6" r:id="rId1" xr:uid="{254CCD86-78E9-4A3F-A0E9-8127E23F1161}"/>
    <hyperlink ref="C7" r:id="rId2" xr:uid="{FA7A057D-58C5-4CC7-8254-958D560D52F2}"/>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B5E7163C-C97B-4A61-9A0A-49A2C8295B8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16EC1C25-7AAB-4B91-91B0-1A346FB7E771}"/>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FC63647-D775-473B-A4CB-35437FAD5C2B}"/>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BBD25D5E-757D-42D6-B1A3-0AB213BA4840}"/>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2DFD27B5-2092-4154-9C63-7D7A3C062DF5}"/>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DB50E3A1-42FB-4BC3-8893-40A6BA0112A6}"/>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3B155E56-0A33-47B7-90CD-1C47877B48EC}"/>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28E730F2-1FB7-4A6F-9FC6-B9EE2A75E4CC}"/>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AB6E775B-C83C-42A4-A1E8-27CDAC6A1990}"/>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4836AB98-CE2C-44D5-A910-F61F00156021}"/>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1E217774-5B22-4193-AF7A-65D76A49A74F}"/>
    <hyperlink ref="A1" location="'Table of Contents'!A1" display="Return to Table of Contents" xr:uid="{0A8AEE55-0AFB-449F-9496-297BE12C3E0B}"/>
  </hyperlinks>
  <pageMargins left="0.7" right="0.7" top="0.75" bottom="0.75" header="0.3" footer="0.3"/>
  <pageSetup orientation="portrait" r:id="rId14"/>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A302-8A99-4373-A108-F5BFC4BC102C}">
  <dimension ref="A1:J35"/>
  <sheetViews>
    <sheetView showGridLines="0" topLeftCell="A22" zoomScale="90" zoomScaleNormal="90" workbookViewId="0">
      <selection activeCell="L20" sqref="L20"/>
    </sheetView>
  </sheetViews>
  <sheetFormatPr baseColWidth="10" defaultColWidth="10.85546875" defaultRowHeight="15"/>
  <cols>
    <col min="1" max="1" width="10.85546875" style="135"/>
    <col min="2" max="2" width="35.140625" style="135" customWidth="1"/>
    <col min="3" max="9" width="12.5703125" style="135" bestFit="1" customWidth="1"/>
    <col min="10" max="10" width="14.7109375" style="135" customWidth="1"/>
    <col min="11" max="16384" width="10.85546875" style="135"/>
  </cols>
  <sheetData>
    <row r="1" spans="1:10">
      <c r="A1" s="3" t="s">
        <v>627</v>
      </c>
    </row>
    <row r="4" spans="1:10" ht="15.75">
      <c r="B4" s="664"/>
      <c r="C4" s="665">
        <v>2015</v>
      </c>
      <c r="D4" s="665">
        <v>2016</v>
      </c>
      <c r="E4" s="665">
        <v>2017</v>
      </c>
      <c r="F4" s="665">
        <v>2018</v>
      </c>
      <c r="G4" s="665">
        <v>2019</v>
      </c>
      <c r="H4" s="665">
        <v>2020</v>
      </c>
      <c r="I4" s="665">
        <v>2021</v>
      </c>
      <c r="J4" s="665" t="s">
        <v>1266</v>
      </c>
    </row>
    <row r="5" spans="1:10" ht="15.75">
      <c r="B5" s="666" t="s">
        <v>1173</v>
      </c>
      <c r="C5" s="667">
        <f t="shared" ref="C5:E5" si="0">+SUM(C6:C7)</f>
        <v>234396.98560273973</v>
      </c>
      <c r="D5" s="667">
        <f t="shared" si="0"/>
        <v>252622.42054644809</v>
      </c>
      <c r="E5" s="667">
        <f t="shared" si="0"/>
        <v>262573.63263013703</v>
      </c>
      <c r="F5" s="667">
        <f>+SUM(F6:F7)</f>
        <v>275394.68554794521</v>
      </c>
      <c r="G5" s="667">
        <f t="shared" ref="G5:H5" si="1">+SUM(G6:G7)</f>
        <v>281299.10349315067</v>
      </c>
      <c r="H5" s="667">
        <f t="shared" si="1"/>
        <v>240459.20234972681</v>
      </c>
      <c r="I5" s="667">
        <v>310801</v>
      </c>
      <c r="J5" s="667">
        <v>398711</v>
      </c>
    </row>
    <row r="6" spans="1:10">
      <c r="B6" s="668" t="s">
        <v>1185</v>
      </c>
      <c r="C6" s="669">
        <f>+C10+C14+C18+C22</f>
        <v>206428.10854794522</v>
      </c>
      <c r="D6" s="669">
        <f t="shared" ref="D6:H7" si="2">+D10+D14+D18+D22</f>
        <v>223238.48035519125</v>
      </c>
      <c r="E6" s="669">
        <f t="shared" si="2"/>
        <v>231641.57942465757</v>
      </c>
      <c r="F6" s="669">
        <f t="shared" si="2"/>
        <v>242803.26939726027</v>
      </c>
      <c r="G6" s="669">
        <f t="shared" si="2"/>
        <v>248369.98887671233</v>
      </c>
      <c r="H6" s="669">
        <f t="shared" si="2"/>
        <v>211302.40931693991</v>
      </c>
      <c r="I6" s="669">
        <v>272556</v>
      </c>
      <c r="J6" s="669">
        <v>357121</v>
      </c>
    </row>
    <row r="7" spans="1:10">
      <c r="B7" s="668" t="s">
        <v>1186</v>
      </c>
      <c r="C7" s="669">
        <f>+C11+C15+C19+C23</f>
        <v>27968.877054794517</v>
      </c>
      <c r="D7" s="669">
        <f t="shared" si="2"/>
        <v>29383.940191256832</v>
      </c>
      <c r="E7" s="669">
        <f t="shared" si="2"/>
        <v>30932.053205479453</v>
      </c>
      <c r="F7" s="669">
        <f t="shared" si="2"/>
        <v>32591.41615068493</v>
      </c>
      <c r="G7" s="669">
        <f t="shared" si="2"/>
        <v>32929.114616438361</v>
      </c>
      <c r="H7" s="669">
        <f t="shared" si="2"/>
        <v>29156.793032786885</v>
      </c>
      <c r="I7" s="669">
        <v>38245</v>
      </c>
      <c r="J7" s="669">
        <v>41590</v>
      </c>
    </row>
    <row r="8" spans="1:10" ht="15.75">
      <c r="B8" s="670"/>
      <c r="C8" s="671"/>
      <c r="D8" s="671"/>
      <c r="E8" s="671"/>
      <c r="F8" s="671"/>
      <c r="G8" s="671"/>
      <c r="H8" s="671"/>
      <c r="I8" s="671"/>
      <c r="J8" s="671"/>
    </row>
    <row r="9" spans="1:10" ht="15.75">
      <c r="B9" s="666" t="s">
        <v>1174</v>
      </c>
      <c r="C9" s="667">
        <f t="shared" ref="C9:E9" si="3">+SUM(C10:C11)</f>
        <v>122013.20498630138</v>
      </c>
      <c r="D9" s="667">
        <f t="shared" si="3"/>
        <v>131533.0232103825</v>
      </c>
      <c r="E9" s="667">
        <f t="shared" si="3"/>
        <v>137368.15160273973</v>
      </c>
      <c r="F9" s="667">
        <f>+SUM(F10:F11)</f>
        <v>143995.73883561644</v>
      </c>
      <c r="G9" s="667">
        <f t="shared" ref="G9:H9" si="4">+SUM(G10:G11)</f>
        <v>145446.13575342466</v>
      </c>
      <c r="H9" s="667">
        <f t="shared" si="4"/>
        <v>119753.49640710381</v>
      </c>
      <c r="I9" s="667">
        <v>156691</v>
      </c>
      <c r="J9" s="667">
        <v>191362</v>
      </c>
    </row>
    <row r="10" spans="1:10" ht="15.75">
      <c r="B10" s="668" t="s">
        <v>1185</v>
      </c>
      <c r="C10" s="669">
        <v>103539.77347945207</v>
      </c>
      <c r="D10" s="669">
        <v>112231.77598360655</v>
      </c>
      <c r="E10" s="669">
        <v>117122.59750684933</v>
      </c>
      <c r="F10" s="669">
        <v>122543.36391780822</v>
      </c>
      <c r="G10" s="669">
        <v>124200.02038356164</v>
      </c>
      <c r="H10" s="669">
        <v>101056.61423497266</v>
      </c>
      <c r="I10" s="708">
        <v>132319</v>
      </c>
      <c r="J10" s="708">
        <v>165447</v>
      </c>
    </row>
    <row r="11" spans="1:10" ht="15.75">
      <c r="B11" s="668" t="s">
        <v>1186</v>
      </c>
      <c r="C11" s="669">
        <v>18473.431506849316</v>
      </c>
      <c r="D11" s="669">
        <v>19301.247226775959</v>
      </c>
      <c r="E11" s="669">
        <v>20245.554095890413</v>
      </c>
      <c r="F11" s="669">
        <v>21452.374917808218</v>
      </c>
      <c r="G11" s="669">
        <v>21246.115369863015</v>
      </c>
      <c r="H11" s="669">
        <v>18696.882172131147</v>
      </c>
      <c r="I11" s="709">
        <v>24372</v>
      </c>
      <c r="J11" s="709">
        <v>25915</v>
      </c>
    </row>
    <row r="12" spans="1:10" ht="15.75">
      <c r="B12" s="670"/>
      <c r="C12" s="671"/>
      <c r="D12" s="671"/>
      <c r="E12" s="671"/>
      <c r="F12" s="671"/>
      <c r="G12" s="671"/>
      <c r="H12" s="671"/>
      <c r="I12" s="671"/>
      <c r="J12" s="671"/>
    </row>
    <row r="13" spans="1:10" ht="15.75">
      <c r="B13" s="666" t="s">
        <v>1175</v>
      </c>
      <c r="C13" s="667">
        <f t="shared" ref="C13:E13" si="5">+SUM(C14:C15)</f>
        <v>38248.312671232874</v>
      </c>
      <c r="D13" s="667">
        <f t="shared" si="5"/>
        <v>41332.594262295082</v>
      </c>
      <c r="E13" s="667">
        <f t="shared" si="5"/>
        <v>42403.794726027394</v>
      </c>
      <c r="F13" s="667">
        <f>+SUM(F14:F15)</f>
        <v>43920.385342465757</v>
      </c>
      <c r="G13" s="667">
        <f t="shared" ref="G13:H13" si="6">+SUM(G14:G15)</f>
        <v>45886.633904109585</v>
      </c>
      <c r="H13" s="667">
        <f t="shared" si="6"/>
        <v>41594.960177595633</v>
      </c>
      <c r="I13" s="667">
        <v>53875</v>
      </c>
      <c r="J13" s="667">
        <v>71385</v>
      </c>
    </row>
    <row r="14" spans="1:10" ht="15.75">
      <c r="B14" s="668" t="s">
        <v>1185</v>
      </c>
      <c r="C14" s="669">
        <v>32587.076712328766</v>
      </c>
      <c r="D14" s="669">
        <v>35398.664207650276</v>
      </c>
      <c r="E14" s="669">
        <v>36128.758356164384</v>
      </c>
      <c r="F14" s="669">
        <v>37421.191506849318</v>
      </c>
      <c r="G14" s="669">
        <v>39130.029315068488</v>
      </c>
      <c r="H14" s="669">
        <v>35096.375683060112</v>
      </c>
      <c r="I14" s="708">
        <v>45341</v>
      </c>
      <c r="J14" s="708">
        <v>61904</v>
      </c>
    </row>
    <row r="15" spans="1:10" ht="15.75">
      <c r="B15" s="668" t="s">
        <v>1186</v>
      </c>
      <c r="C15" s="669">
        <v>5661.2359589041098</v>
      </c>
      <c r="D15" s="669">
        <v>5933.9300546448085</v>
      </c>
      <c r="E15" s="669">
        <v>6275.0363698630135</v>
      </c>
      <c r="F15" s="669">
        <v>6499.1938356164383</v>
      </c>
      <c r="G15" s="669">
        <v>6756.6045890410951</v>
      </c>
      <c r="H15" s="669">
        <v>6498.5844945355202</v>
      </c>
      <c r="I15" s="709">
        <v>8534</v>
      </c>
      <c r="J15" s="709">
        <v>9481</v>
      </c>
    </row>
    <row r="16" spans="1:10" ht="15.75">
      <c r="B16" s="670"/>
      <c r="C16" s="671"/>
      <c r="D16" s="671"/>
      <c r="E16" s="671"/>
      <c r="F16" s="671"/>
      <c r="G16" s="671"/>
      <c r="H16" s="671"/>
      <c r="I16" s="671"/>
      <c r="J16" s="671"/>
    </row>
    <row r="17" spans="2:10" ht="15.75">
      <c r="B17" s="666" t="s">
        <v>1176</v>
      </c>
      <c r="C17" s="667">
        <f t="shared" ref="C17:E17" si="7">+SUM(C18:C19)</f>
        <v>46102.055958904108</v>
      </c>
      <c r="D17" s="667">
        <f t="shared" si="7"/>
        <v>49904.637704918037</v>
      </c>
      <c r="E17" s="667">
        <f t="shared" si="7"/>
        <v>51654.302465753433</v>
      </c>
      <c r="F17" s="667">
        <f>+SUM(F18:F19)</f>
        <v>54305.041301369871</v>
      </c>
      <c r="G17" s="667">
        <f t="shared" ref="G17:H17" si="8">+SUM(G18:G19)</f>
        <v>56320.221232876713</v>
      </c>
      <c r="H17" s="667">
        <f t="shared" si="8"/>
        <v>49065.719603825142</v>
      </c>
      <c r="I17" s="667">
        <v>62510</v>
      </c>
      <c r="J17" s="667">
        <v>85416</v>
      </c>
    </row>
    <row r="18" spans="2:10" ht="15.75">
      <c r="B18" s="668" t="s">
        <v>1185</v>
      </c>
      <c r="C18" s="672">
        <v>43458.596164383562</v>
      </c>
      <c r="D18" s="672">
        <v>47014.563387978145</v>
      </c>
      <c r="E18" s="672">
        <v>48543.316986301375</v>
      </c>
      <c r="F18" s="672">
        <v>51042.175342465758</v>
      </c>
      <c r="G18" s="672">
        <v>52867.458356164381</v>
      </c>
      <c r="H18" s="672">
        <v>46320.47978142077</v>
      </c>
      <c r="I18" s="710">
        <v>58807</v>
      </c>
      <c r="J18" s="710">
        <v>81173</v>
      </c>
    </row>
    <row r="19" spans="2:10" ht="15.75">
      <c r="B19" s="668" t="s">
        <v>1186</v>
      </c>
      <c r="C19" s="672">
        <v>2643.4597945205478</v>
      </c>
      <c r="D19" s="672">
        <v>2890.0743169398907</v>
      </c>
      <c r="E19" s="672">
        <v>3110.9854794520547</v>
      </c>
      <c r="F19" s="672">
        <v>3262.8659589041094</v>
      </c>
      <c r="G19" s="672">
        <v>3452.7628767123292</v>
      </c>
      <c r="H19" s="672">
        <v>2745.2398224043718</v>
      </c>
      <c r="I19" s="711">
        <v>3703</v>
      </c>
      <c r="J19" s="711">
        <v>4243</v>
      </c>
    </row>
    <row r="20" spans="2:10" ht="15.75">
      <c r="B20" s="670"/>
      <c r="C20" s="671"/>
      <c r="D20" s="671"/>
      <c r="E20" s="671"/>
      <c r="F20" s="671"/>
      <c r="G20" s="671"/>
      <c r="H20" s="671"/>
      <c r="I20" s="671"/>
      <c r="J20" s="671"/>
    </row>
    <row r="21" spans="2:10" ht="15.75">
      <c r="B21" s="666" t="s">
        <v>1177</v>
      </c>
      <c r="C21" s="667">
        <f t="shared" ref="C21:E21" si="9">+SUM(C22:C23)</f>
        <v>28033.411986301366</v>
      </c>
      <c r="D21" s="667">
        <f t="shared" si="9"/>
        <v>29852.16536885246</v>
      </c>
      <c r="E21" s="667">
        <f t="shared" si="9"/>
        <v>31147.383835616438</v>
      </c>
      <c r="F21" s="667">
        <f>+SUM(F22:F23)</f>
        <v>33173.520068493155</v>
      </c>
      <c r="G21" s="667">
        <f t="shared" ref="G21:H21" si="10">+SUM(G22:G23)</f>
        <v>33646.112602739726</v>
      </c>
      <c r="H21" s="667">
        <f t="shared" si="10"/>
        <v>30045.026161202186</v>
      </c>
      <c r="I21" s="667">
        <v>37725</v>
      </c>
      <c r="J21" s="667">
        <v>50548</v>
      </c>
    </row>
    <row r="22" spans="2:10" ht="15.75">
      <c r="B22" s="668" t="s">
        <v>1185</v>
      </c>
      <c r="C22" s="672">
        <v>26842.662191780819</v>
      </c>
      <c r="D22" s="672">
        <v>28593.476775956286</v>
      </c>
      <c r="E22" s="672">
        <v>29846.906575342466</v>
      </c>
      <c r="F22" s="672">
        <v>31796.538630136987</v>
      </c>
      <c r="G22" s="672">
        <v>32172.480821917808</v>
      </c>
      <c r="H22" s="672">
        <v>28828.93961748634</v>
      </c>
      <c r="I22" s="710">
        <v>36089</v>
      </c>
      <c r="J22" s="710">
        <v>48597</v>
      </c>
    </row>
    <row r="23" spans="2:10" ht="15.75">
      <c r="B23" s="668" t="s">
        <v>1186</v>
      </c>
      <c r="C23" s="672">
        <v>1190.749794520548</v>
      </c>
      <c r="D23" s="672">
        <v>1258.6885928961749</v>
      </c>
      <c r="E23" s="672">
        <v>1300.4772602739724</v>
      </c>
      <c r="F23" s="672">
        <v>1376.9814383561645</v>
      </c>
      <c r="G23" s="672">
        <v>1473.6317808219178</v>
      </c>
      <c r="H23" s="672">
        <v>1216.086543715847</v>
      </c>
      <c r="I23" s="711">
        <v>1636</v>
      </c>
      <c r="J23" s="711">
        <v>1951</v>
      </c>
    </row>
    <row r="25" spans="2:10">
      <c r="B25" s="135" t="s">
        <v>1178</v>
      </c>
    </row>
    <row r="26" spans="2:10">
      <c r="B26" s="135" t="s">
        <v>1237</v>
      </c>
    </row>
    <row r="29" spans="2:10" ht="15.75">
      <c r="B29" s="666" t="s">
        <v>1183</v>
      </c>
      <c r="C29" s="667">
        <v>2015</v>
      </c>
      <c r="D29" s="667">
        <v>2016</v>
      </c>
      <c r="E29" s="667">
        <v>2017</v>
      </c>
      <c r="F29" s="667">
        <v>2018</v>
      </c>
      <c r="G29" s="667">
        <v>2019</v>
      </c>
      <c r="H29" s="667">
        <v>2020</v>
      </c>
      <c r="I29" s="667">
        <v>2021</v>
      </c>
      <c r="J29" s="667" t="s">
        <v>1267</v>
      </c>
    </row>
    <row r="30" spans="2:10">
      <c r="B30" s="668" t="s">
        <v>1179</v>
      </c>
      <c r="C30" s="672">
        <v>3887.2465753424658</v>
      </c>
      <c r="D30" s="672">
        <v>3980.8142076502731</v>
      </c>
      <c r="E30" s="672">
        <v>3953.6383561643829</v>
      </c>
      <c r="F30" s="672">
        <v>4192.139726027397</v>
      </c>
      <c r="G30" s="672">
        <v>4476.7917808219172</v>
      </c>
      <c r="H30" s="672">
        <v>2652.3743169398908</v>
      </c>
      <c r="I30" s="672">
        <v>3963</v>
      </c>
      <c r="J30" s="672">
        <v>4835</v>
      </c>
    </row>
    <row r="31" spans="2:10">
      <c r="B31" s="668" t="s">
        <v>1180</v>
      </c>
      <c r="C31" s="672">
        <v>5590.682191780822</v>
      </c>
      <c r="D31" s="672">
        <v>5715.6912568306016</v>
      </c>
      <c r="E31" s="672">
        <v>5679.6136986301372</v>
      </c>
      <c r="F31" s="672">
        <v>5928.2191780821922</v>
      </c>
      <c r="G31" s="672">
        <v>6122.2986301369874</v>
      </c>
      <c r="H31" s="672">
        <v>3829.6803278688521</v>
      </c>
      <c r="I31" s="672">
        <v>5932</v>
      </c>
      <c r="J31" s="672">
        <v>7076</v>
      </c>
    </row>
    <row r="32" spans="2:10">
      <c r="B32" s="668" t="s">
        <v>1181</v>
      </c>
      <c r="C32" s="672">
        <v>1213.4356164383562</v>
      </c>
      <c r="D32" s="672">
        <v>1187.5027322404371</v>
      </c>
      <c r="E32" s="672">
        <v>1239.4712328767123</v>
      </c>
      <c r="F32" s="672">
        <v>1643.7972602739724</v>
      </c>
      <c r="G32" s="672">
        <v>1750.0465753424655</v>
      </c>
      <c r="H32" s="672">
        <v>1031.6202185792349</v>
      </c>
      <c r="I32" s="672">
        <v>1279</v>
      </c>
      <c r="J32" s="672">
        <v>2739</v>
      </c>
    </row>
    <row r="33" spans="2:10">
      <c r="B33" s="668" t="s">
        <v>1182</v>
      </c>
      <c r="C33" s="672">
        <v>0</v>
      </c>
      <c r="D33" s="672">
        <v>0</v>
      </c>
      <c r="E33" s="672">
        <v>0</v>
      </c>
      <c r="F33" s="672">
        <v>361.47368421052636</v>
      </c>
      <c r="G33" s="672">
        <v>1651.766304347826</v>
      </c>
      <c r="H33" s="672">
        <v>1184.4289617486338</v>
      </c>
      <c r="I33" s="672">
        <v>1999</v>
      </c>
      <c r="J33" s="672">
        <v>3610</v>
      </c>
    </row>
    <row r="35" spans="2:10">
      <c r="B35" s="135" t="s">
        <v>1184</v>
      </c>
    </row>
  </sheetData>
  <hyperlinks>
    <hyperlink ref="A1" location="'Table of Contents'!A1" display="Return to Table of Contents" xr:uid="{F0985D1B-F3C2-4658-9B0E-FEE72449BF1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I38"/>
  <sheetViews>
    <sheetView showGridLines="0" zoomScaleNormal="100" workbookViewId="0">
      <selection activeCell="C26" sqref="C26"/>
    </sheetView>
  </sheetViews>
  <sheetFormatPr baseColWidth="10" defaultColWidth="11.42578125" defaultRowHeight="15"/>
  <cols>
    <col min="1" max="1" width="11.42578125" customWidth="1"/>
    <col min="2" max="2" width="27.42578125" customWidth="1"/>
    <col min="3" max="7" width="13.42578125" customWidth="1"/>
    <col min="8" max="8" width="14.7109375" style="135" bestFit="1" customWidth="1"/>
    <col min="9" max="9" width="12.5703125" bestFit="1" customWidth="1"/>
  </cols>
  <sheetData>
    <row r="1" spans="1:9">
      <c r="A1" s="3" t="s">
        <v>627</v>
      </c>
      <c r="B1" s="1"/>
      <c r="C1" s="1"/>
      <c r="D1" s="1"/>
      <c r="E1" s="1"/>
      <c r="F1" s="1"/>
      <c r="G1" s="1"/>
    </row>
    <row r="3" spans="1:9">
      <c r="A3" s="1"/>
      <c r="B3" s="19" t="s">
        <v>161</v>
      </c>
      <c r="C3" s="1"/>
      <c r="D3" s="1"/>
      <c r="E3" s="1"/>
      <c r="F3" s="1"/>
      <c r="G3" s="1"/>
    </row>
    <row r="4" spans="1:9">
      <c r="A4" s="1"/>
      <c r="B4" s="21" t="s">
        <v>613</v>
      </c>
      <c r="C4" s="1"/>
      <c r="D4" s="1"/>
      <c r="E4" s="1"/>
      <c r="F4" s="1"/>
      <c r="G4" s="1"/>
    </row>
    <row r="5" spans="1:9">
      <c r="A5" s="1"/>
      <c r="B5" s="1"/>
      <c r="C5" s="1"/>
      <c r="D5" s="1"/>
      <c r="E5" s="1"/>
      <c r="F5" s="1"/>
      <c r="G5" s="1"/>
    </row>
    <row r="6" spans="1:9">
      <c r="A6" s="155"/>
      <c r="B6" s="78" t="s">
        <v>614</v>
      </c>
      <c r="C6" s="79">
        <v>2016</v>
      </c>
      <c r="D6" s="79">
        <v>2017</v>
      </c>
      <c r="E6" s="79">
        <v>2018</v>
      </c>
      <c r="F6" s="79">
        <v>2019</v>
      </c>
      <c r="G6" s="360">
        <v>2020</v>
      </c>
      <c r="H6" s="360" t="s">
        <v>1016</v>
      </c>
      <c r="I6" s="360" t="s">
        <v>1238</v>
      </c>
    </row>
    <row r="7" spans="1:9" ht="15.75">
      <c r="A7" s="1"/>
      <c r="B7" s="12" t="s">
        <v>155</v>
      </c>
      <c r="C7" s="13">
        <v>85101.153912950002</v>
      </c>
      <c r="D7" s="13">
        <v>78851.547697920003</v>
      </c>
      <c r="E7" s="13">
        <v>99053.963671999998</v>
      </c>
      <c r="F7" s="13">
        <v>135781.84656100001</v>
      </c>
      <c r="G7" s="285">
        <v>170616.69114169001</v>
      </c>
      <c r="H7" s="285">
        <v>146811.89536550001</v>
      </c>
      <c r="I7" s="285">
        <v>184020.90706578721</v>
      </c>
    </row>
    <row r="8" spans="1:9" ht="15.75">
      <c r="A8" s="1"/>
      <c r="B8" s="12" t="s">
        <v>163</v>
      </c>
      <c r="C8" s="13">
        <v>7775.7323999600003</v>
      </c>
      <c r="D8" s="13">
        <v>7055.9473674999999</v>
      </c>
      <c r="E8" s="13">
        <v>12086.495009</v>
      </c>
      <c r="F8" s="13">
        <v>6041.7694629999996</v>
      </c>
      <c r="G8" s="285">
        <v>7981.3869631499992</v>
      </c>
      <c r="H8" s="285">
        <v>9283.7395854799997</v>
      </c>
      <c r="I8" s="285">
        <v>9172.2915840582646</v>
      </c>
    </row>
    <row r="9" spans="1:9" ht="15.75">
      <c r="A9" s="1"/>
      <c r="B9" s="12" t="s">
        <v>164</v>
      </c>
      <c r="C9" s="13">
        <v>21938.653652950001</v>
      </c>
      <c r="D9" s="13">
        <v>21265.532396999999</v>
      </c>
      <c r="E9" s="13">
        <v>21978.812180000001</v>
      </c>
      <c r="F9" s="13">
        <v>23829.360186000002</v>
      </c>
      <c r="G9" s="285">
        <v>29647.467782</v>
      </c>
      <c r="H9" s="285">
        <v>26481.168276</v>
      </c>
      <c r="I9" s="285">
        <v>34282.7003831193</v>
      </c>
    </row>
    <row r="10" spans="1:9" ht="15.75">
      <c r="A10" s="1"/>
      <c r="B10" s="12" t="s">
        <v>165</v>
      </c>
      <c r="C10" s="13">
        <v>0</v>
      </c>
      <c r="D10" s="13">
        <v>702.6751392000001</v>
      </c>
      <c r="E10" s="13">
        <v>1557.0854939999999</v>
      </c>
      <c r="F10" s="13">
        <v>465</v>
      </c>
      <c r="G10" s="285">
        <v>750</v>
      </c>
      <c r="H10" s="285">
        <v>613.07515100000001</v>
      </c>
      <c r="I10" s="285">
        <v>259.41804319199997</v>
      </c>
    </row>
    <row r="11" spans="1:9">
      <c r="A11" s="155" t="s">
        <v>469</v>
      </c>
      <c r="B11" s="16" t="s">
        <v>166</v>
      </c>
      <c r="C11" s="18">
        <v>114815.53996586001</v>
      </c>
      <c r="D11" s="18">
        <v>107875.70260162001</v>
      </c>
      <c r="E11" s="18">
        <v>134676.356355</v>
      </c>
      <c r="F11" s="18">
        <v>166117.97621000002</v>
      </c>
      <c r="G11" s="205">
        <v>208995.54588684</v>
      </c>
      <c r="H11" s="205">
        <v>183189.87837798003</v>
      </c>
      <c r="I11" s="205">
        <v>227735.31707615679</v>
      </c>
    </row>
    <row r="12" spans="1:9" ht="15.75">
      <c r="A12" s="1"/>
      <c r="B12" s="82"/>
      <c r="C12" s="83"/>
      <c r="D12" s="83"/>
      <c r="E12" s="83"/>
      <c r="F12" s="83"/>
      <c r="G12" s="366"/>
      <c r="H12" s="366"/>
      <c r="I12" s="366"/>
    </row>
    <row r="13" spans="1:9">
      <c r="A13" s="1"/>
      <c r="B13" s="78" t="s">
        <v>162</v>
      </c>
      <c r="C13" s="79">
        <v>2016</v>
      </c>
      <c r="D13" s="79">
        <v>2017</v>
      </c>
      <c r="E13" s="79">
        <v>2018</v>
      </c>
      <c r="F13" s="79">
        <v>2019</v>
      </c>
      <c r="G13" s="367">
        <v>2020</v>
      </c>
      <c r="H13" s="367">
        <v>2021</v>
      </c>
      <c r="I13" s="367" t="s">
        <v>1238</v>
      </c>
    </row>
    <row r="14" spans="1:9" ht="15.75">
      <c r="A14" s="1"/>
      <c r="B14" s="12" t="s">
        <v>167</v>
      </c>
      <c r="C14" s="13">
        <v>7382.0813150399999</v>
      </c>
      <c r="D14" s="13">
        <v>8322.3125333500011</v>
      </c>
      <c r="E14" s="13">
        <v>7193.5210747499996</v>
      </c>
      <c r="F14" s="13">
        <v>9452.8463776000008</v>
      </c>
      <c r="G14" s="285">
        <v>47983.215443139998</v>
      </c>
      <c r="H14" s="285">
        <v>9705.8868289999991</v>
      </c>
      <c r="I14" s="285">
        <v>4246.4081842400001</v>
      </c>
    </row>
    <row r="15" spans="1:9" ht="15.75">
      <c r="A15" s="1"/>
      <c r="B15" s="12" t="s">
        <v>615</v>
      </c>
      <c r="C15" s="13">
        <v>33904.0159738</v>
      </c>
      <c r="D15" s="13">
        <v>34950.36</v>
      </c>
      <c r="E15" s="13">
        <v>48526.724999999999</v>
      </c>
      <c r="F15" s="13">
        <v>55840.5</v>
      </c>
      <c r="G15" s="285">
        <v>81644.284842530004</v>
      </c>
      <c r="H15" s="285">
        <v>108603.41851702001</v>
      </c>
      <c r="I15" s="285">
        <v>60797.592910941879</v>
      </c>
    </row>
    <row r="16" spans="1:9" ht="15.75">
      <c r="A16" s="1"/>
      <c r="B16" s="12" t="s">
        <v>168</v>
      </c>
      <c r="C16" s="13">
        <v>7360.0019137899999</v>
      </c>
      <c r="D16" s="13">
        <v>7967.5199805299999</v>
      </c>
      <c r="E16" s="13">
        <v>7826.9033983999998</v>
      </c>
      <c r="F16" s="13">
        <v>10403.445011</v>
      </c>
      <c r="G16" s="285">
        <v>17637.024750880002</v>
      </c>
      <c r="H16" s="285">
        <v>0</v>
      </c>
      <c r="I16" s="285">
        <v>11848.988935717261</v>
      </c>
    </row>
    <row r="17" spans="1:9" ht="15.75">
      <c r="B17" s="12" t="s">
        <v>616</v>
      </c>
      <c r="C17" s="13">
        <v>0</v>
      </c>
      <c r="D17" s="13">
        <v>0</v>
      </c>
      <c r="E17" s="13">
        <v>111221.75999999999</v>
      </c>
      <c r="F17" s="13">
        <v>120987.75</v>
      </c>
      <c r="G17" s="285">
        <v>151338.72</v>
      </c>
      <c r="H17" s="285">
        <v>256574.67</v>
      </c>
      <c r="I17" s="285">
        <v>44981.499412827128</v>
      </c>
    </row>
    <row r="18" spans="1:9" ht="15.75">
      <c r="B18" s="12" t="s">
        <v>169</v>
      </c>
      <c r="C18" s="13">
        <v>4149.8628875300001</v>
      </c>
      <c r="D18" s="13">
        <v>2879.3759279999999</v>
      </c>
      <c r="E18" s="13">
        <v>8549.504379</v>
      </c>
      <c r="F18" s="13">
        <v>4778.2111064999999</v>
      </c>
      <c r="G18" s="285">
        <v>12381.39003255</v>
      </c>
      <c r="H18" s="285">
        <v>0</v>
      </c>
      <c r="I18" s="285">
        <v>0</v>
      </c>
    </row>
    <row r="19" spans="1:9" ht="15.75">
      <c r="B19" s="12" t="s">
        <v>170</v>
      </c>
      <c r="C19" s="13">
        <v>2336.7507097199996</v>
      </c>
      <c r="D19" s="13">
        <v>2293.33840616</v>
      </c>
      <c r="E19" s="13">
        <v>2365.3841248799999</v>
      </c>
      <c r="F19" s="13">
        <v>2890.2296939399998</v>
      </c>
      <c r="G19" s="285">
        <v>3578.1572996599998</v>
      </c>
      <c r="H19" s="285">
        <v>3350.24473266</v>
      </c>
      <c r="I19" s="285">
        <v>1643.5</v>
      </c>
    </row>
    <row r="20" spans="1:9" ht="15.75">
      <c r="B20" s="12" t="s">
        <v>171</v>
      </c>
      <c r="C20" s="13">
        <v>0</v>
      </c>
      <c r="D20" s="13">
        <v>0</v>
      </c>
      <c r="E20" s="13">
        <v>2719.3969699999998</v>
      </c>
      <c r="F20" s="13">
        <v>0</v>
      </c>
      <c r="G20" s="285">
        <v>0</v>
      </c>
      <c r="H20" s="285">
        <v>53833.514428930001</v>
      </c>
      <c r="I20" s="285">
        <v>90.118512228404811</v>
      </c>
    </row>
    <row r="21" spans="1:9" ht="15.75">
      <c r="B21" s="12" t="s">
        <v>172</v>
      </c>
      <c r="C21" s="13">
        <v>0</v>
      </c>
      <c r="D21" s="13">
        <v>0</v>
      </c>
      <c r="E21" s="13">
        <v>0</v>
      </c>
      <c r="F21" s="13">
        <v>275414.48725000001</v>
      </c>
      <c r="G21" s="285">
        <v>172754.18018920001</v>
      </c>
      <c r="H21" s="285">
        <v>433972.92097229999</v>
      </c>
      <c r="I21" s="285">
        <v>340028.48537255893</v>
      </c>
    </row>
    <row r="22" spans="1:9" ht="15.75">
      <c r="B22" s="12" t="s">
        <v>173</v>
      </c>
      <c r="C22" s="13">
        <v>0</v>
      </c>
      <c r="D22" s="13">
        <v>0</v>
      </c>
      <c r="E22" s="13">
        <v>0</v>
      </c>
      <c r="F22" s="13">
        <v>0</v>
      </c>
      <c r="G22" s="285">
        <v>71698.663217179987</v>
      </c>
      <c r="H22" s="285">
        <v>85724.768589929998</v>
      </c>
      <c r="I22" s="285">
        <v>202329.45298447245</v>
      </c>
    </row>
    <row r="23" spans="1:9">
      <c r="A23" s="155" t="s">
        <v>469</v>
      </c>
      <c r="B23" s="16" t="s">
        <v>174</v>
      </c>
      <c r="C23" s="18">
        <v>55132.712799879999</v>
      </c>
      <c r="D23" s="18">
        <v>56412.906848040002</v>
      </c>
      <c r="E23" s="18">
        <v>188403.19494702996</v>
      </c>
      <c r="F23" s="18">
        <v>479767.46943904005</v>
      </c>
      <c r="G23" s="205">
        <v>559015.6357751399</v>
      </c>
      <c r="H23" s="205">
        <v>951765.42406984011</v>
      </c>
      <c r="I23" s="205">
        <v>665966.04631298606</v>
      </c>
    </row>
    <row r="24" spans="1:9">
      <c r="B24" s="84"/>
      <c r="C24" s="85"/>
      <c r="D24" s="85"/>
      <c r="E24" s="85"/>
      <c r="F24" s="85"/>
      <c r="G24" s="85"/>
      <c r="H24" s="85"/>
      <c r="I24" s="85"/>
    </row>
    <row r="25" spans="1:9">
      <c r="A25" s="155" t="s">
        <v>469</v>
      </c>
      <c r="B25" s="16" t="s">
        <v>175</v>
      </c>
      <c r="C25" s="18">
        <v>169948.25276574001</v>
      </c>
      <c r="D25" s="18">
        <v>164288.60944966</v>
      </c>
      <c r="E25" s="18">
        <v>323079.55130202998</v>
      </c>
      <c r="F25" s="18">
        <v>645885.44564904005</v>
      </c>
      <c r="G25" s="205">
        <v>768011.18166197988</v>
      </c>
      <c r="H25" s="205">
        <v>1134955.3024478201</v>
      </c>
      <c r="I25" s="205">
        <v>893701.36338914279</v>
      </c>
    </row>
    <row r="26" spans="1:9">
      <c r="B26" s="1"/>
      <c r="C26" s="1"/>
      <c r="D26" s="1"/>
      <c r="E26" s="1"/>
      <c r="F26" s="1"/>
      <c r="G26" s="1"/>
    </row>
    <row r="27" spans="1:9">
      <c r="B27" s="1"/>
      <c r="C27" s="1"/>
      <c r="D27" s="1"/>
      <c r="E27" s="1"/>
      <c r="F27" s="1"/>
      <c r="G27" s="1"/>
    </row>
    <row r="28" spans="1:9">
      <c r="B28" s="1"/>
      <c r="C28" s="1"/>
      <c r="D28" s="1"/>
      <c r="E28" s="1"/>
      <c r="F28" s="1"/>
      <c r="G28" s="1"/>
    </row>
    <row r="29" spans="1:9">
      <c r="A29" s="155" t="s">
        <v>469</v>
      </c>
      <c r="B29" s="19" t="s">
        <v>176</v>
      </c>
      <c r="C29" s="1"/>
      <c r="D29" s="1"/>
      <c r="E29" s="1"/>
      <c r="F29" s="1"/>
      <c r="G29" s="1"/>
    </row>
    <row r="30" spans="1:9">
      <c r="B30" s="21" t="s">
        <v>2</v>
      </c>
      <c r="C30" s="1"/>
      <c r="D30" s="1"/>
      <c r="E30" s="1"/>
      <c r="F30" s="1"/>
      <c r="G30" s="1"/>
    </row>
    <row r="31" spans="1:9">
      <c r="B31" s="1"/>
      <c r="C31" s="1"/>
      <c r="D31" s="1"/>
      <c r="E31" s="1"/>
      <c r="F31" s="1"/>
      <c r="G31" s="1"/>
    </row>
    <row r="32" spans="1:9">
      <c r="B32" s="78"/>
      <c r="C32" s="79">
        <v>2016</v>
      </c>
      <c r="D32" s="79">
        <v>2017</v>
      </c>
      <c r="E32" s="79">
        <v>2018</v>
      </c>
      <c r="F32" s="79">
        <v>2019</v>
      </c>
      <c r="G32" s="79">
        <v>2020</v>
      </c>
      <c r="H32" s="79">
        <v>2021</v>
      </c>
      <c r="I32" s="741">
        <v>2022</v>
      </c>
    </row>
    <row r="33" spans="1:9">
      <c r="B33" s="12" t="s">
        <v>177</v>
      </c>
      <c r="C33" s="13">
        <v>319011.23347199999</v>
      </c>
      <c r="D33" s="13">
        <v>434209.73444799997</v>
      </c>
      <c r="E33" s="13">
        <v>600361.41854800005</v>
      </c>
      <c r="F33" s="13">
        <v>611438.19748800003</v>
      </c>
      <c r="G33" s="13">
        <v>747682.57845000003</v>
      </c>
      <c r="H33" s="13">
        <v>1443304.2958819999</v>
      </c>
      <c r="I33" s="13">
        <v>829651</v>
      </c>
    </row>
    <row r="34" spans="1:9">
      <c r="B34" s="86" t="s">
        <v>178</v>
      </c>
      <c r="C34" s="87">
        <v>288</v>
      </c>
      <c r="D34" s="87">
        <v>392</v>
      </c>
      <c r="E34" s="87">
        <v>542</v>
      </c>
      <c r="F34" s="87">
        <v>552</v>
      </c>
      <c r="G34" s="87">
        <v>675</v>
      </c>
      <c r="H34" s="87">
        <v>1303</v>
      </c>
      <c r="I34" s="87">
        <v>749</v>
      </c>
    </row>
    <row r="35" spans="1:9">
      <c r="A35" s="155" t="s">
        <v>469</v>
      </c>
    </row>
    <row r="36" spans="1:9">
      <c r="B36" s="384" t="s">
        <v>1273</v>
      </c>
    </row>
    <row r="37" spans="1:9">
      <c r="B37" s="21" t="s">
        <v>1274</v>
      </c>
    </row>
    <row r="38" spans="1:9">
      <c r="B38" s="21" t="s">
        <v>648</v>
      </c>
    </row>
  </sheetData>
  <hyperlinks>
    <hyperlink ref="A1" location="'Table of Contents'!A1" display="Return to Table of Contents" xr:uid="{00000000-0004-0000-0F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6879C-2516-450D-B066-1A702AA72F4C}">
  <dimension ref="A1:H61"/>
  <sheetViews>
    <sheetView showGridLines="0" topLeftCell="A49" zoomScaleNormal="100" workbookViewId="0">
      <selection activeCell="E51" sqref="E51:E61"/>
    </sheetView>
  </sheetViews>
  <sheetFormatPr baseColWidth="10" defaultColWidth="11.42578125" defaultRowHeight="15"/>
  <cols>
    <col min="1" max="1" width="11.42578125" style="158"/>
    <col min="2" max="2" width="19.42578125" style="158" customWidth="1"/>
    <col min="3" max="3" width="62.42578125" style="158" bestFit="1" customWidth="1"/>
    <col min="4" max="4" width="14" style="158" customWidth="1"/>
    <col min="5" max="5" width="19.85546875" style="158" customWidth="1"/>
    <col min="6" max="6" width="16.42578125" style="158" customWidth="1"/>
    <col min="7" max="7" width="17" style="158" customWidth="1"/>
    <col min="8" max="16384" width="11.42578125" style="158"/>
  </cols>
  <sheetData>
    <row r="1" spans="1:8" s="135" customFormat="1">
      <c r="A1" s="3" t="s">
        <v>627</v>
      </c>
    </row>
    <row r="2" spans="1:8" s="135" customFormat="1">
      <c r="A2" s="3"/>
    </row>
    <row r="3" spans="1:8" s="135" customFormat="1">
      <c r="A3" s="3"/>
    </row>
    <row r="4" spans="1:8" s="135" customFormat="1">
      <c r="A4" s="3"/>
    </row>
    <row r="5" spans="1:8" s="135" customFormat="1">
      <c r="A5" s="3"/>
    </row>
    <row r="6" spans="1:8" s="135" customFormat="1"/>
    <row r="7" spans="1:8" ht="16.5" customHeight="1">
      <c r="B7" s="870" t="s">
        <v>957</v>
      </c>
      <c r="C7" s="870"/>
      <c r="D7" s="870"/>
      <c r="E7" s="870"/>
      <c r="F7" s="870"/>
      <c r="G7" s="870"/>
    </row>
    <row r="8" spans="1:8" s="675" customFormat="1" ht="42" customHeight="1">
      <c r="B8" s="779" t="s">
        <v>1275</v>
      </c>
      <c r="C8" s="779" t="s">
        <v>1276</v>
      </c>
      <c r="D8" s="779" t="s">
        <v>1277</v>
      </c>
      <c r="E8" s="779" t="s">
        <v>1278</v>
      </c>
      <c r="F8" s="779" t="s">
        <v>1279</v>
      </c>
      <c r="G8" s="779" t="s">
        <v>1280</v>
      </c>
      <c r="H8" s="780"/>
    </row>
    <row r="9" spans="1:8">
      <c r="B9" s="872" t="s">
        <v>156</v>
      </c>
      <c r="C9" s="676" t="s">
        <v>1006</v>
      </c>
      <c r="D9" s="677">
        <v>0</v>
      </c>
      <c r="E9" s="678" t="s">
        <v>1205</v>
      </c>
      <c r="F9" s="679">
        <v>0.77</v>
      </c>
      <c r="G9" s="680">
        <v>0.1</v>
      </c>
    </row>
    <row r="10" spans="1:8">
      <c r="B10" s="872"/>
      <c r="C10" s="676" t="s">
        <v>1007</v>
      </c>
      <c r="D10" s="677">
        <v>0</v>
      </c>
      <c r="E10" s="678" t="s">
        <v>1197</v>
      </c>
      <c r="F10" s="679">
        <v>0.55000000000000004</v>
      </c>
      <c r="G10" s="680">
        <v>0.5</v>
      </c>
    </row>
    <row r="11" spans="1:8">
      <c r="B11" s="873"/>
      <c r="C11" s="676" t="s">
        <v>1008</v>
      </c>
      <c r="D11" s="677">
        <v>0</v>
      </c>
      <c r="E11" s="678" t="s">
        <v>1197</v>
      </c>
      <c r="F11" s="679">
        <v>0.56000000000000005</v>
      </c>
      <c r="G11" s="680">
        <v>0.4</v>
      </c>
    </row>
    <row r="12" spans="1:8">
      <c r="B12" s="874" t="s">
        <v>943</v>
      </c>
      <c r="C12" s="676" t="s">
        <v>944</v>
      </c>
      <c r="D12" s="677">
        <v>351.7</v>
      </c>
      <c r="E12" s="678" t="s">
        <v>1199</v>
      </c>
      <c r="F12" s="679">
        <v>0.98</v>
      </c>
      <c r="G12" s="680">
        <v>14.13</v>
      </c>
    </row>
    <row r="13" spans="1:8">
      <c r="B13" s="872"/>
      <c r="C13" s="676" t="s">
        <v>946</v>
      </c>
      <c r="D13" s="677">
        <v>16</v>
      </c>
      <c r="E13" s="678" t="s">
        <v>1198</v>
      </c>
      <c r="F13" s="679">
        <v>0.77</v>
      </c>
      <c r="G13" s="680">
        <v>10.8</v>
      </c>
    </row>
    <row r="14" spans="1:8">
      <c r="B14" s="872"/>
      <c r="C14" s="676" t="s">
        <v>1224</v>
      </c>
      <c r="D14" s="677">
        <v>0</v>
      </c>
      <c r="E14" s="678" t="s">
        <v>1200</v>
      </c>
      <c r="F14" s="679">
        <v>0.22</v>
      </c>
      <c r="G14" s="680">
        <v>0.75</v>
      </c>
    </row>
    <row r="15" spans="1:8">
      <c r="B15" s="872"/>
      <c r="C15" s="676" t="s">
        <v>945</v>
      </c>
      <c r="D15" s="677">
        <v>65</v>
      </c>
      <c r="E15" s="678" t="s">
        <v>1200</v>
      </c>
      <c r="F15" s="679">
        <v>0.82</v>
      </c>
      <c r="G15" s="680">
        <v>4.9000000000000004</v>
      </c>
    </row>
    <row r="16" spans="1:8">
      <c r="B16" s="872"/>
      <c r="C16" s="676" t="s">
        <v>1049</v>
      </c>
      <c r="D16" s="677">
        <v>37</v>
      </c>
      <c r="E16" s="678" t="s">
        <v>1208</v>
      </c>
      <c r="F16" s="679">
        <v>0.65</v>
      </c>
      <c r="G16" s="680">
        <v>2.7</v>
      </c>
    </row>
    <row r="17" spans="2:7">
      <c r="B17" s="872"/>
      <c r="C17" s="676" t="s">
        <v>1225</v>
      </c>
      <c r="D17" s="677">
        <v>68</v>
      </c>
      <c r="E17" s="678" t="s">
        <v>1201</v>
      </c>
      <c r="F17" s="679">
        <v>0.19</v>
      </c>
      <c r="G17" s="680">
        <v>4.6500000000000004</v>
      </c>
    </row>
    <row r="18" spans="2:7">
      <c r="B18" s="872"/>
      <c r="C18" s="676" t="s">
        <v>947</v>
      </c>
      <c r="D18" s="677">
        <v>289</v>
      </c>
      <c r="E18" s="678" t="s">
        <v>1288</v>
      </c>
      <c r="F18" s="679">
        <v>0.64</v>
      </c>
      <c r="G18" s="680">
        <v>18.2</v>
      </c>
    </row>
    <row r="19" spans="2:7">
      <c r="B19" s="872"/>
      <c r="C19" s="676" t="s">
        <v>1050</v>
      </c>
      <c r="D19" s="677">
        <v>218</v>
      </c>
      <c r="E19" s="678" t="s">
        <v>1288</v>
      </c>
      <c r="F19" s="679">
        <v>0.45</v>
      </c>
      <c r="G19" s="680">
        <v>7.1</v>
      </c>
    </row>
    <row r="20" spans="2:7">
      <c r="B20" s="872"/>
      <c r="C20" s="676" t="s">
        <v>948</v>
      </c>
      <c r="D20" s="677">
        <v>275</v>
      </c>
      <c r="E20" s="678" t="s">
        <v>1202</v>
      </c>
      <c r="F20" s="679">
        <v>0.43</v>
      </c>
      <c r="G20" s="680">
        <v>9.4</v>
      </c>
    </row>
    <row r="21" spans="2:7">
      <c r="B21" s="872"/>
      <c r="C21" s="676" t="s">
        <v>1051</v>
      </c>
      <c r="D21" s="677">
        <v>16</v>
      </c>
      <c r="E21" s="678" t="s">
        <v>1203</v>
      </c>
      <c r="F21" s="679">
        <v>0.12</v>
      </c>
      <c r="G21" s="680">
        <v>1.5</v>
      </c>
    </row>
    <row r="22" spans="2:7">
      <c r="B22" s="874" t="s">
        <v>916</v>
      </c>
      <c r="C22" s="676" t="s">
        <v>1226</v>
      </c>
      <c r="D22" s="677">
        <v>0</v>
      </c>
      <c r="E22" s="678" t="s">
        <v>1199</v>
      </c>
      <c r="F22" s="679">
        <v>0.32</v>
      </c>
      <c r="G22" s="680">
        <v>0.05</v>
      </c>
    </row>
    <row r="23" spans="2:7">
      <c r="B23" s="872"/>
      <c r="C23" s="676" t="s">
        <v>1227</v>
      </c>
      <c r="D23" s="677">
        <v>0</v>
      </c>
      <c r="E23" s="678" t="s">
        <v>1198</v>
      </c>
      <c r="F23" s="679">
        <v>0.56000000000000005</v>
      </c>
      <c r="G23" s="680">
        <v>11.1</v>
      </c>
    </row>
    <row r="24" spans="2:7" s="771" customFormat="1">
      <c r="B24" s="872"/>
      <c r="C24" s="676" t="s">
        <v>1281</v>
      </c>
      <c r="D24" s="677">
        <v>7</v>
      </c>
      <c r="E24" s="678" t="s">
        <v>1205</v>
      </c>
      <c r="F24" s="679">
        <v>0.16</v>
      </c>
      <c r="G24" s="680">
        <v>0.7</v>
      </c>
    </row>
    <row r="25" spans="2:7">
      <c r="B25" s="873"/>
      <c r="C25" s="676" t="s">
        <v>1228</v>
      </c>
      <c r="D25" s="677">
        <v>0</v>
      </c>
      <c r="E25" s="678" t="s">
        <v>1205</v>
      </c>
      <c r="F25" s="679">
        <v>0.18</v>
      </c>
      <c r="G25" s="680">
        <v>1.1499999999999999</v>
      </c>
    </row>
    <row r="26" spans="2:7">
      <c r="B26" s="875" t="s">
        <v>881</v>
      </c>
      <c r="C26" s="676" t="s">
        <v>949</v>
      </c>
      <c r="D26" s="677">
        <v>1248</v>
      </c>
      <c r="E26" s="707" t="s">
        <v>1230</v>
      </c>
      <c r="F26" s="679">
        <v>0.97</v>
      </c>
      <c r="G26" s="680">
        <v>21.7</v>
      </c>
    </row>
    <row r="27" spans="2:7">
      <c r="B27" s="875"/>
      <c r="C27" s="676" t="s">
        <v>950</v>
      </c>
      <c r="D27" s="677">
        <v>676</v>
      </c>
      <c r="E27" s="707" t="s">
        <v>1230</v>
      </c>
      <c r="F27" s="679">
        <v>0.94</v>
      </c>
      <c r="G27" s="680">
        <v>32.4</v>
      </c>
    </row>
    <row r="28" spans="2:7">
      <c r="B28" s="875"/>
      <c r="C28" s="676" t="s">
        <v>951</v>
      </c>
      <c r="D28" s="677">
        <v>79</v>
      </c>
      <c r="E28" s="707" t="s">
        <v>1204</v>
      </c>
      <c r="F28" s="679">
        <v>0.86</v>
      </c>
      <c r="G28" s="680">
        <v>14.3</v>
      </c>
    </row>
    <row r="29" spans="2:7">
      <c r="B29" s="875"/>
      <c r="C29" s="676" t="s">
        <v>952</v>
      </c>
      <c r="D29" s="677">
        <v>1115</v>
      </c>
      <c r="E29" s="707" t="s">
        <v>1199</v>
      </c>
      <c r="F29" s="679">
        <v>0.95</v>
      </c>
      <c r="G29" s="680">
        <v>81.2</v>
      </c>
    </row>
    <row r="30" spans="2:7">
      <c r="B30" s="875"/>
      <c r="C30" s="676" t="s">
        <v>953</v>
      </c>
      <c r="D30" s="677">
        <v>57</v>
      </c>
      <c r="E30" s="707" t="s">
        <v>1205</v>
      </c>
      <c r="F30" s="679">
        <v>0.92</v>
      </c>
      <c r="G30" s="680">
        <v>11.8</v>
      </c>
    </row>
    <row r="31" spans="2:7" ht="16.5" customHeight="1">
      <c r="B31" s="875"/>
      <c r="C31" s="676" t="s">
        <v>954</v>
      </c>
      <c r="D31" s="677">
        <v>37</v>
      </c>
      <c r="E31" s="707" t="s">
        <v>1206</v>
      </c>
      <c r="F31" s="679">
        <v>0.96</v>
      </c>
      <c r="G31" s="680">
        <v>1.3</v>
      </c>
    </row>
    <row r="32" spans="2:7">
      <c r="B32" s="875"/>
      <c r="C32" s="676" t="s">
        <v>955</v>
      </c>
      <c r="D32" s="677">
        <v>169</v>
      </c>
      <c r="E32" s="707" t="s">
        <v>1203</v>
      </c>
      <c r="F32" s="679">
        <v>0.49</v>
      </c>
      <c r="G32" s="680">
        <v>9.5</v>
      </c>
    </row>
    <row r="33" spans="2:7">
      <c r="B33" s="875"/>
      <c r="C33" s="676" t="s">
        <v>956</v>
      </c>
      <c r="D33" s="677">
        <v>173</v>
      </c>
      <c r="E33" s="707" t="s">
        <v>1203</v>
      </c>
      <c r="F33" s="679">
        <v>0.46</v>
      </c>
      <c r="G33" s="680">
        <v>9.8000000000000007</v>
      </c>
    </row>
    <row r="34" spans="2:7">
      <c r="B34" s="875"/>
      <c r="C34" s="676" t="s">
        <v>1009</v>
      </c>
      <c r="D34" s="677">
        <v>30</v>
      </c>
      <c r="E34" s="707" t="s">
        <v>1207</v>
      </c>
      <c r="F34" s="679">
        <v>0.22</v>
      </c>
      <c r="G34" s="680">
        <v>13</v>
      </c>
    </row>
    <row r="35" spans="2:7" s="706" customFormat="1">
      <c r="B35" s="875" t="s">
        <v>877</v>
      </c>
      <c r="C35" s="676" t="s">
        <v>1282</v>
      </c>
      <c r="D35" s="677">
        <v>392</v>
      </c>
      <c r="E35" s="707" t="s">
        <v>1208</v>
      </c>
      <c r="F35" s="679">
        <v>0.81</v>
      </c>
      <c r="G35" s="680">
        <v>22.3</v>
      </c>
    </row>
    <row r="36" spans="2:7" s="706" customFormat="1">
      <c r="B36" s="875"/>
      <c r="C36" s="676" t="s">
        <v>1283</v>
      </c>
      <c r="D36" s="677">
        <v>0</v>
      </c>
      <c r="E36" s="707" t="s">
        <v>1197</v>
      </c>
      <c r="F36" s="679">
        <v>0.23</v>
      </c>
      <c r="G36" s="680">
        <v>3</v>
      </c>
    </row>
    <row r="37" spans="2:7" s="706" customFormat="1">
      <c r="B37" s="875"/>
      <c r="C37" s="676" t="s">
        <v>1284</v>
      </c>
      <c r="D37" s="677">
        <v>405</v>
      </c>
      <c r="E37" s="707" t="s">
        <v>1288</v>
      </c>
      <c r="F37" s="679">
        <v>0.74</v>
      </c>
      <c r="G37" s="680">
        <v>18.3</v>
      </c>
    </row>
    <row r="38" spans="2:7" s="771" customFormat="1">
      <c r="B38" s="875"/>
      <c r="C38" s="676" t="s">
        <v>1229</v>
      </c>
      <c r="D38" s="677">
        <v>7</v>
      </c>
      <c r="E38" s="772" t="s">
        <v>1206</v>
      </c>
      <c r="F38" s="679">
        <v>0.11</v>
      </c>
      <c r="G38" s="680">
        <v>1.65</v>
      </c>
    </row>
    <row r="39" spans="2:7" s="771" customFormat="1">
      <c r="B39" s="875"/>
      <c r="C39" s="676" t="s">
        <v>1285</v>
      </c>
      <c r="D39" s="677">
        <v>1</v>
      </c>
      <c r="E39" s="772" t="s">
        <v>1206</v>
      </c>
      <c r="F39" s="679">
        <v>0.18</v>
      </c>
      <c r="G39" s="680">
        <v>1.8</v>
      </c>
    </row>
    <row r="40" spans="2:7" s="771" customFormat="1">
      <c r="B40" s="875"/>
      <c r="C40" s="676" t="s">
        <v>1286</v>
      </c>
      <c r="D40" s="677">
        <v>1</v>
      </c>
      <c r="E40" s="772" t="s">
        <v>1206</v>
      </c>
      <c r="F40" s="679">
        <v>0.18</v>
      </c>
      <c r="G40" s="680">
        <v>1.8</v>
      </c>
    </row>
    <row r="41" spans="2:7" s="706" customFormat="1">
      <c r="B41" s="875"/>
      <c r="C41" s="676" t="s">
        <v>1287</v>
      </c>
      <c r="D41" s="677">
        <v>2</v>
      </c>
      <c r="E41" s="707" t="s">
        <v>1209</v>
      </c>
      <c r="F41" s="679">
        <v>0.2</v>
      </c>
      <c r="G41" s="680">
        <v>3</v>
      </c>
    </row>
    <row r="42" spans="2:7">
      <c r="B42" s="200"/>
      <c r="C42" s="201"/>
      <c r="D42" s="202"/>
      <c r="E42" s="200"/>
      <c r="F42" s="203"/>
    </row>
    <row r="43" spans="2:7">
      <c r="B43" s="685" t="s">
        <v>1210</v>
      </c>
      <c r="C43" s="201"/>
      <c r="D43" s="202"/>
      <c r="E43" s="200"/>
      <c r="F43" s="203"/>
    </row>
    <row r="44" spans="2:7">
      <c r="B44" s="204"/>
      <c r="C44" s="201"/>
      <c r="D44" s="202"/>
      <c r="E44" s="200"/>
      <c r="F44" s="203"/>
    </row>
    <row r="45" spans="2:7" ht="25.5">
      <c r="B45" s="691" t="s">
        <v>1289</v>
      </c>
      <c r="C45" s="691"/>
      <c r="D45" s="692" t="s">
        <v>1211</v>
      </c>
      <c r="E45" s="692" t="s">
        <v>1212</v>
      </c>
      <c r="F45" s="692" t="s">
        <v>1213</v>
      </c>
    </row>
    <row r="46" spans="2:7">
      <c r="B46" s="690"/>
      <c r="C46" s="686"/>
      <c r="D46" s="687"/>
      <c r="E46" s="688"/>
      <c r="F46" s="689"/>
    </row>
    <row r="47" spans="2:7">
      <c r="B47" s="690"/>
      <c r="C47" s="686"/>
      <c r="D47" s="687"/>
      <c r="E47" s="688"/>
      <c r="F47" s="689"/>
    </row>
    <row r="48" spans="2:7">
      <c r="B48" s="204"/>
      <c r="C48" s="201"/>
      <c r="D48" s="202"/>
      <c r="E48" s="682"/>
      <c r="F48" s="682"/>
      <c r="G48" s="203"/>
    </row>
    <row r="49" spans="2:7">
      <c r="B49" s="204"/>
      <c r="C49" s="201"/>
      <c r="D49" s="202"/>
      <c r="E49" s="682"/>
      <c r="F49" s="682"/>
      <c r="G49" s="203"/>
    </row>
    <row r="50" spans="2:7">
      <c r="B50" s="204"/>
      <c r="C50" s="201"/>
      <c r="D50" s="202"/>
      <c r="E50" s="682"/>
      <c r="F50" s="682"/>
      <c r="G50" s="203"/>
    </row>
    <row r="51" spans="2:7">
      <c r="B51" s="871" t="s">
        <v>1214</v>
      </c>
      <c r="C51" s="871"/>
      <c r="D51" s="871"/>
      <c r="E51" s="683"/>
      <c r="F51" s="683"/>
    </row>
    <row r="52" spans="2:7" ht="25.5">
      <c r="B52" s="779" t="s">
        <v>1275</v>
      </c>
      <c r="C52" s="782" t="s">
        <v>1276</v>
      </c>
      <c r="D52" s="783" t="s">
        <v>1053</v>
      </c>
      <c r="E52" s="684"/>
    </row>
    <row r="53" spans="2:7" ht="17.45" customHeight="1">
      <c r="B53" s="781" t="s">
        <v>1191</v>
      </c>
      <c r="C53" s="676" t="s">
        <v>1231</v>
      </c>
      <c r="D53" s="681">
        <v>2021</v>
      </c>
      <c r="E53" s="201"/>
    </row>
    <row r="54" spans="2:7">
      <c r="B54" s="781" t="s">
        <v>1191</v>
      </c>
      <c r="C54" s="676" t="s">
        <v>1232</v>
      </c>
      <c r="D54" s="681">
        <v>2022</v>
      </c>
      <c r="E54" s="201"/>
    </row>
    <row r="55" spans="2:7">
      <c r="B55" s="781" t="s">
        <v>1191</v>
      </c>
      <c r="C55" s="676" t="s">
        <v>1233</v>
      </c>
      <c r="D55" s="681" t="s">
        <v>1192</v>
      </c>
      <c r="E55" s="201"/>
    </row>
    <row r="56" spans="2:7">
      <c r="B56" s="781" t="s">
        <v>1191</v>
      </c>
      <c r="C56" s="676" t="s">
        <v>1290</v>
      </c>
      <c r="D56" s="681"/>
      <c r="E56" s="201"/>
    </row>
    <row r="57" spans="2:7">
      <c r="B57" s="781" t="s">
        <v>1191</v>
      </c>
      <c r="C57" s="676" t="s">
        <v>1291</v>
      </c>
      <c r="D57" s="681"/>
      <c r="E57" s="201"/>
    </row>
    <row r="58" spans="2:7">
      <c r="B58" s="781" t="s">
        <v>1194</v>
      </c>
      <c r="C58" s="676" t="s">
        <v>1235</v>
      </c>
      <c r="D58" s="681">
        <v>2022</v>
      </c>
      <c r="E58" s="201"/>
    </row>
    <row r="59" spans="2:7">
      <c r="B59" s="781" t="s">
        <v>1193</v>
      </c>
      <c r="C59" s="676" t="s">
        <v>1234</v>
      </c>
      <c r="D59" s="681">
        <v>2023</v>
      </c>
      <c r="E59" s="201"/>
    </row>
    <row r="60" spans="2:7">
      <c r="B60" s="781" t="s">
        <v>1195</v>
      </c>
      <c r="C60" s="676" t="s">
        <v>1236</v>
      </c>
      <c r="D60" s="681">
        <v>2023</v>
      </c>
      <c r="E60" s="201"/>
    </row>
    <row r="61" spans="2:7">
      <c r="B61" s="781" t="s">
        <v>1196</v>
      </c>
      <c r="C61" s="676" t="s">
        <v>1052</v>
      </c>
      <c r="D61" s="772">
        <v>2023</v>
      </c>
    </row>
  </sheetData>
  <mergeCells count="7">
    <mergeCell ref="B7:G7"/>
    <mergeCell ref="B9:B11"/>
    <mergeCell ref="B12:B21"/>
    <mergeCell ref="B22:B25"/>
    <mergeCell ref="B26:B34"/>
    <mergeCell ref="B35:B41"/>
    <mergeCell ref="B51:D51"/>
  </mergeCells>
  <hyperlinks>
    <hyperlink ref="A1" location="'Table of Contents'!A1" display="Return to Table of Contents" xr:uid="{CD6E0747-EF6E-4508-B5E7-5FDE0D0D85BF}"/>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92B3B-90C8-4E7F-961F-2316F94CA6C5}">
  <dimension ref="A1:C32"/>
  <sheetViews>
    <sheetView showGridLines="0" workbookViewId="0">
      <selection activeCell="A2" sqref="A2"/>
    </sheetView>
  </sheetViews>
  <sheetFormatPr baseColWidth="10" defaultRowHeight="15"/>
  <cols>
    <col min="2" max="2" width="26.85546875" bestFit="1" customWidth="1"/>
    <col min="3" max="3" width="42" bestFit="1" customWidth="1"/>
  </cols>
  <sheetData>
    <row r="1" spans="1:3">
      <c r="A1" s="3" t="s">
        <v>627</v>
      </c>
    </row>
    <row r="3" spans="1:3" ht="36">
      <c r="B3" s="646" t="s">
        <v>1083</v>
      </c>
      <c r="C3" s="5"/>
    </row>
    <row r="4" spans="1:3">
      <c r="B4" s="647"/>
      <c r="C4" s="647"/>
    </row>
    <row r="5" spans="1:3" ht="21.95" customHeight="1">
      <c r="B5" s="648" t="s">
        <v>1072</v>
      </c>
      <c r="C5" s="649" t="s">
        <v>1084</v>
      </c>
    </row>
    <row r="6" spans="1:3">
      <c r="B6" s="650" t="s">
        <v>640</v>
      </c>
      <c r="C6" s="651">
        <v>2032</v>
      </c>
    </row>
    <row r="7" spans="1:3" ht="29.45" customHeight="1">
      <c r="B7" s="650" t="s">
        <v>877</v>
      </c>
      <c r="C7" s="652" t="s">
        <v>1086</v>
      </c>
    </row>
    <row r="8" spans="1:3">
      <c r="B8" s="650" t="s">
        <v>641</v>
      </c>
      <c r="C8" s="651" t="s">
        <v>1087</v>
      </c>
    </row>
    <row r="9" spans="1:3" ht="35.450000000000003" customHeight="1">
      <c r="B9" s="653" t="s">
        <v>1073</v>
      </c>
      <c r="C9" s="652" t="s">
        <v>1088</v>
      </c>
    </row>
    <row r="10" spans="1:3">
      <c r="B10" s="654"/>
      <c r="C10" s="655"/>
    </row>
    <row r="11" spans="1:3" ht="22.5" customHeight="1">
      <c r="B11" s="648" t="s">
        <v>1074</v>
      </c>
      <c r="C11" s="649" t="str">
        <f>+C5</f>
        <v>Completition year</v>
      </c>
    </row>
    <row r="12" spans="1:3" ht="24.6" customHeight="1">
      <c r="B12" s="650" t="s">
        <v>1075</v>
      </c>
      <c r="C12" s="652" t="s">
        <v>1085</v>
      </c>
    </row>
    <row r="13" spans="1:3">
      <c r="B13" s="650" t="s">
        <v>881</v>
      </c>
      <c r="C13" s="651">
        <v>2042</v>
      </c>
    </row>
    <row r="14" spans="1:3">
      <c r="B14" s="656" t="s">
        <v>1076</v>
      </c>
      <c r="C14" s="651">
        <v>2039</v>
      </c>
    </row>
    <row r="15" spans="1:3">
      <c r="B15" s="656" t="s">
        <v>882</v>
      </c>
      <c r="C15" s="651">
        <v>2050</v>
      </c>
    </row>
    <row r="16" spans="1:3">
      <c r="B16" s="656" t="s">
        <v>884</v>
      </c>
      <c r="C16" s="755">
        <v>2038</v>
      </c>
    </row>
    <row r="17" spans="2:3">
      <c r="B17" s="656" t="s">
        <v>1077</v>
      </c>
      <c r="C17" s="651">
        <v>2041</v>
      </c>
    </row>
    <row r="18" spans="2:3">
      <c r="B18" s="656" t="s">
        <v>1078</v>
      </c>
      <c r="C18" s="651">
        <f>+C17</f>
        <v>2041</v>
      </c>
    </row>
    <row r="19" spans="2:3">
      <c r="B19" s="656" t="s">
        <v>1079</v>
      </c>
      <c r="C19" s="651">
        <v>2050</v>
      </c>
    </row>
    <row r="20" spans="2:3">
      <c r="B20" s="656" t="s">
        <v>1250</v>
      </c>
      <c r="C20" s="651">
        <v>2046</v>
      </c>
    </row>
    <row r="21" spans="2:3">
      <c r="B21" s="656" t="s">
        <v>1251</v>
      </c>
      <c r="C21" s="651">
        <v>2047</v>
      </c>
    </row>
    <row r="22" spans="2:3">
      <c r="B22" s="656" t="s">
        <v>1080</v>
      </c>
      <c r="C22" s="651">
        <v>2050</v>
      </c>
    </row>
    <row r="23" spans="2:3">
      <c r="B23" s="656" t="s">
        <v>1252</v>
      </c>
      <c r="C23" s="651">
        <v>2047</v>
      </c>
    </row>
    <row r="24" spans="2:3">
      <c r="B24" s="656" t="s">
        <v>1253</v>
      </c>
      <c r="C24" s="651">
        <v>2048</v>
      </c>
    </row>
    <row r="25" spans="2:3">
      <c r="B25" s="656" t="s">
        <v>1254</v>
      </c>
      <c r="C25" s="651">
        <v>2047</v>
      </c>
    </row>
    <row r="26" spans="2:3">
      <c r="B26" s="656" t="s">
        <v>1255</v>
      </c>
      <c r="C26" s="651">
        <v>2048</v>
      </c>
    </row>
    <row r="27" spans="2:3">
      <c r="B27" s="656" t="s">
        <v>1256</v>
      </c>
      <c r="C27" s="651">
        <v>2051</v>
      </c>
    </row>
    <row r="28" spans="2:3">
      <c r="B28" s="656" t="s">
        <v>1081</v>
      </c>
      <c r="C28" s="651">
        <v>2039</v>
      </c>
    </row>
    <row r="29" spans="2:3">
      <c r="B29" s="656" t="s">
        <v>1082</v>
      </c>
      <c r="C29" s="651">
        <v>2041</v>
      </c>
    </row>
    <row r="30" spans="2:3">
      <c r="B30" s="656" t="s">
        <v>1257</v>
      </c>
      <c r="C30" s="651">
        <v>2047</v>
      </c>
    </row>
    <row r="31" spans="2:3">
      <c r="B31" s="656" t="s">
        <v>1258</v>
      </c>
      <c r="C31" s="651">
        <v>2047</v>
      </c>
    </row>
    <row r="32" spans="2:3">
      <c r="B32" s="656" t="s">
        <v>1259</v>
      </c>
      <c r="C32" s="651">
        <v>2047</v>
      </c>
    </row>
  </sheetData>
  <hyperlinks>
    <hyperlink ref="A1" location="'Table of Contents'!A1" display="Return to Table of Contents" xr:uid="{9AA723B9-9CC5-4E23-A8FA-5DC01C9670E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9CAA0-753D-4069-B4ED-FE4C07D50130}">
  <dimension ref="A1:H119"/>
  <sheetViews>
    <sheetView showGridLines="0" workbookViewId="0">
      <selection activeCell="C9" sqref="C9"/>
    </sheetView>
  </sheetViews>
  <sheetFormatPr baseColWidth="10" defaultColWidth="10.85546875" defaultRowHeight="15"/>
  <cols>
    <col min="1" max="2" width="10.85546875" style="135"/>
    <col min="3" max="3" width="47.85546875" style="135" bestFit="1" customWidth="1"/>
    <col min="4" max="4" width="13.140625" style="135" bestFit="1" customWidth="1"/>
    <col min="5" max="5" width="16.85546875" style="155" customWidth="1"/>
    <col min="6" max="6" width="12.85546875" style="135" bestFit="1" customWidth="1"/>
    <col min="7" max="7" width="51" style="135" bestFit="1" customWidth="1"/>
    <col min="8" max="8" width="14.5703125" style="135" customWidth="1"/>
    <col min="9" max="16384" width="10.85546875" style="135"/>
  </cols>
  <sheetData>
    <row r="1" spans="1:8">
      <c r="A1" s="3" t="s">
        <v>627</v>
      </c>
    </row>
    <row r="3" spans="1:8">
      <c r="A3" s="221"/>
      <c r="B3" s="221"/>
      <c r="C3" s="221"/>
      <c r="D3" s="221"/>
      <c r="E3" s="657"/>
      <c r="F3" s="221"/>
      <c r="G3" s="221"/>
      <c r="H3" s="221"/>
    </row>
    <row r="4" spans="1:8">
      <c r="A4" s="221"/>
      <c r="B4" s="221"/>
      <c r="C4" s="221"/>
      <c r="D4" s="221"/>
      <c r="E4" s="657"/>
      <c r="F4" s="221"/>
      <c r="G4" s="221"/>
      <c r="H4" s="221"/>
    </row>
    <row r="5" spans="1:8" ht="30.95" customHeight="1">
      <c r="A5" s="221"/>
      <c r="B5" s="221"/>
      <c r="C5" s="221"/>
      <c r="D5" s="662" t="s">
        <v>1166</v>
      </c>
      <c r="E5" s="662" t="s">
        <v>1164</v>
      </c>
      <c r="F5" s="698" t="s">
        <v>1165</v>
      </c>
    </row>
    <row r="6" spans="1:8">
      <c r="A6" s="221"/>
      <c r="B6" s="221"/>
      <c r="C6" s="221"/>
      <c r="D6" s="658" t="s">
        <v>1090</v>
      </c>
      <c r="E6" s="659" t="s">
        <v>1091</v>
      </c>
      <c r="F6" s="717">
        <v>46</v>
      </c>
    </row>
    <row r="7" spans="1:8">
      <c r="A7" s="221"/>
      <c r="B7" s="221"/>
      <c r="C7" s="221"/>
      <c r="D7" s="660" t="s">
        <v>1158</v>
      </c>
      <c r="E7" s="659" t="s">
        <v>1157</v>
      </c>
      <c r="F7" s="718">
        <v>11</v>
      </c>
    </row>
    <row r="8" spans="1:8">
      <c r="A8" s="221"/>
      <c r="B8" s="221"/>
      <c r="C8" s="221"/>
      <c r="D8" s="660" t="s">
        <v>1160</v>
      </c>
      <c r="E8" s="659" t="s">
        <v>1159</v>
      </c>
      <c r="F8" s="718">
        <v>1</v>
      </c>
    </row>
    <row r="9" spans="1:8">
      <c r="A9" s="221"/>
      <c r="B9" s="221"/>
      <c r="C9" s="221"/>
      <c r="D9" s="660" t="s">
        <v>1092</v>
      </c>
      <c r="E9" s="659" t="s">
        <v>1161</v>
      </c>
      <c r="F9" s="718">
        <v>4</v>
      </c>
    </row>
    <row r="10" spans="1:8">
      <c r="A10" s="221"/>
      <c r="B10" s="221"/>
      <c r="C10" s="221"/>
      <c r="D10" s="660" t="s">
        <v>1163</v>
      </c>
      <c r="E10" s="659" t="s">
        <v>1162</v>
      </c>
      <c r="F10" s="718">
        <v>3</v>
      </c>
    </row>
    <row r="11" spans="1:8">
      <c r="A11" s="221"/>
      <c r="B11" s="221"/>
      <c r="C11" s="221"/>
      <c r="D11" s="895" t="s">
        <v>1247</v>
      </c>
      <c r="E11" s="896"/>
      <c r="F11" s="719">
        <v>1</v>
      </c>
    </row>
    <row r="12" spans="1:8">
      <c r="A12" s="221"/>
      <c r="B12" s="221"/>
      <c r="C12" s="221"/>
      <c r="D12" s="897" t="s">
        <v>1248</v>
      </c>
      <c r="E12" s="898"/>
      <c r="F12" s="715">
        <f>SUM(F6:F11)</f>
        <v>66</v>
      </c>
      <c r="G12" s="221"/>
      <c r="H12" s="221"/>
    </row>
    <row r="13" spans="1:8">
      <c r="A13" s="221"/>
      <c r="B13" s="221"/>
      <c r="C13" s="221"/>
      <c r="D13" s="221"/>
      <c r="E13" s="657"/>
      <c r="F13" s="221"/>
      <c r="G13" s="221"/>
      <c r="H13" s="221"/>
    </row>
    <row r="14" spans="1:8" ht="24.75">
      <c r="A14" s="221"/>
      <c r="B14" s="662" t="s">
        <v>1164</v>
      </c>
      <c r="C14" s="662" t="s">
        <v>1167</v>
      </c>
      <c r="D14" s="661" t="s">
        <v>1168</v>
      </c>
      <c r="E14" s="661" t="s">
        <v>1169</v>
      </c>
      <c r="F14" s="661" t="s">
        <v>1170</v>
      </c>
      <c r="G14" s="662" t="s">
        <v>1249</v>
      </c>
      <c r="H14" s="221"/>
    </row>
    <row r="15" spans="1:8">
      <c r="A15" s="221"/>
      <c r="B15" s="720" t="s">
        <v>1090</v>
      </c>
      <c r="C15" s="660" t="s">
        <v>1093</v>
      </c>
      <c r="D15" s="784">
        <v>1</v>
      </c>
      <c r="E15" s="784"/>
      <c r="F15" s="784">
        <v>1</v>
      </c>
      <c r="G15" s="660"/>
      <c r="H15" s="699"/>
    </row>
    <row r="16" spans="1:8">
      <c r="A16" s="221"/>
      <c r="B16" s="879" t="s">
        <v>1090</v>
      </c>
      <c r="C16" s="882" t="s">
        <v>1094</v>
      </c>
      <c r="D16" s="876"/>
      <c r="E16" s="876">
        <v>0.99999940747407889</v>
      </c>
      <c r="F16" s="876">
        <v>0.99999940747407889</v>
      </c>
      <c r="G16" s="660" t="s">
        <v>1129</v>
      </c>
      <c r="H16" s="699"/>
    </row>
    <row r="17" spans="1:8">
      <c r="A17" s="221"/>
      <c r="B17" s="880"/>
      <c r="C17" s="885"/>
      <c r="D17" s="878"/>
      <c r="E17" s="878"/>
      <c r="F17" s="878"/>
      <c r="G17" s="660" t="s">
        <v>1153</v>
      </c>
      <c r="H17" s="699"/>
    </row>
    <row r="18" spans="1:8">
      <c r="A18" s="221"/>
      <c r="B18" s="716" t="s">
        <v>1092</v>
      </c>
      <c r="C18" s="660" t="s">
        <v>1095</v>
      </c>
      <c r="D18" s="785"/>
      <c r="E18" s="785">
        <v>0.3580435560536</v>
      </c>
      <c r="F18" s="785">
        <v>0.3580435560536</v>
      </c>
      <c r="G18" s="660" t="s">
        <v>1103</v>
      </c>
      <c r="H18" s="699"/>
    </row>
    <row r="19" spans="1:8">
      <c r="A19" s="221"/>
      <c r="B19" s="721" t="s">
        <v>1215</v>
      </c>
      <c r="C19" s="663" t="s">
        <v>1096</v>
      </c>
      <c r="D19" s="786">
        <v>0.2469509</v>
      </c>
      <c r="E19" s="786"/>
      <c r="F19" s="786">
        <v>0.2469509</v>
      </c>
      <c r="G19" s="660"/>
      <c r="H19" s="699"/>
    </row>
    <row r="20" spans="1:8">
      <c r="A20" s="221"/>
      <c r="B20" s="879" t="s">
        <v>1092</v>
      </c>
      <c r="C20" s="882" t="s">
        <v>1097</v>
      </c>
      <c r="D20" s="876"/>
      <c r="E20" s="876">
        <v>8.8530082720799999E-2</v>
      </c>
      <c r="F20" s="876">
        <v>8.8530082720799999E-2</v>
      </c>
      <c r="G20" s="660" t="s">
        <v>1103</v>
      </c>
      <c r="H20" s="699"/>
    </row>
    <row r="21" spans="1:8">
      <c r="A21" s="221"/>
      <c r="B21" s="881"/>
      <c r="C21" s="883"/>
      <c r="D21" s="877"/>
      <c r="E21" s="877"/>
      <c r="F21" s="877"/>
      <c r="G21" s="660" t="s">
        <v>1112</v>
      </c>
      <c r="H21" s="699"/>
    </row>
    <row r="22" spans="1:8">
      <c r="A22" s="221"/>
      <c r="B22" s="881"/>
      <c r="C22" s="883"/>
      <c r="D22" s="877"/>
      <c r="E22" s="877"/>
      <c r="F22" s="877"/>
      <c r="G22" s="660" t="s">
        <v>1117</v>
      </c>
      <c r="H22" s="699"/>
    </row>
    <row r="23" spans="1:8">
      <c r="A23" s="221"/>
      <c r="B23" s="880"/>
      <c r="C23" s="884"/>
      <c r="D23" s="878"/>
      <c r="E23" s="878"/>
      <c r="F23" s="878"/>
      <c r="G23" s="660" t="s">
        <v>1122</v>
      </c>
      <c r="H23" s="699"/>
    </row>
    <row r="24" spans="1:8">
      <c r="A24" s="221"/>
      <c r="B24" s="879" t="s">
        <v>1092</v>
      </c>
      <c r="C24" s="882" t="s">
        <v>1098</v>
      </c>
      <c r="D24" s="876"/>
      <c r="E24" s="876">
        <v>0.35722900981919997</v>
      </c>
      <c r="F24" s="876">
        <v>0.35722900981919997</v>
      </c>
      <c r="G24" s="660" t="s">
        <v>1103</v>
      </c>
      <c r="H24" s="699"/>
    </row>
    <row r="25" spans="1:8">
      <c r="A25" s="221"/>
      <c r="B25" s="881"/>
      <c r="C25" s="883"/>
      <c r="D25" s="877"/>
      <c r="E25" s="877"/>
      <c r="F25" s="877"/>
      <c r="G25" s="660" t="s">
        <v>1112</v>
      </c>
      <c r="H25" s="699"/>
    </row>
    <row r="26" spans="1:8">
      <c r="A26" s="221"/>
      <c r="B26" s="881"/>
      <c r="C26" s="883"/>
      <c r="D26" s="877"/>
      <c r="E26" s="877"/>
      <c r="F26" s="877"/>
      <c r="G26" s="660" t="s">
        <v>1117</v>
      </c>
      <c r="H26" s="699"/>
    </row>
    <row r="27" spans="1:8">
      <c r="A27" s="221"/>
      <c r="B27" s="881"/>
      <c r="C27" s="883"/>
      <c r="D27" s="877"/>
      <c r="E27" s="877"/>
      <c r="F27" s="877"/>
      <c r="G27" s="660" t="s">
        <v>1119</v>
      </c>
      <c r="H27" s="699"/>
    </row>
    <row r="28" spans="1:8">
      <c r="A28" s="221"/>
      <c r="B28" s="881"/>
      <c r="C28" s="883"/>
      <c r="D28" s="877"/>
      <c r="E28" s="877"/>
      <c r="F28" s="877"/>
      <c r="G28" s="660" t="s">
        <v>1120</v>
      </c>
      <c r="H28" s="699"/>
    </row>
    <row r="29" spans="1:8">
      <c r="A29" s="221"/>
      <c r="B29" s="881"/>
      <c r="C29" s="883"/>
      <c r="D29" s="877"/>
      <c r="E29" s="877"/>
      <c r="F29" s="877"/>
      <c r="G29" s="660" t="s">
        <v>1122</v>
      </c>
      <c r="H29" s="699"/>
    </row>
    <row r="30" spans="1:8">
      <c r="A30" s="221"/>
      <c r="B30" s="881"/>
      <c r="C30" s="883"/>
      <c r="D30" s="877"/>
      <c r="E30" s="877"/>
      <c r="F30" s="877"/>
      <c r="G30" s="660" t="s">
        <v>1123</v>
      </c>
      <c r="H30" s="699"/>
    </row>
    <row r="31" spans="1:8">
      <c r="A31" s="221"/>
      <c r="B31" s="880"/>
      <c r="C31" s="884"/>
      <c r="D31" s="878"/>
      <c r="E31" s="878"/>
      <c r="F31" s="878"/>
      <c r="G31" s="660" t="s">
        <v>1126</v>
      </c>
      <c r="H31" s="699"/>
    </row>
    <row r="32" spans="1:8">
      <c r="A32" s="221"/>
      <c r="B32" s="879" t="s">
        <v>1090</v>
      </c>
      <c r="C32" s="882" t="s">
        <v>1099</v>
      </c>
      <c r="D32" s="876"/>
      <c r="E32" s="876">
        <v>0.9999994074741364</v>
      </c>
      <c r="F32" s="876">
        <v>0.9999994074741364</v>
      </c>
      <c r="G32" s="660" t="s">
        <v>1129</v>
      </c>
      <c r="H32" s="699"/>
    </row>
    <row r="33" spans="1:8">
      <c r="A33" s="221"/>
      <c r="B33" s="880"/>
      <c r="C33" s="884"/>
      <c r="D33" s="878"/>
      <c r="E33" s="878"/>
      <c r="F33" s="878"/>
      <c r="G33" s="660" t="s">
        <v>1153</v>
      </c>
      <c r="H33" s="699"/>
    </row>
    <row r="34" spans="1:8">
      <c r="A34" s="221"/>
      <c r="B34" s="721" t="s">
        <v>1090</v>
      </c>
      <c r="C34" s="663" t="s">
        <v>1100</v>
      </c>
      <c r="D34" s="785"/>
      <c r="E34" s="785">
        <v>0.99999940747408667</v>
      </c>
      <c r="F34" s="785">
        <v>0.99999940747408667</v>
      </c>
      <c r="G34" s="660" t="s">
        <v>1128</v>
      </c>
      <c r="H34" s="699"/>
    </row>
    <row r="35" spans="1:8">
      <c r="A35" s="221"/>
      <c r="B35" s="716" t="s">
        <v>1090</v>
      </c>
      <c r="C35" s="660" t="s">
        <v>1101</v>
      </c>
      <c r="D35" s="785">
        <v>1</v>
      </c>
      <c r="E35" s="785"/>
      <c r="F35" s="785">
        <v>1</v>
      </c>
      <c r="G35" s="660"/>
      <c r="H35" s="699"/>
    </row>
    <row r="36" spans="1:8">
      <c r="A36" s="221"/>
      <c r="B36" s="716" t="s">
        <v>1216</v>
      </c>
      <c r="C36" s="660" t="s">
        <v>1102</v>
      </c>
      <c r="D36" s="785"/>
      <c r="E36" s="785">
        <v>7.6764375727200004E-2</v>
      </c>
      <c r="F36" s="785">
        <v>7.6764375727200004E-2</v>
      </c>
      <c r="G36" s="660" t="s">
        <v>1156</v>
      </c>
      <c r="H36" s="699"/>
    </row>
    <row r="37" spans="1:8">
      <c r="A37" s="221"/>
      <c r="B37" s="716" t="s">
        <v>1090</v>
      </c>
      <c r="C37" s="660" t="s">
        <v>1103</v>
      </c>
      <c r="D37" s="785"/>
      <c r="E37" s="785">
        <v>0.358184</v>
      </c>
      <c r="F37" s="785">
        <v>0.358184</v>
      </c>
      <c r="G37" s="660" t="s">
        <v>1133</v>
      </c>
      <c r="H37" s="699"/>
    </row>
    <row r="38" spans="1:8">
      <c r="A38" s="221"/>
      <c r="B38" s="721" t="s">
        <v>1090</v>
      </c>
      <c r="C38" s="663" t="s">
        <v>1104</v>
      </c>
      <c r="D38" s="785">
        <v>0.6</v>
      </c>
      <c r="E38" s="785"/>
      <c r="F38" s="785">
        <v>0.6</v>
      </c>
      <c r="G38" s="660"/>
      <c r="H38" s="699"/>
    </row>
    <row r="39" spans="1:8">
      <c r="A39" s="221"/>
      <c r="B39" s="879" t="s">
        <v>1217</v>
      </c>
      <c r="C39" s="882" t="s">
        <v>1105</v>
      </c>
      <c r="D39" s="876"/>
      <c r="E39" s="876">
        <v>0.40351795272599916</v>
      </c>
      <c r="F39" s="876">
        <v>0.40351795272599916</v>
      </c>
      <c r="G39" s="660" t="s">
        <v>1149</v>
      </c>
      <c r="H39" s="699"/>
    </row>
    <row r="40" spans="1:8">
      <c r="A40" s="221"/>
      <c r="B40" s="880"/>
      <c r="C40" s="884"/>
      <c r="D40" s="878"/>
      <c r="E40" s="878"/>
      <c r="F40" s="878"/>
      <c r="G40" s="660" t="s">
        <v>1156</v>
      </c>
      <c r="H40" s="699"/>
    </row>
    <row r="41" spans="1:8">
      <c r="A41" s="221"/>
      <c r="B41" s="716" t="s">
        <v>1216</v>
      </c>
      <c r="C41" s="660" t="s">
        <v>1106</v>
      </c>
      <c r="D41" s="785">
        <v>0.1111</v>
      </c>
      <c r="E41" s="785"/>
      <c r="F41" s="785">
        <v>0.1111</v>
      </c>
      <c r="G41" s="660"/>
      <c r="H41" s="699"/>
    </row>
    <row r="42" spans="1:8">
      <c r="A42" s="221"/>
      <c r="B42" s="721" t="s">
        <v>1217</v>
      </c>
      <c r="C42" s="663" t="s">
        <v>1107</v>
      </c>
      <c r="D42" s="785"/>
      <c r="E42" s="785">
        <v>0.179092</v>
      </c>
      <c r="F42" s="785">
        <v>0.179092</v>
      </c>
      <c r="G42" s="660" t="s">
        <v>1103</v>
      </c>
      <c r="H42" s="699"/>
    </row>
    <row r="43" spans="1:8">
      <c r="A43" s="221"/>
      <c r="B43" s="716" t="s">
        <v>1217</v>
      </c>
      <c r="C43" s="660" t="s">
        <v>1108</v>
      </c>
      <c r="D43" s="785">
        <v>1.17188E-2</v>
      </c>
      <c r="E43" s="785"/>
      <c r="F43" s="785">
        <v>1.17188E-2</v>
      </c>
      <c r="G43" s="660"/>
      <c r="H43" s="699"/>
    </row>
    <row r="44" spans="1:8">
      <c r="A44" s="221"/>
      <c r="B44" s="716" t="s">
        <v>1217</v>
      </c>
      <c r="C44" s="663" t="s">
        <v>1109</v>
      </c>
      <c r="D44" s="785">
        <v>0.5</v>
      </c>
      <c r="E44" s="785"/>
      <c r="F44" s="785">
        <v>0.5</v>
      </c>
      <c r="G44" s="660"/>
      <c r="H44" s="699"/>
    </row>
    <row r="45" spans="1:8">
      <c r="A45" s="221"/>
      <c r="B45" s="716" t="s">
        <v>1090</v>
      </c>
      <c r="C45" s="660" t="s">
        <v>1110</v>
      </c>
      <c r="D45" s="785"/>
      <c r="E45" s="785">
        <v>0.358184</v>
      </c>
      <c r="F45" s="785">
        <v>0.358184</v>
      </c>
      <c r="G45" s="660" t="s">
        <v>1103</v>
      </c>
      <c r="H45" s="699"/>
    </row>
    <row r="46" spans="1:8">
      <c r="A46" s="221"/>
      <c r="B46" s="721" t="s">
        <v>1217</v>
      </c>
      <c r="C46" s="663" t="s">
        <v>1111</v>
      </c>
      <c r="D46" s="785"/>
      <c r="E46" s="785">
        <v>0.179092</v>
      </c>
      <c r="F46" s="785">
        <v>0.179092</v>
      </c>
      <c r="G46" s="660" t="s">
        <v>1103</v>
      </c>
      <c r="H46" s="699"/>
    </row>
    <row r="47" spans="1:8">
      <c r="A47" s="221"/>
      <c r="B47" s="716" t="s">
        <v>1090</v>
      </c>
      <c r="C47" s="660" t="s">
        <v>1112</v>
      </c>
      <c r="D47" s="785"/>
      <c r="E47" s="785">
        <v>0.358184</v>
      </c>
      <c r="F47" s="785">
        <v>0.358184</v>
      </c>
      <c r="G47" s="660" t="s">
        <v>1103</v>
      </c>
      <c r="H47" s="699"/>
    </row>
    <row r="48" spans="1:8">
      <c r="A48" s="221"/>
      <c r="B48" s="721" t="s">
        <v>1217</v>
      </c>
      <c r="C48" s="663" t="s">
        <v>1113</v>
      </c>
      <c r="D48" s="785"/>
      <c r="E48" s="785">
        <v>0.18267384</v>
      </c>
      <c r="F48" s="785">
        <v>0.18267384</v>
      </c>
      <c r="G48" s="660" t="s">
        <v>1103</v>
      </c>
      <c r="H48" s="699"/>
    </row>
    <row r="49" spans="1:8">
      <c r="A49" s="221"/>
      <c r="B49" s="716" t="s">
        <v>1090</v>
      </c>
      <c r="C49" s="660" t="s">
        <v>1114</v>
      </c>
      <c r="D49" s="785"/>
      <c r="E49" s="785">
        <v>0.358184</v>
      </c>
      <c r="F49" s="785">
        <v>0.358184</v>
      </c>
      <c r="G49" s="660" t="s">
        <v>1103</v>
      </c>
      <c r="H49" s="699"/>
    </row>
    <row r="50" spans="1:8">
      <c r="A50" s="221"/>
      <c r="B50" s="721" t="s">
        <v>1090</v>
      </c>
      <c r="C50" s="663" t="s">
        <v>1115</v>
      </c>
      <c r="D50" s="785"/>
      <c r="E50" s="785">
        <v>0.358184</v>
      </c>
      <c r="F50" s="785">
        <v>0.358184</v>
      </c>
      <c r="G50" s="660" t="s">
        <v>1103</v>
      </c>
      <c r="H50" s="699"/>
    </row>
    <row r="51" spans="1:8">
      <c r="A51" s="221"/>
      <c r="B51" s="716" t="s">
        <v>1090</v>
      </c>
      <c r="C51" s="660" t="s">
        <v>1116</v>
      </c>
      <c r="D51" s="785"/>
      <c r="E51" s="785">
        <v>0.358184</v>
      </c>
      <c r="F51" s="785">
        <v>0.358184</v>
      </c>
      <c r="G51" s="660" t="s">
        <v>1103</v>
      </c>
      <c r="H51" s="699"/>
    </row>
    <row r="52" spans="1:8">
      <c r="A52" s="221"/>
      <c r="B52" s="721" t="s">
        <v>1090</v>
      </c>
      <c r="C52" s="663" t="s">
        <v>1117</v>
      </c>
      <c r="D52" s="786"/>
      <c r="E52" s="786">
        <v>0.358184</v>
      </c>
      <c r="F52" s="786">
        <v>0.358184</v>
      </c>
      <c r="G52" s="660" t="s">
        <v>1103</v>
      </c>
      <c r="H52" s="699"/>
    </row>
    <row r="53" spans="1:8">
      <c r="A53" s="221"/>
      <c r="B53" s="721" t="s">
        <v>1217</v>
      </c>
      <c r="C53" s="663" t="s">
        <v>1118</v>
      </c>
      <c r="D53" s="786"/>
      <c r="E53" s="786">
        <v>0.18267384</v>
      </c>
      <c r="F53" s="786">
        <v>0.18267384</v>
      </c>
      <c r="G53" s="660" t="s">
        <v>1103</v>
      </c>
      <c r="H53" s="699"/>
    </row>
    <row r="54" spans="1:8">
      <c r="A54" s="221"/>
      <c r="B54" s="721" t="s">
        <v>1090</v>
      </c>
      <c r="C54" s="663" t="s">
        <v>1119</v>
      </c>
      <c r="D54" s="786"/>
      <c r="E54" s="786">
        <v>0.358184</v>
      </c>
      <c r="F54" s="786">
        <v>0.358184</v>
      </c>
      <c r="G54" s="660" t="s">
        <v>1103</v>
      </c>
      <c r="H54" s="699"/>
    </row>
    <row r="55" spans="1:8">
      <c r="A55" s="221"/>
      <c r="B55" s="721" t="s">
        <v>1090</v>
      </c>
      <c r="C55" s="663" t="s">
        <v>1120</v>
      </c>
      <c r="D55" s="786"/>
      <c r="E55" s="786">
        <v>0.358184</v>
      </c>
      <c r="F55" s="786">
        <v>0.358184</v>
      </c>
      <c r="G55" s="660" t="s">
        <v>1103</v>
      </c>
      <c r="H55" s="699"/>
    </row>
    <row r="56" spans="1:8">
      <c r="A56" s="221"/>
      <c r="B56" s="721" t="s">
        <v>1217</v>
      </c>
      <c r="C56" s="663" t="s">
        <v>1121</v>
      </c>
      <c r="D56" s="786"/>
      <c r="E56" s="786">
        <v>0.179092</v>
      </c>
      <c r="F56" s="786">
        <v>0.179092</v>
      </c>
      <c r="G56" s="660" t="s">
        <v>1103</v>
      </c>
      <c r="H56" s="699"/>
    </row>
    <row r="57" spans="1:8">
      <c r="A57" s="221"/>
      <c r="B57" s="716" t="s">
        <v>1090</v>
      </c>
      <c r="C57" s="660" t="s">
        <v>1122</v>
      </c>
      <c r="D57" s="785"/>
      <c r="E57" s="785">
        <v>0.358184</v>
      </c>
      <c r="F57" s="785">
        <v>0.358184</v>
      </c>
      <c r="G57" s="660" t="s">
        <v>1103</v>
      </c>
      <c r="H57" s="699"/>
    </row>
    <row r="58" spans="1:8">
      <c r="A58" s="221"/>
      <c r="B58" s="721" t="s">
        <v>1090</v>
      </c>
      <c r="C58" s="663" t="s">
        <v>1123</v>
      </c>
      <c r="D58" s="786"/>
      <c r="E58" s="786">
        <v>0.358184</v>
      </c>
      <c r="F58" s="786">
        <v>0.358184</v>
      </c>
      <c r="G58" s="660" t="s">
        <v>1103</v>
      </c>
      <c r="H58" s="699"/>
    </row>
    <row r="59" spans="1:8">
      <c r="A59" s="221"/>
      <c r="B59" s="716" t="s">
        <v>1090</v>
      </c>
      <c r="C59" s="660" t="s">
        <v>1124</v>
      </c>
      <c r="D59" s="785"/>
      <c r="E59" s="785">
        <v>0.358184</v>
      </c>
      <c r="F59" s="785">
        <v>0.358184</v>
      </c>
      <c r="G59" s="660" t="s">
        <v>1103</v>
      </c>
      <c r="H59" s="699"/>
    </row>
    <row r="60" spans="1:8">
      <c r="A60" s="221"/>
      <c r="B60" s="721" t="s">
        <v>1090</v>
      </c>
      <c r="C60" s="663" t="s">
        <v>1125</v>
      </c>
      <c r="D60" s="785"/>
      <c r="E60" s="785">
        <v>0.358184</v>
      </c>
      <c r="F60" s="785">
        <v>0.358184</v>
      </c>
      <c r="G60" s="660" t="s">
        <v>1103</v>
      </c>
      <c r="H60" s="699"/>
    </row>
    <row r="61" spans="1:8">
      <c r="A61" s="221"/>
      <c r="B61" s="721" t="s">
        <v>1090</v>
      </c>
      <c r="C61" s="663" t="s">
        <v>1126</v>
      </c>
      <c r="D61" s="786"/>
      <c r="E61" s="786">
        <v>0.358184</v>
      </c>
      <c r="F61" s="786">
        <v>0.358184</v>
      </c>
      <c r="G61" s="660" t="s">
        <v>1103</v>
      </c>
      <c r="H61" s="699"/>
    </row>
    <row r="62" spans="1:8">
      <c r="A62" s="221"/>
      <c r="B62" s="721" t="s">
        <v>1090</v>
      </c>
      <c r="C62" s="663" t="s">
        <v>1127</v>
      </c>
      <c r="D62" s="786">
        <v>0.9999979</v>
      </c>
      <c r="E62" s="786">
        <v>2.0878128599916209E-6</v>
      </c>
      <c r="F62" s="786">
        <v>0.99999998781286004</v>
      </c>
      <c r="G62" s="660" t="s">
        <v>1149</v>
      </c>
      <c r="H62" s="699"/>
    </row>
    <row r="63" spans="1:8">
      <c r="A63" s="221"/>
      <c r="B63" s="886" t="s">
        <v>1090</v>
      </c>
      <c r="C63" s="889" t="s">
        <v>1128</v>
      </c>
      <c r="D63" s="890"/>
      <c r="E63" s="890">
        <v>0.99999940747408667</v>
      </c>
      <c r="F63" s="890">
        <v>0.99999940747408667</v>
      </c>
      <c r="G63" s="660" t="s">
        <v>1129</v>
      </c>
      <c r="H63" s="699"/>
    </row>
    <row r="64" spans="1:8">
      <c r="A64" s="221"/>
      <c r="B64" s="888"/>
      <c r="C64" s="884"/>
      <c r="D64" s="892"/>
      <c r="E64" s="892"/>
      <c r="F64" s="892"/>
      <c r="G64" s="660" t="s">
        <v>1153</v>
      </c>
      <c r="H64" s="699"/>
    </row>
    <row r="65" spans="1:8">
      <c r="A65" s="221"/>
      <c r="B65" s="886" t="s">
        <v>1090</v>
      </c>
      <c r="C65" s="889" t="s">
        <v>1129</v>
      </c>
      <c r="D65" s="890"/>
      <c r="E65" s="890">
        <v>0.99999940747407834</v>
      </c>
      <c r="F65" s="890">
        <v>0.99999940747407834</v>
      </c>
      <c r="G65" s="660" t="s">
        <v>1127</v>
      </c>
      <c r="H65" s="699"/>
    </row>
    <row r="66" spans="1:8">
      <c r="A66" s="221"/>
      <c r="B66" s="888"/>
      <c r="C66" s="884"/>
      <c r="D66" s="892"/>
      <c r="E66" s="892"/>
      <c r="F66" s="892"/>
      <c r="G66" s="660" t="s">
        <v>1149</v>
      </c>
      <c r="H66" s="699"/>
    </row>
    <row r="67" spans="1:8">
      <c r="A67" s="221"/>
      <c r="B67" s="721" t="s">
        <v>1090</v>
      </c>
      <c r="C67" s="663" t="s">
        <v>1130</v>
      </c>
      <c r="D67" s="786"/>
      <c r="E67" s="786">
        <v>0.64999961485815094</v>
      </c>
      <c r="F67" s="786">
        <v>0.64999961485815094</v>
      </c>
      <c r="G67" s="660" t="s">
        <v>1129</v>
      </c>
      <c r="H67" s="699"/>
    </row>
    <row r="68" spans="1:8">
      <c r="A68" s="221"/>
      <c r="B68" s="886" t="s">
        <v>1090</v>
      </c>
      <c r="C68" s="889" t="s">
        <v>1131</v>
      </c>
      <c r="D68" s="890">
        <v>0.50999859999999997</v>
      </c>
      <c r="E68" s="890">
        <v>0.48999429644424963</v>
      </c>
      <c r="F68" s="890">
        <v>0.9999928964442496</v>
      </c>
      <c r="G68" s="660" t="s">
        <v>1149</v>
      </c>
      <c r="H68" s="699"/>
    </row>
    <row r="69" spans="1:8">
      <c r="A69" s="221"/>
      <c r="B69" s="888"/>
      <c r="C69" s="884"/>
      <c r="D69" s="892"/>
      <c r="E69" s="892"/>
      <c r="F69" s="892"/>
      <c r="G69" s="660" t="s">
        <v>1154</v>
      </c>
      <c r="H69" s="699"/>
    </row>
    <row r="70" spans="1:8">
      <c r="A70" s="221"/>
      <c r="B70" s="721" t="s">
        <v>1090</v>
      </c>
      <c r="C70" s="663" t="s">
        <v>1132</v>
      </c>
      <c r="D70" s="786">
        <v>0.99899380000000004</v>
      </c>
      <c r="E70" s="786">
        <v>1.0062000000000001E-3</v>
      </c>
      <c r="F70" s="786">
        <v>1</v>
      </c>
      <c r="G70" s="660" t="s">
        <v>1133</v>
      </c>
      <c r="H70" s="699"/>
    </row>
    <row r="71" spans="1:8">
      <c r="A71" s="221"/>
      <c r="B71" s="716" t="s">
        <v>1090</v>
      </c>
      <c r="C71" s="660" t="s">
        <v>1133</v>
      </c>
      <c r="D71" s="785">
        <v>1</v>
      </c>
      <c r="E71" s="785"/>
      <c r="F71" s="785">
        <v>1</v>
      </c>
      <c r="G71" s="660"/>
      <c r="H71" s="699"/>
    </row>
    <row r="72" spans="1:8">
      <c r="A72" s="221"/>
      <c r="B72" s="721" t="s">
        <v>1090</v>
      </c>
      <c r="C72" s="663" t="s">
        <v>1134</v>
      </c>
      <c r="D72" s="786">
        <v>0.45136860000000001</v>
      </c>
      <c r="E72" s="786">
        <v>0.54841210602197998</v>
      </c>
      <c r="F72" s="786">
        <v>0.99978070602197999</v>
      </c>
      <c r="G72" s="660" t="s">
        <v>1154</v>
      </c>
      <c r="H72" s="699"/>
    </row>
    <row r="73" spans="1:8">
      <c r="A73" s="221"/>
      <c r="B73" s="716" t="s">
        <v>1090</v>
      </c>
      <c r="C73" s="660" t="s">
        <v>1135</v>
      </c>
      <c r="D73" s="785">
        <v>0.78410000000000002</v>
      </c>
      <c r="E73" s="785">
        <v>0.21589999736879648</v>
      </c>
      <c r="F73" s="785">
        <v>0.99999999736879652</v>
      </c>
      <c r="G73" s="660" t="s">
        <v>1127</v>
      </c>
      <c r="H73" s="699"/>
    </row>
    <row r="74" spans="1:8">
      <c r="A74" s="221"/>
      <c r="B74" s="886" t="s">
        <v>1090</v>
      </c>
      <c r="C74" s="889" t="s">
        <v>1136</v>
      </c>
      <c r="D74" s="890">
        <v>0.9999728</v>
      </c>
      <c r="E74" s="890">
        <v>2.7159045650778681E-5</v>
      </c>
      <c r="F74" s="890">
        <v>0.99999995904565075</v>
      </c>
      <c r="G74" s="660" t="s">
        <v>1093</v>
      </c>
      <c r="H74" s="699"/>
    </row>
    <row r="75" spans="1:8">
      <c r="A75" s="221"/>
      <c r="B75" s="887"/>
      <c r="C75" s="883"/>
      <c r="D75" s="891"/>
      <c r="E75" s="891"/>
      <c r="F75" s="891"/>
      <c r="G75" s="660" t="s">
        <v>1134</v>
      </c>
      <c r="H75" s="699"/>
    </row>
    <row r="76" spans="1:8">
      <c r="A76" s="221"/>
      <c r="B76" s="887"/>
      <c r="C76" s="883"/>
      <c r="D76" s="891"/>
      <c r="E76" s="891"/>
      <c r="F76" s="891"/>
      <c r="G76" s="660" t="s">
        <v>1139</v>
      </c>
      <c r="H76" s="699"/>
    </row>
    <row r="77" spans="1:8">
      <c r="A77" s="221"/>
      <c r="B77" s="888"/>
      <c r="C77" s="884"/>
      <c r="D77" s="892"/>
      <c r="E77" s="892"/>
      <c r="F77" s="892"/>
      <c r="G77" s="660" t="s">
        <v>1149</v>
      </c>
      <c r="H77" s="699"/>
    </row>
    <row r="78" spans="1:8">
      <c r="A78" s="221"/>
      <c r="B78" s="879" t="s">
        <v>1090</v>
      </c>
      <c r="C78" s="882" t="s">
        <v>1218</v>
      </c>
      <c r="D78" s="876"/>
      <c r="E78" s="876">
        <v>0.99419659910123315</v>
      </c>
      <c r="F78" s="876">
        <v>0.99419659910123315</v>
      </c>
      <c r="G78" s="660" t="s">
        <v>1149</v>
      </c>
      <c r="H78" s="699"/>
    </row>
    <row r="79" spans="1:8">
      <c r="A79" s="221"/>
      <c r="B79" s="880"/>
      <c r="C79" s="884"/>
      <c r="D79" s="878"/>
      <c r="E79" s="878"/>
      <c r="F79" s="878"/>
      <c r="G79" s="660" t="s">
        <v>1151</v>
      </c>
      <c r="H79" s="699"/>
    </row>
    <row r="80" spans="1:8">
      <c r="A80" s="221"/>
      <c r="B80" s="879" t="s">
        <v>1090</v>
      </c>
      <c r="C80" s="882" t="s">
        <v>1137</v>
      </c>
      <c r="D80" s="876"/>
      <c r="E80" s="876">
        <v>0.99999940747407889</v>
      </c>
      <c r="F80" s="876">
        <v>0.99999940747407889</v>
      </c>
      <c r="G80" s="660" t="s">
        <v>1129</v>
      </c>
      <c r="H80" s="699"/>
    </row>
    <row r="81" spans="1:8">
      <c r="A81" s="221"/>
      <c r="B81" s="880"/>
      <c r="C81" s="884"/>
      <c r="D81" s="878"/>
      <c r="E81" s="878"/>
      <c r="F81" s="878"/>
      <c r="G81" s="660" t="s">
        <v>1153</v>
      </c>
      <c r="H81" s="699"/>
    </row>
    <row r="82" spans="1:8">
      <c r="A82" s="221"/>
      <c r="B82" s="879" t="s">
        <v>1090</v>
      </c>
      <c r="C82" s="882" t="s">
        <v>1138</v>
      </c>
      <c r="D82" s="876"/>
      <c r="E82" s="876">
        <v>0.99999940747408245</v>
      </c>
      <c r="F82" s="876">
        <v>0.99999940747408245</v>
      </c>
      <c r="G82" s="660" t="s">
        <v>1129</v>
      </c>
      <c r="H82" s="699"/>
    </row>
    <row r="83" spans="1:8">
      <c r="A83" s="221"/>
      <c r="B83" s="880"/>
      <c r="C83" s="884"/>
      <c r="D83" s="878"/>
      <c r="E83" s="878"/>
      <c r="F83" s="878"/>
      <c r="G83" s="660" t="s">
        <v>1153</v>
      </c>
      <c r="H83" s="699"/>
    </row>
    <row r="84" spans="1:8">
      <c r="A84" s="221"/>
      <c r="B84" s="721" t="s">
        <v>1090</v>
      </c>
      <c r="C84" s="663" t="s">
        <v>1139</v>
      </c>
      <c r="D84" s="786">
        <v>0.99966670000000002</v>
      </c>
      <c r="E84" s="786">
        <v>3.3329556711000002E-4</v>
      </c>
      <c r="F84" s="786">
        <v>0.99999999556711006</v>
      </c>
      <c r="G84" s="660" t="s">
        <v>1154</v>
      </c>
      <c r="H84" s="699"/>
    </row>
    <row r="85" spans="1:8">
      <c r="A85" s="221"/>
      <c r="B85" s="721" t="s">
        <v>1217</v>
      </c>
      <c r="C85" s="663" t="s">
        <v>1140</v>
      </c>
      <c r="D85" s="786"/>
      <c r="E85" s="786">
        <v>0.33</v>
      </c>
      <c r="F85" s="786">
        <v>0.33</v>
      </c>
      <c r="G85" s="660" t="s">
        <v>1093</v>
      </c>
      <c r="H85" s="699"/>
    </row>
    <row r="86" spans="1:8">
      <c r="A86" s="221"/>
      <c r="B86" s="721" t="s">
        <v>1216</v>
      </c>
      <c r="C86" s="663" t="s">
        <v>1141</v>
      </c>
      <c r="D86" s="786"/>
      <c r="E86" s="786">
        <v>0.11045524225955672</v>
      </c>
      <c r="F86" s="786">
        <v>0.11045524225955672</v>
      </c>
      <c r="G86" s="660" t="s">
        <v>1149</v>
      </c>
      <c r="H86" s="699"/>
    </row>
    <row r="87" spans="1:8">
      <c r="A87" s="221"/>
      <c r="B87" s="721" t="s">
        <v>1090</v>
      </c>
      <c r="C87" s="663" t="s">
        <v>1142</v>
      </c>
      <c r="D87" s="785">
        <v>0.3</v>
      </c>
      <c r="E87" s="785">
        <v>0.29999600999999998</v>
      </c>
      <c r="F87" s="785">
        <v>0.59999600999999991</v>
      </c>
      <c r="G87" s="660" t="s">
        <v>1154</v>
      </c>
      <c r="H87" s="699"/>
    </row>
    <row r="88" spans="1:8">
      <c r="A88" s="221"/>
      <c r="B88" s="721" t="s">
        <v>1090</v>
      </c>
      <c r="C88" s="663" t="s">
        <v>1143</v>
      </c>
      <c r="D88" s="786"/>
      <c r="E88" s="786">
        <v>0.74999915560579578</v>
      </c>
      <c r="F88" s="786">
        <v>0.74999915560579578</v>
      </c>
      <c r="G88" s="660" t="s">
        <v>1129</v>
      </c>
      <c r="H88" s="699"/>
    </row>
    <row r="89" spans="1:8">
      <c r="A89" s="221"/>
      <c r="B89" s="886" t="s">
        <v>1090</v>
      </c>
      <c r="C89" s="889" t="s">
        <v>1144</v>
      </c>
      <c r="D89" s="890"/>
      <c r="E89" s="890">
        <v>0.99999940747407834</v>
      </c>
      <c r="F89" s="890">
        <v>0.99999940747407834</v>
      </c>
      <c r="G89" s="660" t="s">
        <v>1129</v>
      </c>
      <c r="H89" s="699"/>
    </row>
    <row r="90" spans="1:8">
      <c r="A90" s="221"/>
      <c r="B90" s="888"/>
      <c r="C90" s="884"/>
      <c r="D90" s="892"/>
      <c r="E90" s="892"/>
      <c r="F90" s="892"/>
      <c r="G90" s="660" t="s">
        <v>1153</v>
      </c>
      <c r="H90" s="699"/>
    </row>
    <row r="91" spans="1:8">
      <c r="A91" s="221"/>
      <c r="B91" s="721" t="s">
        <v>1090</v>
      </c>
      <c r="C91" s="663" t="s">
        <v>1145</v>
      </c>
      <c r="D91" s="786">
        <v>0.15</v>
      </c>
      <c r="E91" s="786">
        <v>0.84770721000000004</v>
      </c>
      <c r="F91" s="786">
        <v>0.99770721000000007</v>
      </c>
      <c r="G91" s="660" t="s">
        <v>1156</v>
      </c>
      <c r="H91" s="699"/>
    </row>
    <row r="92" spans="1:8">
      <c r="A92" s="221"/>
      <c r="B92" s="721" t="s">
        <v>1217</v>
      </c>
      <c r="C92" s="663" t="s">
        <v>1146</v>
      </c>
      <c r="D92" s="786"/>
      <c r="E92" s="786">
        <v>0.1487918</v>
      </c>
      <c r="F92" s="786">
        <v>0.1487918</v>
      </c>
      <c r="G92" s="660" t="s">
        <v>1132</v>
      </c>
      <c r="H92" s="699"/>
    </row>
    <row r="93" spans="1:8">
      <c r="A93" s="221"/>
      <c r="B93" s="886" t="s">
        <v>1090</v>
      </c>
      <c r="C93" s="889" t="s">
        <v>1147</v>
      </c>
      <c r="D93" s="890"/>
      <c r="E93" s="890">
        <v>0.99419659729178556</v>
      </c>
      <c r="F93" s="890">
        <v>0.99419659729178556</v>
      </c>
      <c r="G93" s="660" t="s">
        <v>1150</v>
      </c>
      <c r="H93" s="699"/>
    </row>
    <row r="94" spans="1:8">
      <c r="A94" s="221"/>
      <c r="B94" s="888"/>
      <c r="C94" s="884"/>
      <c r="D94" s="892"/>
      <c r="E94" s="892"/>
      <c r="F94" s="892"/>
      <c r="G94" s="660" t="s">
        <v>1151</v>
      </c>
      <c r="H94" s="699"/>
    </row>
    <row r="95" spans="1:8">
      <c r="A95" s="221"/>
      <c r="B95" s="721" t="s">
        <v>1090</v>
      </c>
      <c r="C95" s="663" t="s">
        <v>1148</v>
      </c>
      <c r="D95" s="786"/>
      <c r="E95" s="786">
        <v>0.98425463399604984</v>
      </c>
      <c r="F95" s="786">
        <v>0.98425463399604984</v>
      </c>
      <c r="G95" s="660" t="s">
        <v>1149</v>
      </c>
      <c r="H95" s="699"/>
    </row>
    <row r="96" spans="1:8">
      <c r="A96" s="221"/>
      <c r="B96" s="721" t="s">
        <v>1090</v>
      </c>
      <c r="C96" s="663" t="s">
        <v>1149</v>
      </c>
      <c r="D96" s="786">
        <v>0.99419630000000003</v>
      </c>
      <c r="E96" s="786">
        <v>2.9999600999999997E-7</v>
      </c>
      <c r="F96" s="786">
        <v>0.99419659999601007</v>
      </c>
      <c r="G96" s="660" t="s">
        <v>1154</v>
      </c>
      <c r="H96" s="699"/>
    </row>
    <row r="97" spans="1:8">
      <c r="A97" s="221"/>
      <c r="B97" s="886" t="s">
        <v>1090</v>
      </c>
      <c r="C97" s="889" t="s">
        <v>1150</v>
      </c>
      <c r="D97" s="890"/>
      <c r="E97" s="890">
        <v>0.99419659999600007</v>
      </c>
      <c r="F97" s="890">
        <v>0.99419659999600007</v>
      </c>
      <c r="G97" s="660" t="s">
        <v>1149</v>
      </c>
      <c r="H97" s="699"/>
    </row>
    <row r="98" spans="1:8">
      <c r="A98" s="221"/>
      <c r="B98" s="888"/>
      <c r="C98" s="884"/>
      <c r="D98" s="892"/>
      <c r="E98" s="892"/>
      <c r="F98" s="892"/>
      <c r="G98" s="660" t="s">
        <v>1151</v>
      </c>
      <c r="H98" s="699"/>
    </row>
    <row r="99" spans="1:8">
      <c r="A99" s="221"/>
      <c r="B99" s="716" t="s">
        <v>1090</v>
      </c>
      <c r="C99" s="660" t="s">
        <v>1151</v>
      </c>
      <c r="D99" s="785"/>
      <c r="E99" s="785">
        <v>0.99419650057635001</v>
      </c>
      <c r="F99" s="785">
        <v>0.99419650057635001</v>
      </c>
      <c r="G99" s="660" t="s">
        <v>1149</v>
      </c>
      <c r="H99" s="699"/>
    </row>
    <row r="100" spans="1:8">
      <c r="A100" s="221"/>
      <c r="B100" s="879" t="s">
        <v>1217</v>
      </c>
      <c r="C100" s="882" t="s">
        <v>1152</v>
      </c>
      <c r="D100" s="876"/>
      <c r="E100" s="876">
        <v>0.49709825525915807</v>
      </c>
      <c r="F100" s="876">
        <v>0.49709825525915807</v>
      </c>
      <c r="G100" s="660" t="s">
        <v>1149</v>
      </c>
      <c r="H100" s="699"/>
    </row>
    <row r="101" spans="1:8">
      <c r="A101" s="221"/>
      <c r="B101" s="880"/>
      <c r="C101" s="884"/>
      <c r="D101" s="878"/>
      <c r="E101" s="878"/>
      <c r="F101" s="878"/>
      <c r="G101" s="660" t="s">
        <v>1151</v>
      </c>
      <c r="H101" s="699"/>
    </row>
    <row r="102" spans="1:8">
      <c r="A102" s="221"/>
      <c r="B102" s="879" t="s">
        <v>1090</v>
      </c>
      <c r="C102" s="882" t="s">
        <v>1153</v>
      </c>
      <c r="D102" s="876"/>
      <c r="E102" s="876">
        <v>0.999999408054417</v>
      </c>
      <c r="F102" s="876">
        <v>0.999999408054417</v>
      </c>
      <c r="G102" s="660" t="s">
        <v>1127</v>
      </c>
      <c r="H102" s="699"/>
    </row>
    <row r="103" spans="1:8">
      <c r="A103" s="221"/>
      <c r="B103" s="880"/>
      <c r="C103" s="884"/>
      <c r="D103" s="878"/>
      <c r="E103" s="878"/>
      <c r="F103" s="878"/>
      <c r="G103" s="660" t="s">
        <v>1129</v>
      </c>
      <c r="H103" s="699"/>
    </row>
    <row r="104" spans="1:8">
      <c r="A104" s="221"/>
      <c r="B104" s="716" t="s">
        <v>1090</v>
      </c>
      <c r="C104" s="660" t="s">
        <v>1154</v>
      </c>
      <c r="D104" s="785">
        <v>0.99998670000000001</v>
      </c>
      <c r="E104" s="785"/>
      <c r="F104" s="785">
        <v>0.99998670000000001</v>
      </c>
      <c r="G104" s="660"/>
      <c r="H104" s="699"/>
    </row>
    <row r="105" spans="1:8">
      <c r="A105" s="221"/>
      <c r="B105" s="879" t="s">
        <v>1092</v>
      </c>
      <c r="C105" s="882" t="s">
        <v>1155</v>
      </c>
      <c r="D105" s="876"/>
      <c r="E105" s="876">
        <v>0.18158420845360002</v>
      </c>
      <c r="F105" s="876">
        <v>0.18158420845360002</v>
      </c>
      <c r="G105" s="660" t="s">
        <v>1103</v>
      </c>
      <c r="H105" s="699"/>
    </row>
    <row r="106" spans="1:8">
      <c r="A106" s="221"/>
      <c r="B106" s="881"/>
      <c r="C106" s="883"/>
      <c r="D106" s="877"/>
      <c r="E106" s="893"/>
      <c r="F106" s="893"/>
      <c r="G106" s="660" t="s">
        <v>1110</v>
      </c>
      <c r="H106" s="699"/>
    </row>
    <row r="107" spans="1:8">
      <c r="A107" s="221"/>
      <c r="B107" s="881"/>
      <c r="C107" s="883"/>
      <c r="D107" s="877"/>
      <c r="E107" s="893"/>
      <c r="F107" s="893"/>
      <c r="G107" s="660" t="s">
        <v>1112</v>
      </c>
      <c r="H107" s="699"/>
    </row>
    <row r="108" spans="1:8">
      <c r="A108" s="221"/>
      <c r="B108" s="881"/>
      <c r="C108" s="883"/>
      <c r="D108" s="877"/>
      <c r="E108" s="893"/>
      <c r="F108" s="893"/>
      <c r="G108" s="660" t="s">
        <v>1114</v>
      </c>
      <c r="H108" s="699"/>
    </row>
    <row r="109" spans="1:8">
      <c r="A109" s="221"/>
      <c r="B109" s="881"/>
      <c r="C109" s="883"/>
      <c r="D109" s="877"/>
      <c r="E109" s="893"/>
      <c r="F109" s="893"/>
      <c r="G109" s="660" t="s">
        <v>1115</v>
      </c>
      <c r="H109" s="699"/>
    </row>
    <row r="110" spans="1:8">
      <c r="A110" s="221"/>
      <c r="B110" s="881"/>
      <c r="C110" s="883"/>
      <c r="D110" s="877"/>
      <c r="E110" s="893"/>
      <c r="F110" s="893"/>
      <c r="G110" s="660" t="s">
        <v>1116</v>
      </c>
      <c r="H110" s="699"/>
    </row>
    <row r="111" spans="1:8">
      <c r="A111" s="221"/>
      <c r="B111" s="881"/>
      <c r="C111" s="883"/>
      <c r="D111" s="877"/>
      <c r="E111" s="893"/>
      <c r="F111" s="893"/>
      <c r="G111" s="660" t="s">
        <v>1117</v>
      </c>
      <c r="H111" s="699"/>
    </row>
    <row r="112" spans="1:8">
      <c r="A112" s="221"/>
      <c r="B112" s="881"/>
      <c r="C112" s="883"/>
      <c r="D112" s="877"/>
      <c r="E112" s="893"/>
      <c r="F112" s="893"/>
      <c r="G112" s="660" t="s">
        <v>1119</v>
      </c>
      <c r="H112" s="699"/>
    </row>
    <row r="113" spans="1:8">
      <c r="A113" s="221"/>
      <c r="B113" s="881"/>
      <c r="C113" s="883"/>
      <c r="D113" s="877"/>
      <c r="E113" s="893"/>
      <c r="F113" s="893"/>
      <c r="G113" s="660" t="s">
        <v>1120</v>
      </c>
      <c r="H113" s="699"/>
    </row>
    <row r="114" spans="1:8">
      <c r="A114" s="221"/>
      <c r="B114" s="881"/>
      <c r="C114" s="883"/>
      <c r="D114" s="877"/>
      <c r="E114" s="893"/>
      <c r="F114" s="893"/>
      <c r="G114" s="660" t="s">
        <v>1122</v>
      </c>
      <c r="H114" s="699"/>
    </row>
    <row r="115" spans="1:8">
      <c r="A115" s="221"/>
      <c r="B115" s="881"/>
      <c r="C115" s="883"/>
      <c r="D115" s="877"/>
      <c r="E115" s="893"/>
      <c r="F115" s="893"/>
      <c r="G115" s="660" t="s">
        <v>1123</v>
      </c>
      <c r="H115" s="699"/>
    </row>
    <row r="116" spans="1:8">
      <c r="A116" s="221"/>
      <c r="B116" s="881"/>
      <c r="C116" s="883"/>
      <c r="D116" s="877"/>
      <c r="E116" s="893"/>
      <c r="F116" s="893"/>
      <c r="G116" s="660" t="s">
        <v>1124</v>
      </c>
      <c r="H116" s="699"/>
    </row>
    <row r="117" spans="1:8">
      <c r="A117" s="221"/>
      <c r="B117" s="881"/>
      <c r="C117" s="883"/>
      <c r="D117" s="877"/>
      <c r="E117" s="893"/>
      <c r="F117" s="893"/>
      <c r="G117" s="660" t="s">
        <v>1125</v>
      </c>
      <c r="H117" s="699"/>
    </row>
    <row r="118" spans="1:8">
      <c r="A118" s="221"/>
      <c r="B118" s="880"/>
      <c r="C118" s="884"/>
      <c r="D118" s="878"/>
      <c r="E118" s="894"/>
      <c r="F118" s="894"/>
      <c r="G118" s="660" t="s">
        <v>1126</v>
      </c>
      <c r="H118" s="699"/>
    </row>
    <row r="119" spans="1:8">
      <c r="B119" s="716" t="s">
        <v>1090</v>
      </c>
      <c r="C119" s="660" t="s">
        <v>1156</v>
      </c>
      <c r="D119" s="785">
        <v>0.99730260000000004</v>
      </c>
      <c r="E119" s="785"/>
      <c r="F119" s="785">
        <v>0.99730260000000004</v>
      </c>
      <c r="G119" s="660"/>
      <c r="H119" s="699"/>
    </row>
  </sheetData>
  <mergeCells count="92">
    <mergeCell ref="F89:F90"/>
    <mergeCell ref="D93:D94"/>
    <mergeCell ref="E93:E94"/>
    <mergeCell ref="F93:F94"/>
    <mergeCell ref="D97:D98"/>
    <mergeCell ref="E97:E98"/>
    <mergeCell ref="F97:F98"/>
    <mergeCell ref="D11:E11"/>
    <mergeCell ref="D12:E12"/>
    <mergeCell ref="B89:B90"/>
    <mergeCell ref="B93:B94"/>
    <mergeCell ref="B97:B98"/>
    <mergeCell ref="C89:C90"/>
    <mergeCell ref="C93:C94"/>
    <mergeCell ref="C97:C98"/>
    <mergeCell ref="D89:D90"/>
    <mergeCell ref="E89:E90"/>
    <mergeCell ref="C78:C79"/>
    <mergeCell ref="D78:D79"/>
    <mergeCell ref="E78:E79"/>
    <mergeCell ref="C65:C66"/>
    <mergeCell ref="D65:D66"/>
    <mergeCell ref="E65:E66"/>
    <mergeCell ref="B105:B118"/>
    <mergeCell ref="C105:C118"/>
    <mergeCell ref="D105:D118"/>
    <mergeCell ref="E105:E118"/>
    <mergeCell ref="F105:F118"/>
    <mergeCell ref="B102:B103"/>
    <mergeCell ref="C102:C103"/>
    <mergeCell ref="D102:D103"/>
    <mergeCell ref="E102:E103"/>
    <mergeCell ref="F102:F103"/>
    <mergeCell ref="B100:B101"/>
    <mergeCell ref="C100:C101"/>
    <mergeCell ref="D100:D101"/>
    <mergeCell ref="E100:E101"/>
    <mergeCell ref="F100:F101"/>
    <mergeCell ref="F78:F79"/>
    <mergeCell ref="B80:B81"/>
    <mergeCell ref="C80:C81"/>
    <mergeCell ref="D80:D81"/>
    <mergeCell ref="E80:E81"/>
    <mergeCell ref="F80:F81"/>
    <mergeCell ref="B78:B79"/>
    <mergeCell ref="F65:F66"/>
    <mergeCell ref="B68:B69"/>
    <mergeCell ref="C68:C69"/>
    <mergeCell ref="D68:D69"/>
    <mergeCell ref="E68:E69"/>
    <mergeCell ref="F68:F69"/>
    <mergeCell ref="B65:B66"/>
    <mergeCell ref="C39:C40"/>
    <mergeCell ref="D39:D40"/>
    <mergeCell ref="E39:E40"/>
    <mergeCell ref="F39:F40"/>
    <mergeCell ref="B63:B64"/>
    <mergeCell ref="C63:C64"/>
    <mergeCell ref="D63:D64"/>
    <mergeCell ref="E63:E64"/>
    <mergeCell ref="F63:F64"/>
    <mergeCell ref="B39:B40"/>
    <mergeCell ref="B32:B33"/>
    <mergeCell ref="C32:C33"/>
    <mergeCell ref="D32:D33"/>
    <mergeCell ref="E32:E33"/>
    <mergeCell ref="F32:F33"/>
    <mergeCell ref="B24:B31"/>
    <mergeCell ref="C24:C31"/>
    <mergeCell ref="D24:D31"/>
    <mergeCell ref="E24:E31"/>
    <mergeCell ref="F24:F31"/>
    <mergeCell ref="B82:B83"/>
    <mergeCell ref="C82:C83"/>
    <mergeCell ref="D82:D83"/>
    <mergeCell ref="E82:E83"/>
    <mergeCell ref="F82:F83"/>
    <mergeCell ref="B74:B77"/>
    <mergeCell ref="C74:C77"/>
    <mergeCell ref="D74:D77"/>
    <mergeCell ref="E74:E77"/>
    <mergeCell ref="F74:F77"/>
    <mergeCell ref="E20:E23"/>
    <mergeCell ref="F20:F23"/>
    <mergeCell ref="B16:B17"/>
    <mergeCell ref="B20:B23"/>
    <mergeCell ref="C20:C23"/>
    <mergeCell ref="D20:D23"/>
    <mergeCell ref="C16:C17"/>
    <mergeCell ref="D16:D17"/>
    <mergeCell ref="E16:E17"/>
    <mergeCell ref="F16:F17"/>
  </mergeCells>
  <hyperlinks>
    <hyperlink ref="A1" location="'Table of Contents'!A1" display="Return to Table of Contents" xr:uid="{1F7C5173-93A2-49D6-B0B0-E58C235B9EE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08"/>
  <sheetViews>
    <sheetView showGridLines="0" zoomScale="85" zoomScaleNormal="85" workbookViewId="0">
      <pane xSplit="2" ySplit="6" topLeftCell="P28" activePane="bottomRight" state="frozen"/>
      <selection pane="topRight" activeCell="C1" sqref="C1"/>
      <selection pane="bottomLeft" activeCell="A7" sqref="A7"/>
      <selection pane="bottomRight" activeCell="V10" sqref="V10"/>
    </sheetView>
  </sheetViews>
  <sheetFormatPr baseColWidth="10" defaultColWidth="10.85546875" defaultRowHeight="15"/>
  <cols>
    <col min="1" max="1" width="4.7109375" style="5" customWidth="1"/>
    <col min="2" max="2" width="53.28515625" style="5" customWidth="1"/>
    <col min="3" max="15" width="15.140625" style="5" customWidth="1"/>
    <col min="16" max="16" width="14.7109375" customWidth="1"/>
    <col min="17" max="17" width="15.28515625" bestFit="1" customWidth="1"/>
    <col min="18" max="18" width="15.28515625" style="135" bestFit="1" customWidth="1"/>
    <col min="19" max="20" width="15.28515625" bestFit="1" customWidth="1"/>
    <col min="21" max="21" width="3.7109375" style="744" customWidth="1"/>
    <col min="22" max="22" width="50.5703125" bestFit="1" customWidth="1"/>
    <col min="23" max="23" width="14.7109375" bestFit="1" customWidth="1"/>
    <col min="41" max="41" width="12.28515625" bestFit="1" customWidth="1"/>
    <col min="44" max="16384" width="10.85546875" style="5"/>
  </cols>
  <sheetData>
    <row r="1" spans="1:23">
      <c r="A1" s="3" t="s">
        <v>627</v>
      </c>
    </row>
    <row r="3" spans="1:23" ht="15.75">
      <c r="B3" s="19" t="s">
        <v>1</v>
      </c>
      <c r="C3" s="6"/>
      <c r="D3" s="6"/>
      <c r="E3" s="7"/>
      <c r="F3" s="6"/>
      <c r="G3" s="6"/>
      <c r="H3" s="6"/>
      <c r="I3" s="7"/>
      <c r="J3" s="6"/>
      <c r="K3" s="6"/>
      <c r="L3" s="6"/>
      <c r="M3" s="7"/>
      <c r="N3" s="6"/>
    </row>
    <row r="4" spans="1:23">
      <c r="B4" s="21" t="s">
        <v>1041</v>
      </c>
      <c r="C4" s="8"/>
      <c r="D4" s="8"/>
      <c r="E4" s="8"/>
      <c r="F4" s="8"/>
      <c r="G4" s="8"/>
      <c r="H4" s="8"/>
      <c r="I4" s="8"/>
      <c r="J4" s="8"/>
      <c r="K4" s="8"/>
      <c r="L4" s="8"/>
      <c r="M4" s="8"/>
      <c r="N4" s="8"/>
    </row>
    <row r="5" spans="1:23" ht="15.75">
      <c r="B5" s="9"/>
      <c r="C5" s="9"/>
      <c r="D5" s="9"/>
      <c r="E5" s="9"/>
      <c r="F5" s="9"/>
      <c r="G5" s="9"/>
      <c r="H5" s="9"/>
      <c r="I5" s="9"/>
      <c r="J5" s="9"/>
      <c r="K5" s="9"/>
      <c r="L5" s="9"/>
      <c r="M5" s="9"/>
      <c r="N5" s="9"/>
    </row>
    <row r="6" spans="1:23">
      <c r="B6" s="49"/>
      <c r="C6" s="49">
        <v>2016</v>
      </c>
      <c r="D6" s="49">
        <v>2017</v>
      </c>
      <c r="E6" s="49" t="s">
        <v>3</v>
      </c>
      <c r="F6" s="49" t="s">
        <v>4</v>
      </c>
      <c r="G6" s="49" t="s">
        <v>5</v>
      </c>
      <c r="H6" s="49" t="s">
        <v>6</v>
      </c>
      <c r="I6" s="49" t="s">
        <v>7</v>
      </c>
      <c r="J6" s="49" t="s">
        <v>8</v>
      </c>
      <c r="K6" s="49" t="s">
        <v>9</v>
      </c>
      <c r="L6" s="49" t="s">
        <v>10</v>
      </c>
      <c r="M6" s="49" t="s">
        <v>11</v>
      </c>
      <c r="N6" s="49" t="s">
        <v>12</v>
      </c>
      <c r="O6" s="251" t="s">
        <v>626</v>
      </c>
      <c r="P6" s="90" t="s">
        <v>958</v>
      </c>
      <c r="Q6" s="251" t="s">
        <v>1014</v>
      </c>
      <c r="R6" s="251" t="s">
        <v>1048</v>
      </c>
      <c r="S6" s="251" t="s">
        <v>1187</v>
      </c>
      <c r="T6" s="251" t="s">
        <v>1239</v>
      </c>
      <c r="V6" s="49"/>
      <c r="W6" s="251" t="s">
        <v>1295</v>
      </c>
    </row>
    <row r="7" spans="1:23">
      <c r="B7" s="10"/>
      <c r="C7" s="11"/>
      <c r="D7" s="11"/>
      <c r="E7" s="11"/>
      <c r="F7" s="11"/>
      <c r="G7" s="11"/>
      <c r="H7" s="11"/>
      <c r="I7" s="11"/>
      <c r="J7" s="11"/>
      <c r="K7" s="11"/>
      <c r="L7" s="11"/>
      <c r="M7" s="11"/>
      <c r="N7" s="11"/>
      <c r="O7" s="131"/>
      <c r="Q7" s="135"/>
      <c r="S7" s="135"/>
    </row>
    <row r="8" spans="1:23">
      <c r="B8" s="12" t="s">
        <v>13</v>
      </c>
      <c r="C8" s="13">
        <v>1303189</v>
      </c>
      <c r="D8" s="13">
        <v>777045</v>
      </c>
      <c r="E8" s="13">
        <v>151913</v>
      </c>
      <c r="F8" s="13">
        <v>174569</v>
      </c>
      <c r="G8" s="13">
        <v>145130</v>
      </c>
      <c r="H8" s="13">
        <v>519400</v>
      </c>
      <c r="I8" s="13">
        <v>222479</v>
      </c>
      <c r="J8" s="13">
        <v>368582</v>
      </c>
      <c r="K8" s="13">
        <v>330344</v>
      </c>
      <c r="L8" s="13">
        <v>519864</v>
      </c>
      <c r="M8" s="13">
        <f>315675+35575</f>
        <v>351250</v>
      </c>
      <c r="N8" s="13">
        <f>392306+48091</f>
        <v>440397</v>
      </c>
      <c r="O8" s="13">
        <v>653454</v>
      </c>
      <c r="P8" s="13">
        <f>2194300-O8-N8-M8</f>
        <v>749199</v>
      </c>
      <c r="Q8" s="13">
        <v>428145</v>
      </c>
      <c r="R8" s="13">
        <v>545032</v>
      </c>
      <c r="S8" s="13">
        <v>536798</v>
      </c>
      <c r="T8" s="13">
        <v>624565</v>
      </c>
      <c r="V8" s="129" t="s">
        <v>13</v>
      </c>
      <c r="W8" s="13">
        <v>457615</v>
      </c>
    </row>
    <row r="9" spans="1:23">
      <c r="B9" s="12" t="s">
        <v>14</v>
      </c>
      <c r="C9" s="13">
        <v>1259856</v>
      </c>
      <c r="D9" s="13">
        <v>751031</v>
      </c>
      <c r="E9" s="13">
        <v>143392</v>
      </c>
      <c r="F9" s="13">
        <v>168951</v>
      </c>
      <c r="G9" s="13">
        <v>134987</v>
      </c>
      <c r="H9" s="13">
        <v>209921</v>
      </c>
      <c r="I9" s="13">
        <v>134437</v>
      </c>
      <c r="J9" s="13">
        <v>206523</v>
      </c>
      <c r="K9" s="13">
        <v>241195</v>
      </c>
      <c r="L9" s="13">
        <v>373468</v>
      </c>
      <c r="M9" s="13">
        <v>296938</v>
      </c>
      <c r="N9" s="13">
        <v>372794</v>
      </c>
      <c r="O9" s="13">
        <v>473739</v>
      </c>
      <c r="P9" s="13">
        <f>1628854-O9-N9-M9</f>
        <v>485383</v>
      </c>
      <c r="Q9" s="13">
        <v>375369</v>
      </c>
      <c r="R9" s="13">
        <v>463710</v>
      </c>
      <c r="S9" s="13">
        <v>485039</v>
      </c>
      <c r="T9" s="13">
        <v>560602</v>
      </c>
      <c r="V9" s="129" t="s">
        <v>14</v>
      </c>
      <c r="W9" s="13">
        <v>419155</v>
      </c>
    </row>
    <row r="10" spans="1:23">
      <c r="B10" s="14" t="s">
        <v>15</v>
      </c>
      <c r="C10" s="15">
        <v>43333</v>
      </c>
      <c r="D10" s="15">
        <v>26014</v>
      </c>
      <c r="E10" s="15">
        <v>8521</v>
      </c>
      <c r="F10" s="15">
        <v>5618</v>
      </c>
      <c r="G10" s="15">
        <v>10143</v>
      </c>
      <c r="H10" s="15">
        <v>309479</v>
      </c>
      <c r="I10" s="15">
        <v>88042</v>
      </c>
      <c r="J10" s="15">
        <v>162059</v>
      </c>
      <c r="K10" s="15">
        <v>89149</v>
      </c>
      <c r="L10" s="15">
        <v>146396</v>
      </c>
      <c r="M10" s="15">
        <f t="shared" ref="M10:O10" si="0">+M8-M9</f>
        <v>54312</v>
      </c>
      <c r="N10" s="15">
        <f t="shared" si="0"/>
        <v>67603</v>
      </c>
      <c r="O10" s="15">
        <f t="shared" si="0"/>
        <v>179715</v>
      </c>
      <c r="P10" s="15">
        <f>+P8-P9</f>
        <v>263816</v>
      </c>
      <c r="Q10" s="15">
        <f>+Q8-Q9</f>
        <v>52776</v>
      </c>
      <c r="R10" s="15">
        <v>81322</v>
      </c>
      <c r="S10" s="15">
        <f>+S8-S9</f>
        <v>51759</v>
      </c>
      <c r="T10" s="15">
        <v>63963</v>
      </c>
      <c r="V10" s="132" t="s">
        <v>1293</v>
      </c>
      <c r="W10" s="15">
        <v>38460</v>
      </c>
    </row>
    <row r="11" spans="1:23">
      <c r="B11" s="12"/>
      <c r="C11" s="13"/>
      <c r="D11" s="13"/>
      <c r="E11" s="13"/>
      <c r="F11" s="13"/>
      <c r="G11" s="13"/>
      <c r="H11" s="13"/>
      <c r="I11" s="13"/>
      <c r="J11" s="13"/>
      <c r="K11" s="13"/>
      <c r="L11" s="13"/>
      <c r="M11" s="13"/>
      <c r="N11" s="13"/>
      <c r="O11" s="13"/>
      <c r="P11" s="13"/>
      <c r="Q11" s="13"/>
      <c r="R11" s="13">
        <v>0</v>
      </c>
      <c r="S11" s="13"/>
      <c r="T11" s="13"/>
      <c r="V11" s="129"/>
      <c r="W11" s="13"/>
    </row>
    <row r="12" spans="1:23">
      <c r="B12" s="12" t="s">
        <v>16</v>
      </c>
      <c r="C12" s="13">
        <v>8738226</v>
      </c>
      <c r="D12" s="13">
        <v>4335715</v>
      </c>
      <c r="E12" s="13">
        <v>969721</v>
      </c>
      <c r="F12" s="13">
        <v>910044</v>
      </c>
      <c r="G12" s="13">
        <v>1378425</v>
      </c>
      <c r="H12" s="13">
        <v>1144556</v>
      </c>
      <c r="I12" s="13">
        <v>1140208</v>
      </c>
      <c r="J12" s="13">
        <v>1258709</v>
      </c>
      <c r="K12" s="13">
        <v>1158653</v>
      </c>
      <c r="L12" s="13">
        <v>1225917</v>
      </c>
      <c r="M12" s="13">
        <f>1307469+1300</f>
        <v>1308769</v>
      </c>
      <c r="N12" s="13">
        <f>1810003+2164</f>
        <v>1812167</v>
      </c>
      <c r="O12" s="13">
        <f>1319884+227472</f>
        <v>1547356</v>
      </c>
      <c r="P12" s="13">
        <f>4915021+1056979-O12-N12-M12</f>
        <v>1303708</v>
      </c>
      <c r="Q12" s="13">
        <v>1372599</v>
      </c>
      <c r="R12" s="13">
        <v>1682664</v>
      </c>
      <c r="S12" s="13">
        <v>1757977</v>
      </c>
      <c r="T12" s="13">
        <v>1765161</v>
      </c>
      <c r="V12" s="129" t="s">
        <v>16</v>
      </c>
      <c r="W12" s="13">
        <v>1693554</v>
      </c>
    </row>
    <row r="13" spans="1:23">
      <c r="B13" s="12" t="s">
        <v>17</v>
      </c>
      <c r="C13" s="13">
        <v>211553</v>
      </c>
      <c r="D13" s="13">
        <v>223979</v>
      </c>
      <c r="E13" s="13">
        <v>56086</v>
      </c>
      <c r="F13" s="13">
        <v>57126</v>
      </c>
      <c r="G13" s="13">
        <v>59056</v>
      </c>
      <c r="H13" s="13">
        <v>60620</v>
      </c>
      <c r="I13" s="13">
        <v>58700</v>
      </c>
      <c r="J13" s="13">
        <v>60150</v>
      </c>
      <c r="K13" s="13">
        <v>62983</v>
      </c>
      <c r="L13" s="13">
        <v>61922</v>
      </c>
      <c r="M13" s="13">
        <v>62775</v>
      </c>
      <c r="N13" s="13">
        <v>63492</v>
      </c>
      <c r="O13" s="13">
        <v>65946</v>
      </c>
      <c r="P13" s="13">
        <f>260201-O13-N13-M13</f>
        <v>67988</v>
      </c>
      <c r="Q13" s="13">
        <v>66956</v>
      </c>
      <c r="R13" s="13">
        <v>69589</v>
      </c>
      <c r="S13" s="13">
        <v>72081</v>
      </c>
      <c r="T13" s="13">
        <v>75427</v>
      </c>
      <c r="V13" s="129" t="s">
        <v>17</v>
      </c>
      <c r="W13" s="13">
        <v>128379</v>
      </c>
    </row>
    <row r="14" spans="1:23">
      <c r="B14" s="12" t="s">
        <v>18</v>
      </c>
      <c r="C14" s="13">
        <v>1126331</v>
      </c>
      <c r="D14" s="13">
        <v>1088430</v>
      </c>
      <c r="E14" s="13">
        <v>265986</v>
      </c>
      <c r="F14" s="13">
        <v>253788</v>
      </c>
      <c r="G14" s="13">
        <v>230163</v>
      </c>
      <c r="H14" s="13">
        <v>265923</v>
      </c>
      <c r="I14" s="13">
        <v>261113</v>
      </c>
      <c r="J14" s="13">
        <v>272995</v>
      </c>
      <c r="K14" s="13">
        <v>274916</v>
      </c>
      <c r="L14" s="13">
        <v>280055</v>
      </c>
      <c r="M14" s="13">
        <v>238508</v>
      </c>
      <c r="N14" s="13">
        <v>261797</v>
      </c>
      <c r="O14" s="13">
        <v>253735</v>
      </c>
      <c r="P14" s="13">
        <f>1120376-O14-N14-M14</f>
        <v>366336</v>
      </c>
      <c r="Q14" s="13">
        <v>342795</v>
      </c>
      <c r="R14" s="13">
        <v>337183</v>
      </c>
      <c r="S14" s="13">
        <v>337274</v>
      </c>
      <c r="T14" s="13">
        <v>426422</v>
      </c>
      <c r="V14" s="129" t="s">
        <v>18</v>
      </c>
      <c r="W14" s="13">
        <v>361441</v>
      </c>
    </row>
    <row r="15" spans="1:23">
      <c r="B15" s="12" t="s">
        <v>19</v>
      </c>
      <c r="C15" s="13">
        <v>75112</v>
      </c>
      <c r="D15" s="13">
        <v>83402</v>
      </c>
      <c r="E15" s="13">
        <v>21235</v>
      </c>
      <c r="F15" s="13">
        <v>21477</v>
      </c>
      <c r="G15" s="13">
        <v>21604</v>
      </c>
      <c r="H15" s="13">
        <v>21653</v>
      </c>
      <c r="I15" s="13">
        <v>22759</v>
      </c>
      <c r="J15" s="13">
        <v>23083</v>
      </c>
      <c r="K15" s="13">
        <v>23273</v>
      </c>
      <c r="L15" s="13">
        <v>23398</v>
      </c>
      <c r="M15" s="13">
        <v>25324</v>
      </c>
      <c r="N15" s="13">
        <v>25662</v>
      </c>
      <c r="O15" s="13">
        <v>25439</v>
      </c>
      <c r="P15" s="13">
        <f>101969-O15-N15-M15</f>
        <v>25544</v>
      </c>
      <c r="Q15" s="13">
        <v>29356</v>
      </c>
      <c r="R15" s="13">
        <v>29906</v>
      </c>
      <c r="S15" s="13">
        <v>30255</v>
      </c>
      <c r="T15" s="13">
        <v>30558</v>
      </c>
      <c r="V15" s="129" t="s">
        <v>19</v>
      </c>
      <c r="W15" s="13">
        <v>0</v>
      </c>
    </row>
    <row r="16" spans="1:23">
      <c r="B16" s="12" t="s">
        <v>20</v>
      </c>
      <c r="C16" s="13">
        <v>39625</v>
      </c>
      <c r="D16" s="13">
        <v>32644</v>
      </c>
      <c r="E16" s="13">
        <v>7275</v>
      </c>
      <c r="F16" s="13">
        <v>10330</v>
      </c>
      <c r="G16" s="13">
        <v>9911</v>
      </c>
      <c r="H16" s="13">
        <v>13137</v>
      </c>
      <c r="I16" s="13">
        <v>10535</v>
      </c>
      <c r="J16" s="13">
        <v>12341</v>
      </c>
      <c r="K16" s="13">
        <v>13277</v>
      </c>
      <c r="L16" s="13">
        <v>12572</v>
      </c>
      <c r="M16" s="13">
        <v>12167</v>
      </c>
      <c r="N16" s="13">
        <v>13982</v>
      </c>
      <c r="O16" s="13">
        <v>13188</v>
      </c>
      <c r="P16" s="13">
        <f>53754-O16-N16-M16</f>
        <v>14417</v>
      </c>
      <c r="Q16" s="13">
        <v>8270</v>
      </c>
      <c r="R16" s="13">
        <v>10452</v>
      </c>
      <c r="S16" s="13">
        <v>13311</v>
      </c>
      <c r="T16" s="13">
        <v>15028</v>
      </c>
      <c r="V16" s="129" t="s">
        <v>20</v>
      </c>
      <c r="W16" s="13">
        <v>0</v>
      </c>
    </row>
    <row r="17" spans="2:23">
      <c r="B17" s="12" t="s">
        <v>21</v>
      </c>
      <c r="C17" s="13">
        <v>337167</v>
      </c>
      <c r="D17" s="13">
        <v>345386</v>
      </c>
      <c r="E17" s="13">
        <v>80606</v>
      </c>
      <c r="F17" s="13">
        <v>80373</v>
      </c>
      <c r="G17" s="13">
        <v>78648</v>
      </c>
      <c r="H17" s="13">
        <v>85095</v>
      </c>
      <c r="I17" s="13">
        <v>82804</v>
      </c>
      <c r="J17" s="13">
        <v>87319</v>
      </c>
      <c r="K17" s="13">
        <v>87360</v>
      </c>
      <c r="L17" s="13">
        <v>101557</v>
      </c>
      <c r="M17" s="13">
        <v>90327</v>
      </c>
      <c r="N17" s="13">
        <v>96428</v>
      </c>
      <c r="O17" s="13">
        <v>96017</v>
      </c>
      <c r="P17" s="13">
        <f>379168-O17-N17-M17</f>
        <v>96396</v>
      </c>
      <c r="Q17" s="13">
        <v>97795</v>
      </c>
      <c r="R17" s="13">
        <v>103859</v>
      </c>
      <c r="S17" s="13">
        <v>104910</v>
      </c>
      <c r="T17" s="13">
        <v>107750</v>
      </c>
      <c r="V17" s="129" t="s">
        <v>21</v>
      </c>
      <c r="W17" s="13">
        <v>106710</v>
      </c>
    </row>
    <row r="18" spans="2:23">
      <c r="B18" s="12" t="s">
        <v>22</v>
      </c>
      <c r="C18" s="13">
        <v>61423</v>
      </c>
      <c r="D18" s="13">
        <v>67664</v>
      </c>
      <c r="E18" s="13">
        <v>78364</v>
      </c>
      <c r="F18" s="13">
        <v>20591</v>
      </c>
      <c r="G18" s="13">
        <v>22017</v>
      </c>
      <c r="H18" s="13">
        <v>19889</v>
      </c>
      <c r="I18" s="13">
        <v>17567</v>
      </c>
      <c r="J18" s="13">
        <v>18145</v>
      </c>
      <c r="K18" s="13">
        <v>20543</v>
      </c>
      <c r="L18" s="13">
        <v>24885</v>
      </c>
      <c r="M18" s="13">
        <v>17328</v>
      </c>
      <c r="N18" s="13">
        <v>17268</v>
      </c>
      <c r="O18" s="13">
        <v>21536</v>
      </c>
      <c r="P18" s="13">
        <f>86058-O18-N18-M18</f>
        <v>29926</v>
      </c>
      <c r="Q18" s="13">
        <v>19130</v>
      </c>
      <c r="R18" s="13">
        <v>64409</v>
      </c>
      <c r="S18" s="13">
        <f>22225-7939</f>
        <v>14286</v>
      </c>
      <c r="T18" s="13">
        <v>41270</v>
      </c>
      <c r="V18" s="129" t="s">
        <v>22</v>
      </c>
      <c r="W18" s="13">
        <v>18657</v>
      </c>
    </row>
    <row r="19" spans="2:23">
      <c r="B19" s="12" t="s">
        <v>23</v>
      </c>
      <c r="C19" s="13">
        <v>1708947</v>
      </c>
      <c r="D19" s="13">
        <v>1764077</v>
      </c>
      <c r="E19" s="13">
        <v>417515</v>
      </c>
      <c r="F19" s="13">
        <v>413924</v>
      </c>
      <c r="G19" s="13">
        <v>416013</v>
      </c>
      <c r="H19" s="13">
        <v>517759</v>
      </c>
      <c r="I19" s="13">
        <v>454460</v>
      </c>
      <c r="J19" s="13">
        <v>469804</v>
      </c>
      <c r="K19" s="13">
        <v>484688</v>
      </c>
      <c r="L19" s="13">
        <v>488827</v>
      </c>
      <c r="M19" s="13">
        <v>453207</v>
      </c>
      <c r="N19" s="13">
        <f>455659</f>
        <v>455659</v>
      </c>
      <c r="O19" s="13">
        <v>436741</v>
      </c>
      <c r="P19" s="13">
        <f>1965513-O19-N19-M19</f>
        <v>619906</v>
      </c>
      <c r="Q19" s="13">
        <v>483964</v>
      </c>
      <c r="R19" s="13">
        <v>468190</v>
      </c>
      <c r="S19" s="13">
        <v>513930</v>
      </c>
      <c r="T19" s="13">
        <v>689981</v>
      </c>
      <c r="V19" s="129" t="s">
        <v>23</v>
      </c>
      <c r="W19" s="13">
        <v>553420</v>
      </c>
    </row>
    <row r="20" spans="2:23">
      <c r="B20" s="14" t="s">
        <v>24</v>
      </c>
      <c r="C20" s="15">
        <v>8880490</v>
      </c>
      <c r="D20" s="15">
        <v>4413143</v>
      </c>
      <c r="E20" s="15">
        <v>1061758</v>
      </c>
      <c r="F20" s="15">
        <v>939805</v>
      </c>
      <c r="G20" s="15">
        <v>1383811</v>
      </c>
      <c r="H20" s="15">
        <v>1093114</v>
      </c>
      <c r="I20" s="15">
        <v>1139226</v>
      </c>
      <c r="J20" s="15">
        <v>1262938</v>
      </c>
      <c r="K20" s="15">
        <v>1156317</v>
      </c>
      <c r="L20" s="15">
        <v>1241479</v>
      </c>
      <c r="M20" s="15">
        <f t="shared" ref="M20:O20" si="1">+SUM(M12:M18)-M19</f>
        <v>1301991</v>
      </c>
      <c r="N20" s="15">
        <f t="shared" si="1"/>
        <v>1835137</v>
      </c>
      <c r="O20" s="15">
        <f t="shared" si="1"/>
        <v>1586476</v>
      </c>
      <c r="P20" s="15">
        <f>+SUM(P12:P18)-P19</f>
        <v>1284409</v>
      </c>
      <c r="Q20" s="15">
        <f>+SUM(Q12:Q18)-Q19</f>
        <v>1452937</v>
      </c>
      <c r="R20" s="15">
        <v>1829872</v>
      </c>
      <c r="S20" s="15">
        <f t="shared" ref="S20" si="2">+SUM(S12:S18)-S19</f>
        <v>1816164</v>
      </c>
      <c r="T20" s="15">
        <v>1771635</v>
      </c>
      <c r="V20" s="129" t="s">
        <v>26</v>
      </c>
      <c r="W20" s="13">
        <v>275073</v>
      </c>
    </row>
    <row r="21" spans="2:23">
      <c r="B21" s="16" t="s">
        <v>25</v>
      </c>
      <c r="C21" s="17">
        <v>8923823</v>
      </c>
      <c r="D21" s="17">
        <v>4439157</v>
      </c>
      <c r="E21" s="17">
        <v>1070279</v>
      </c>
      <c r="F21" s="17">
        <v>945423</v>
      </c>
      <c r="G21" s="17">
        <v>1393954</v>
      </c>
      <c r="H21" s="17">
        <v>1402593</v>
      </c>
      <c r="I21" s="17">
        <v>1227268</v>
      </c>
      <c r="J21" s="17">
        <v>1424997</v>
      </c>
      <c r="K21" s="17">
        <v>1245466</v>
      </c>
      <c r="L21" s="17">
        <v>1387875</v>
      </c>
      <c r="M21" s="252">
        <f t="shared" ref="M21:O21" si="3">+M10+M20</f>
        <v>1356303</v>
      </c>
      <c r="N21" s="252">
        <f t="shared" si="3"/>
        <v>1902740</v>
      </c>
      <c r="O21" s="252">
        <f t="shared" si="3"/>
        <v>1766191</v>
      </c>
      <c r="P21" s="252">
        <f>+P10+P20</f>
        <v>1548225</v>
      </c>
      <c r="Q21" s="252">
        <f>+Q10+Q20</f>
        <v>1505713</v>
      </c>
      <c r="R21" s="252">
        <v>1911194</v>
      </c>
      <c r="S21" s="252">
        <f t="shared" ref="S21" si="4">+S10+S20</f>
        <v>1867923</v>
      </c>
      <c r="T21" s="252">
        <v>1835598</v>
      </c>
      <c r="V21" s="130" t="s">
        <v>1294</v>
      </c>
      <c r="W21" s="252">
        <v>1480248</v>
      </c>
    </row>
    <row r="22" spans="2:23">
      <c r="B22" s="10"/>
      <c r="C22" s="11"/>
      <c r="D22" s="11"/>
      <c r="E22" s="11"/>
      <c r="F22" s="11"/>
      <c r="G22" s="11"/>
      <c r="H22" s="11"/>
      <c r="I22" s="11"/>
      <c r="J22" s="11"/>
      <c r="K22" s="11"/>
      <c r="L22" s="11"/>
      <c r="M22" s="131"/>
      <c r="N22" s="131"/>
      <c r="O22" s="131"/>
      <c r="P22" s="131"/>
      <c r="Q22" s="131"/>
      <c r="R22" s="131"/>
      <c r="S22" s="131"/>
      <c r="T22" s="726"/>
      <c r="V22" s="10"/>
      <c r="W22" s="726"/>
    </row>
    <row r="23" spans="2:23">
      <c r="B23" s="12" t="s">
        <v>26</v>
      </c>
      <c r="C23" s="13">
        <v>668843</v>
      </c>
      <c r="D23" s="13">
        <v>630639</v>
      </c>
      <c r="E23" s="13">
        <v>181503</v>
      </c>
      <c r="F23" s="13">
        <v>184218</v>
      </c>
      <c r="G23" s="13">
        <v>200071</v>
      </c>
      <c r="H23" s="13">
        <v>215324</v>
      </c>
      <c r="I23" s="13">
        <v>188306</v>
      </c>
      <c r="J23" s="13">
        <v>199288</v>
      </c>
      <c r="K23" s="13">
        <v>215028</v>
      </c>
      <c r="L23" s="13">
        <v>222683</v>
      </c>
      <c r="M23" s="13">
        <v>230613</v>
      </c>
      <c r="N23" s="13">
        <v>247392</v>
      </c>
      <c r="O23" s="13">
        <f>270116-1</f>
        <v>270115</v>
      </c>
      <c r="P23" s="13">
        <f>996830-O23-N23-M23</f>
        <v>248710</v>
      </c>
      <c r="Q23" s="13">
        <v>222231</v>
      </c>
      <c r="R23" s="13">
        <v>253860</v>
      </c>
      <c r="S23" s="13">
        <v>270056</v>
      </c>
      <c r="T23" s="13">
        <v>281830</v>
      </c>
      <c r="V23" s="129"/>
      <c r="W23" s="13"/>
    </row>
    <row r="24" spans="2:23">
      <c r="B24" s="12" t="s">
        <v>27</v>
      </c>
      <c r="C24" s="13">
        <v>233690</v>
      </c>
      <c r="D24" s="13">
        <v>139291</v>
      </c>
      <c r="E24" s="13">
        <v>37879</v>
      </c>
      <c r="F24" s="13">
        <v>39191</v>
      </c>
      <c r="G24" s="13">
        <v>112373</v>
      </c>
      <c r="H24" s="13">
        <v>48931</v>
      </c>
      <c r="I24" s="13">
        <v>35000</v>
      </c>
      <c r="J24" s="13">
        <v>60841</v>
      </c>
      <c r="K24" s="13">
        <v>75155</v>
      </c>
      <c r="L24" s="13">
        <v>42732</v>
      </c>
      <c r="M24" s="13">
        <f>64790+58925</f>
        <v>123715</v>
      </c>
      <c r="N24" s="13">
        <f>-24921+32959</f>
        <v>8038</v>
      </c>
      <c r="O24" s="13">
        <f>119520-2</f>
        <v>119518</v>
      </c>
      <c r="P24" s="13">
        <f>519366-O24-N24-M24</f>
        <v>268095</v>
      </c>
      <c r="Q24" s="13">
        <v>141024</v>
      </c>
      <c r="R24" s="13">
        <v>135123</v>
      </c>
      <c r="S24" s="13">
        <v>115395</v>
      </c>
      <c r="T24" s="13">
        <v>165175</v>
      </c>
      <c r="V24" s="129" t="s">
        <v>27</v>
      </c>
      <c r="W24" s="13">
        <v>149033</v>
      </c>
    </row>
    <row r="25" spans="2:23">
      <c r="B25" s="12" t="s">
        <v>28</v>
      </c>
      <c r="C25" s="13">
        <v>14564</v>
      </c>
      <c r="D25" s="13">
        <v>179116</v>
      </c>
      <c r="E25" s="13">
        <v>10184</v>
      </c>
      <c r="F25" s="13">
        <v>20650</v>
      </c>
      <c r="G25" s="13">
        <v>12733</v>
      </c>
      <c r="H25" s="13">
        <v>-41341</v>
      </c>
      <c r="I25" s="13">
        <v>8045</v>
      </c>
      <c r="J25" s="13">
        <v>3628</v>
      </c>
      <c r="K25" s="13">
        <v>5987</v>
      </c>
      <c r="L25" s="13">
        <v>52152</v>
      </c>
      <c r="M25" s="13">
        <v>9555</v>
      </c>
      <c r="N25" s="13">
        <v>97334</v>
      </c>
      <c r="O25" s="13">
        <f>-1328+1</f>
        <v>-1327</v>
      </c>
      <c r="P25" s="13">
        <f>115334-O25-N25-M25</f>
        <v>9772</v>
      </c>
      <c r="Q25" s="13">
        <v>2810</v>
      </c>
      <c r="R25" s="13">
        <v>-12727</v>
      </c>
      <c r="S25" s="13">
        <v>2271</v>
      </c>
      <c r="T25" s="13">
        <v>2587</v>
      </c>
      <c r="V25" s="129" t="s">
        <v>28</v>
      </c>
      <c r="W25" s="13">
        <v>3825</v>
      </c>
    </row>
    <row r="26" spans="2:23">
      <c r="B26" s="16" t="s">
        <v>29</v>
      </c>
      <c r="C26" s="18">
        <v>8503234</v>
      </c>
      <c r="D26" s="18">
        <v>4126925</v>
      </c>
      <c r="E26" s="18">
        <v>936839</v>
      </c>
      <c r="F26" s="18">
        <v>821046</v>
      </c>
      <c r="G26" s="18">
        <v>1318989</v>
      </c>
      <c r="H26" s="18">
        <v>1194859</v>
      </c>
      <c r="I26" s="18">
        <v>1082007</v>
      </c>
      <c r="J26" s="18">
        <v>1290178</v>
      </c>
      <c r="K26" s="18">
        <v>1111580</v>
      </c>
      <c r="L26" s="18">
        <v>1260076</v>
      </c>
      <c r="M26" s="253">
        <f t="shared" ref="M26:O26" si="5">+M21-M23+M24+M25</f>
        <v>1258960</v>
      </c>
      <c r="N26" s="253">
        <f t="shared" si="5"/>
        <v>1760720</v>
      </c>
      <c r="O26" s="253">
        <f t="shared" si="5"/>
        <v>1614267</v>
      </c>
      <c r="P26" s="253">
        <f>+P21-P23+P24+P25</f>
        <v>1577382</v>
      </c>
      <c r="Q26" s="253">
        <f>+Q21-Q23+Q24+Q25</f>
        <v>1427316</v>
      </c>
      <c r="R26" s="253">
        <v>1779730</v>
      </c>
      <c r="S26" s="253">
        <f>+S21-S23+S24+S25</f>
        <v>1715533</v>
      </c>
      <c r="T26" s="253">
        <v>1721530</v>
      </c>
      <c r="V26" s="130" t="s">
        <v>29</v>
      </c>
      <c r="W26" s="253">
        <v>1671566</v>
      </c>
    </row>
    <row r="27" spans="2:23">
      <c r="B27" s="12"/>
      <c r="C27" s="13"/>
      <c r="D27" s="13"/>
      <c r="E27" s="13"/>
      <c r="F27" s="13"/>
      <c r="G27" s="13"/>
      <c r="H27" s="13"/>
      <c r="I27" s="13"/>
      <c r="J27" s="13"/>
      <c r="K27" s="13"/>
      <c r="L27" s="13"/>
      <c r="M27" s="13"/>
      <c r="N27" s="13"/>
      <c r="O27" s="13"/>
      <c r="P27" s="13"/>
      <c r="Q27" s="13"/>
      <c r="R27" s="13"/>
      <c r="S27" s="13"/>
      <c r="T27" s="13"/>
      <c r="V27" s="129"/>
      <c r="W27" s="13"/>
    </row>
    <row r="28" spans="2:23">
      <c r="B28" s="12" t="s">
        <v>30</v>
      </c>
      <c r="C28" s="13">
        <v>-1033341</v>
      </c>
      <c r="D28" s="13">
        <v>-866819</v>
      </c>
      <c r="E28" s="13">
        <v>-282504</v>
      </c>
      <c r="F28" s="13">
        <v>-257605</v>
      </c>
      <c r="G28" s="13">
        <v>-287933</v>
      </c>
      <c r="H28" s="13">
        <v>-259570</v>
      </c>
      <c r="I28" s="13">
        <v>-267279</v>
      </c>
      <c r="J28" s="13">
        <v>-335663</v>
      </c>
      <c r="K28" s="13">
        <v>-308126</v>
      </c>
      <c r="L28" s="13">
        <v>-301596</v>
      </c>
      <c r="M28" s="13">
        <v>-336026</v>
      </c>
      <c r="N28" s="13">
        <v>-299787</v>
      </c>
      <c r="O28" s="13">
        <v>-294009</v>
      </c>
      <c r="P28" s="13">
        <f>-1372872-O28-N28-M28</f>
        <v>-443050</v>
      </c>
      <c r="Q28" s="13">
        <v>-382053</v>
      </c>
      <c r="R28" s="13">
        <v>-444924</v>
      </c>
      <c r="S28" s="13">
        <v>-848793</v>
      </c>
      <c r="T28" s="13">
        <v>-657359</v>
      </c>
      <c r="V28" s="129" t="s">
        <v>30</v>
      </c>
      <c r="W28" s="13">
        <v>-637473</v>
      </c>
    </row>
    <row r="29" spans="2:23">
      <c r="B29" s="16" t="s">
        <v>31</v>
      </c>
      <c r="C29" s="18">
        <v>7469893</v>
      </c>
      <c r="D29" s="18">
        <v>3260106</v>
      </c>
      <c r="E29" s="18">
        <v>654335</v>
      </c>
      <c r="F29" s="18">
        <v>563441</v>
      </c>
      <c r="G29" s="18">
        <v>1031056</v>
      </c>
      <c r="H29" s="18">
        <v>935289</v>
      </c>
      <c r="I29" s="18">
        <v>814728</v>
      </c>
      <c r="J29" s="18">
        <v>954515</v>
      </c>
      <c r="K29" s="18">
        <v>803454</v>
      </c>
      <c r="L29" s="18">
        <v>958480</v>
      </c>
      <c r="M29" s="253">
        <f t="shared" ref="M29:O29" si="6">+M26+M28</f>
        <v>922934</v>
      </c>
      <c r="N29" s="253">
        <f t="shared" si="6"/>
        <v>1460933</v>
      </c>
      <c r="O29" s="253">
        <f t="shared" si="6"/>
        <v>1320258</v>
      </c>
      <c r="P29" s="253">
        <f>+P26+P28</f>
        <v>1134332</v>
      </c>
      <c r="Q29" s="253">
        <f>+Q26+Q28</f>
        <v>1045263</v>
      </c>
      <c r="R29" s="253">
        <v>1334806</v>
      </c>
      <c r="S29" s="253">
        <f t="shared" ref="S29" si="7">+S26+S28</f>
        <v>866740</v>
      </c>
      <c r="T29" s="253">
        <v>1064171</v>
      </c>
      <c r="V29" s="130" t="s">
        <v>31</v>
      </c>
      <c r="W29" s="253">
        <v>1034093</v>
      </c>
    </row>
    <row r="30" spans="2:23">
      <c r="B30" s="10"/>
      <c r="C30" s="11"/>
      <c r="D30" s="11"/>
      <c r="E30" s="11"/>
      <c r="F30" s="11"/>
      <c r="G30" s="11"/>
      <c r="H30" s="11"/>
      <c r="I30" s="11"/>
      <c r="J30" s="11"/>
      <c r="K30" s="11"/>
      <c r="L30" s="11"/>
      <c r="M30" s="131"/>
      <c r="N30" s="131"/>
      <c r="O30" s="131"/>
      <c r="P30" s="131"/>
      <c r="Q30" s="131"/>
      <c r="R30" s="131"/>
      <c r="S30" s="131"/>
      <c r="T30" s="726"/>
      <c r="V30" s="10"/>
      <c r="W30" s="726"/>
    </row>
    <row r="31" spans="2:23">
      <c r="B31" s="12" t="s">
        <v>32</v>
      </c>
      <c r="C31" s="13">
        <v>2452158</v>
      </c>
      <c r="D31" s="13">
        <v>916298</v>
      </c>
      <c r="E31" s="13">
        <v>193757</v>
      </c>
      <c r="F31" s="13">
        <v>182166</v>
      </c>
      <c r="G31" s="13">
        <v>248363</v>
      </c>
      <c r="H31" s="13">
        <v>-40559</v>
      </c>
      <c r="I31" s="13">
        <v>233948</v>
      </c>
      <c r="J31" s="13">
        <v>240825</v>
      </c>
      <c r="K31" s="13">
        <v>158852</v>
      </c>
      <c r="L31" s="13">
        <v>139191</v>
      </c>
      <c r="M31" s="13">
        <f>198865+2350</f>
        <v>201215</v>
      </c>
      <c r="N31" s="13">
        <f>377798+7580</f>
        <v>385378</v>
      </c>
      <c r="O31" s="13">
        <v>340210</v>
      </c>
      <c r="P31" s="13">
        <f>1074232-O31-N31-M31</f>
        <v>147429</v>
      </c>
      <c r="Q31" s="13">
        <v>251845</v>
      </c>
      <c r="R31" s="13">
        <v>330545</v>
      </c>
      <c r="S31" s="13">
        <v>352681</v>
      </c>
      <c r="T31" s="13">
        <v>171197</v>
      </c>
      <c r="V31" s="129" t="s">
        <v>32</v>
      </c>
      <c r="W31" s="13">
        <v>282148</v>
      </c>
    </row>
    <row r="32" spans="2:23">
      <c r="B32" s="16" t="s">
        <v>33</v>
      </c>
      <c r="C32" s="18">
        <v>5017735</v>
      </c>
      <c r="D32" s="18">
        <v>2343808</v>
      </c>
      <c r="E32" s="18">
        <v>460578</v>
      </c>
      <c r="F32" s="18">
        <v>381275</v>
      </c>
      <c r="G32" s="18">
        <v>782693</v>
      </c>
      <c r="H32" s="18">
        <v>975848</v>
      </c>
      <c r="I32" s="18">
        <v>580780</v>
      </c>
      <c r="J32" s="18">
        <v>713690</v>
      </c>
      <c r="K32" s="18">
        <v>644602</v>
      </c>
      <c r="L32" s="18">
        <v>819289</v>
      </c>
      <c r="M32" s="253">
        <f t="shared" ref="M32:O32" si="8">+M29-M31</f>
        <v>721719</v>
      </c>
      <c r="N32" s="253">
        <f t="shared" si="8"/>
        <v>1075555</v>
      </c>
      <c r="O32" s="253">
        <f t="shared" si="8"/>
        <v>980048</v>
      </c>
      <c r="P32" s="253">
        <f>+P29-P31</f>
        <v>986903</v>
      </c>
      <c r="Q32" s="253">
        <f>+Q29-Q31</f>
        <v>793418</v>
      </c>
      <c r="R32" s="253">
        <v>1004261</v>
      </c>
      <c r="S32" s="253">
        <f>+S29-S31</f>
        <v>514059</v>
      </c>
      <c r="T32" s="253">
        <v>892974</v>
      </c>
      <c r="V32" s="130" t="s">
        <v>33</v>
      </c>
      <c r="W32" s="253">
        <v>751945</v>
      </c>
    </row>
    <row r="33" spans="2:23">
      <c r="B33" s="14"/>
      <c r="C33" s="15"/>
      <c r="D33" s="15"/>
      <c r="E33" s="15"/>
      <c r="F33" s="15"/>
      <c r="G33" s="15"/>
      <c r="H33" s="15"/>
      <c r="I33" s="15"/>
      <c r="J33" s="15"/>
      <c r="K33" s="15"/>
      <c r="L33" s="15"/>
      <c r="M33" s="13"/>
      <c r="N33" s="13"/>
      <c r="O33" s="13"/>
      <c r="P33" s="15"/>
      <c r="Q33" s="15"/>
      <c r="R33" s="15"/>
      <c r="S33" s="15"/>
      <c r="T33" s="15"/>
      <c r="V33" s="132"/>
      <c r="W33" s="15"/>
    </row>
    <row r="34" spans="2:23">
      <c r="B34" s="12" t="s">
        <v>34</v>
      </c>
      <c r="C34" s="13">
        <v>2881106</v>
      </c>
      <c r="D34" s="13">
        <v>905872</v>
      </c>
      <c r="E34" s="13">
        <v>163004</v>
      </c>
      <c r="F34" s="13">
        <v>149018</v>
      </c>
      <c r="G34" s="13">
        <v>369666</v>
      </c>
      <c r="H34" s="13">
        <v>394324</v>
      </c>
      <c r="I34" s="13">
        <v>227655</v>
      </c>
      <c r="J34" s="13">
        <v>274600</v>
      </c>
      <c r="K34" s="13">
        <v>238751</v>
      </c>
      <c r="L34" s="13">
        <v>378623</v>
      </c>
      <c r="M34" s="13">
        <f>249762+57933</f>
        <v>307695</v>
      </c>
      <c r="N34" s="13">
        <f>449505+46765</f>
        <v>496270</v>
      </c>
      <c r="O34" s="13">
        <v>413922</v>
      </c>
      <c r="P34" s="13">
        <f>1705034-O34-N34-M34</f>
        <v>487147</v>
      </c>
      <c r="Q34" s="13">
        <v>285483</v>
      </c>
      <c r="R34" s="13">
        <v>418369</v>
      </c>
      <c r="S34" s="13">
        <v>392693</v>
      </c>
      <c r="T34" s="13">
        <v>442630</v>
      </c>
      <c r="V34" s="129" t="s">
        <v>34</v>
      </c>
      <c r="W34" s="13">
        <v>320565</v>
      </c>
    </row>
    <row r="35" spans="2:23">
      <c r="B35" s="16" t="s">
        <v>35</v>
      </c>
      <c r="C35" s="18">
        <v>2136629</v>
      </c>
      <c r="D35" s="18">
        <v>1437936</v>
      </c>
      <c r="E35" s="18">
        <v>297574</v>
      </c>
      <c r="F35" s="18">
        <v>232257</v>
      </c>
      <c r="G35" s="18">
        <v>413027</v>
      </c>
      <c r="H35" s="18">
        <v>581524</v>
      </c>
      <c r="I35" s="18">
        <v>353125</v>
      </c>
      <c r="J35" s="18">
        <v>439090</v>
      </c>
      <c r="K35" s="18">
        <v>405851</v>
      </c>
      <c r="L35" s="18">
        <v>440666</v>
      </c>
      <c r="M35" s="253">
        <f t="shared" ref="M35:O35" si="9">+M32-M34</f>
        <v>414024</v>
      </c>
      <c r="N35" s="253">
        <f t="shared" si="9"/>
        <v>579285</v>
      </c>
      <c r="O35" s="253">
        <f t="shared" si="9"/>
        <v>566126</v>
      </c>
      <c r="P35" s="253">
        <f>+P32-P34</f>
        <v>499756</v>
      </c>
      <c r="Q35" s="253">
        <f>+Q32-Q34</f>
        <v>507935</v>
      </c>
      <c r="R35" s="253">
        <v>585892</v>
      </c>
      <c r="S35" s="253">
        <f>+S32-S34</f>
        <v>121366</v>
      </c>
      <c r="T35" s="253">
        <v>450344</v>
      </c>
      <c r="V35" s="130" t="s">
        <v>35</v>
      </c>
      <c r="W35" s="253">
        <v>431380</v>
      </c>
    </row>
    <row r="36" spans="2:23">
      <c r="Q36" s="135"/>
      <c r="T36" s="744"/>
    </row>
    <row r="37" spans="2:23">
      <c r="B37" s="5" t="s">
        <v>1296</v>
      </c>
      <c r="Q37" s="135"/>
      <c r="T37" s="744"/>
    </row>
    <row r="38" spans="2:23">
      <c r="Q38" s="135"/>
      <c r="T38" s="744"/>
    </row>
    <row r="39" spans="2:23">
      <c r="B39" s="19" t="s">
        <v>36</v>
      </c>
      <c r="C39" s="8"/>
      <c r="D39" s="8"/>
      <c r="E39" s="8"/>
      <c r="F39" s="8"/>
      <c r="G39" s="8"/>
      <c r="H39" s="20"/>
      <c r="I39" s="20"/>
      <c r="J39" s="20"/>
      <c r="K39" s="20"/>
      <c r="L39" s="20"/>
      <c r="Q39" s="135"/>
      <c r="T39" s="744"/>
    </row>
    <row r="40" spans="2:23">
      <c r="B40" s="21" t="s">
        <v>2</v>
      </c>
      <c r="C40" s="8"/>
      <c r="D40" s="8"/>
      <c r="E40" s="8"/>
      <c r="F40" s="8"/>
      <c r="G40" s="8"/>
      <c r="H40" s="22"/>
      <c r="I40" s="22"/>
      <c r="J40" s="22"/>
      <c r="K40" s="22"/>
      <c r="L40" s="22"/>
      <c r="Q40" s="135"/>
      <c r="T40" s="744"/>
    </row>
    <row r="41" spans="2:23">
      <c r="B41" s="23"/>
      <c r="C41" s="8"/>
      <c r="D41" s="8"/>
      <c r="E41" s="8"/>
      <c r="F41" s="8"/>
      <c r="G41" s="8"/>
      <c r="H41" s="23"/>
      <c r="I41" s="23"/>
      <c r="J41" s="23"/>
      <c r="K41" s="23"/>
      <c r="L41" s="23"/>
      <c r="Q41" s="135"/>
      <c r="T41" s="744"/>
    </row>
    <row r="42" spans="2:23" ht="15.75" thickBot="1">
      <c r="B42" s="24"/>
      <c r="C42" s="25"/>
      <c r="D42" s="25"/>
      <c r="E42" s="25"/>
      <c r="F42" s="25"/>
      <c r="G42" s="25"/>
      <c r="H42" s="25"/>
      <c r="I42" s="25"/>
      <c r="J42" s="25"/>
      <c r="K42" s="25"/>
      <c r="L42" s="25"/>
      <c r="M42" s="25"/>
      <c r="N42" s="25"/>
      <c r="O42" s="254"/>
      <c r="P42" s="254"/>
      <c r="Q42" s="254"/>
      <c r="R42" s="254"/>
      <c r="S42" s="254"/>
      <c r="T42" s="254"/>
      <c r="V42" s="24"/>
      <c r="W42" s="251" t="s">
        <v>1292</v>
      </c>
    </row>
    <row r="43" spans="2:23" ht="15.75" thickBot="1">
      <c r="B43" s="26" t="s">
        <v>37</v>
      </c>
      <c r="C43" s="27"/>
      <c r="D43" s="27"/>
      <c r="E43" s="27"/>
      <c r="F43" s="27"/>
      <c r="G43" s="27"/>
      <c r="H43" s="27"/>
      <c r="I43" s="27"/>
      <c r="J43" s="27"/>
      <c r="K43" s="27"/>
      <c r="L43" s="27"/>
      <c r="M43" s="27"/>
      <c r="N43" s="26"/>
      <c r="O43" s="255"/>
      <c r="P43" s="255"/>
      <c r="Q43" s="255"/>
      <c r="R43" s="255"/>
      <c r="S43" s="255"/>
      <c r="T43" s="255"/>
      <c r="V43" s="26" t="s">
        <v>37</v>
      </c>
      <c r="W43" s="255"/>
    </row>
    <row r="44" spans="2:23" ht="15.75" thickBot="1">
      <c r="B44" s="28" t="s">
        <v>38</v>
      </c>
      <c r="C44" s="29"/>
      <c r="D44" s="29"/>
      <c r="E44" s="29"/>
      <c r="F44" s="29"/>
      <c r="G44" s="29"/>
      <c r="H44" s="29"/>
      <c r="I44" s="29"/>
      <c r="J44" s="29"/>
      <c r="K44" s="29"/>
      <c r="L44" s="29"/>
      <c r="M44" s="29"/>
      <c r="N44" s="29"/>
      <c r="O44" s="256"/>
      <c r="P44" s="256"/>
      <c r="Q44" s="256"/>
      <c r="R44" s="256"/>
      <c r="S44" s="59"/>
      <c r="T44" s="733"/>
      <c r="V44" s="28" t="s">
        <v>38</v>
      </c>
      <c r="W44" s="733"/>
    </row>
    <row r="45" spans="2:23" ht="15.75" thickBot="1">
      <c r="B45" s="30" t="s">
        <v>39</v>
      </c>
      <c r="C45" s="31">
        <v>1146761</v>
      </c>
      <c r="D45" s="31">
        <v>1541551</v>
      </c>
      <c r="E45" s="31">
        <v>1628454</v>
      </c>
      <c r="F45" s="31">
        <v>1622252</v>
      </c>
      <c r="G45" s="31">
        <v>1801289</v>
      </c>
      <c r="H45" s="31">
        <v>1522060</v>
      </c>
      <c r="I45" s="31">
        <v>1831109</v>
      </c>
      <c r="J45" s="31">
        <v>1757502</v>
      </c>
      <c r="K45" s="31">
        <v>1542056</v>
      </c>
      <c r="L45" s="31">
        <v>2487201</v>
      </c>
      <c r="M45" s="31">
        <v>2797801</v>
      </c>
      <c r="N45" s="31">
        <v>3541940</v>
      </c>
      <c r="O45" s="31">
        <v>3570166.3160000001</v>
      </c>
      <c r="P45" s="61">
        <v>3781713</v>
      </c>
      <c r="Q45" s="61">
        <v>3437159</v>
      </c>
      <c r="R45" s="61">
        <v>4745206</v>
      </c>
      <c r="S45" s="61">
        <v>4967287</v>
      </c>
      <c r="T45" s="61">
        <v>4686462</v>
      </c>
      <c r="V45" s="30" t="s">
        <v>39</v>
      </c>
      <c r="W45" s="61">
        <v>4768417</v>
      </c>
    </row>
    <row r="46" spans="2:23" ht="15.75" thickBot="1">
      <c r="B46" s="30" t="s">
        <v>40</v>
      </c>
      <c r="C46" s="31">
        <v>3828360</v>
      </c>
      <c r="D46" s="31">
        <v>4390555</v>
      </c>
      <c r="E46" s="31">
        <v>4337409</v>
      </c>
      <c r="F46" s="31">
        <v>4049690</v>
      </c>
      <c r="G46" s="31">
        <v>4615663</v>
      </c>
      <c r="H46" s="31">
        <v>4845365</v>
      </c>
      <c r="I46" s="31">
        <v>4730855</v>
      </c>
      <c r="J46" s="31">
        <v>5926728</v>
      </c>
      <c r="K46" s="31">
        <v>6221853</v>
      </c>
      <c r="L46" s="31">
        <v>6337727</v>
      </c>
      <c r="M46" s="31">
        <v>4930958</v>
      </c>
      <c r="N46" s="31">
        <v>4855048</v>
      </c>
      <c r="O46" s="31">
        <v>4858695.693</v>
      </c>
      <c r="P46" s="61">
        <v>5171007</v>
      </c>
      <c r="Q46" s="61">
        <v>5167613</v>
      </c>
      <c r="R46" s="61">
        <v>4779221</v>
      </c>
      <c r="S46" s="61">
        <v>4982876</v>
      </c>
      <c r="T46" s="61">
        <v>5260260</v>
      </c>
      <c r="V46" s="30" t="s">
        <v>40</v>
      </c>
      <c r="W46" s="61">
        <v>5280483</v>
      </c>
    </row>
    <row r="47" spans="2:23" ht="15.75" thickBot="1">
      <c r="B47" s="30" t="s">
        <v>41</v>
      </c>
      <c r="C47" s="31">
        <v>463818</v>
      </c>
      <c r="D47" s="31">
        <v>309451</v>
      </c>
      <c r="E47" s="31">
        <v>458949</v>
      </c>
      <c r="F47" s="31">
        <v>607518</v>
      </c>
      <c r="G47" s="31">
        <v>678584</v>
      </c>
      <c r="H47" s="31">
        <v>316730</v>
      </c>
      <c r="I47" s="31">
        <v>303134</v>
      </c>
      <c r="J47" s="31">
        <v>406480</v>
      </c>
      <c r="K47" s="31">
        <v>479061</v>
      </c>
      <c r="L47" s="31">
        <v>247981</v>
      </c>
      <c r="M47" s="31">
        <v>305749</v>
      </c>
      <c r="N47" s="31">
        <v>398388</v>
      </c>
      <c r="O47" s="31">
        <v>474583.12900000002</v>
      </c>
      <c r="P47" s="61">
        <v>260466</v>
      </c>
      <c r="Q47" s="61">
        <v>361090</v>
      </c>
      <c r="R47" s="61">
        <v>426452</v>
      </c>
      <c r="S47" s="61">
        <v>484816</v>
      </c>
      <c r="T47" s="61">
        <v>271444</v>
      </c>
      <c r="V47" s="30" t="s">
        <v>41</v>
      </c>
      <c r="W47" s="61">
        <v>264541</v>
      </c>
    </row>
    <row r="48" spans="2:23" ht="15.75" thickBot="1">
      <c r="B48" s="30" t="s">
        <v>42</v>
      </c>
      <c r="C48" s="31">
        <v>101743</v>
      </c>
      <c r="D48" s="31">
        <v>83481</v>
      </c>
      <c r="E48" s="31">
        <v>77289</v>
      </c>
      <c r="F48" s="31">
        <v>80026</v>
      </c>
      <c r="G48" s="31">
        <v>79889</v>
      </c>
      <c r="H48" s="31">
        <v>98271</v>
      </c>
      <c r="I48" s="31">
        <v>90607</v>
      </c>
      <c r="J48" s="31">
        <v>90452</v>
      </c>
      <c r="K48" s="31">
        <v>93743</v>
      </c>
      <c r="L48" s="31">
        <v>151527</v>
      </c>
      <c r="M48" s="31">
        <v>120948</v>
      </c>
      <c r="N48" s="31">
        <v>98789</v>
      </c>
      <c r="O48" s="31">
        <v>108311.74099999999</v>
      </c>
      <c r="P48" s="61">
        <v>100645</v>
      </c>
      <c r="Q48" s="61">
        <v>107602</v>
      </c>
      <c r="R48" s="61">
        <v>117081</v>
      </c>
      <c r="S48" s="61">
        <v>116938</v>
      </c>
      <c r="T48" s="61">
        <v>125392</v>
      </c>
      <c r="V48" s="30" t="s">
        <v>42</v>
      </c>
      <c r="W48" s="61">
        <v>126491</v>
      </c>
    </row>
    <row r="49" spans="2:23" ht="15.75" thickBot="1">
      <c r="B49" s="30" t="s">
        <v>43</v>
      </c>
      <c r="C49" s="31">
        <v>132491</v>
      </c>
      <c r="D49" s="31">
        <v>95357</v>
      </c>
      <c r="E49" s="31">
        <v>144122</v>
      </c>
      <c r="F49" s="31">
        <v>153863</v>
      </c>
      <c r="G49" s="31">
        <v>213114</v>
      </c>
      <c r="H49" s="31">
        <v>241757</v>
      </c>
      <c r="I49" s="31">
        <v>255342</v>
      </c>
      <c r="J49" s="31">
        <v>247279</v>
      </c>
      <c r="K49" s="31">
        <v>264265</v>
      </c>
      <c r="L49" s="31">
        <v>225219</v>
      </c>
      <c r="M49" s="31">
        <v>341073</v>
      </c>
      <c r="N49" s="31">
        <v>276307</v>
      </c>
      <c r="O49" s="31">
        <v>396207.973</v>
      </c>
      <c r="P49" s="61">
        <v>394877</v>
      </c>
      <c r="Q49" s="61">
        <v>397795</v>
      </c>
      <c r="R49" s="61">
        <v>372692</v>
      </c>
      <c r="S49" s="61">
        <v>465324</v>
      </c>
      <c r="T49" s="61">
        <v>326432</v>
      </c>
      <c r="V49" s="30" t="s">
        <v>43</v>
      </c>
      <c r="W49" s="61">
        <v>375997</v>
      </c>
    </row>
    <row r="50" spans="2:23" ht="15.75" thickBot="1">
      <c r="B50" s="30" t="s">
        <v>44</v>
      </c>
      <c r="C50" s="31">
        <v>0</v>
      </c>
      <c r="D50" s="31">
        <v>335</v>
      </c>
      <c r="E50" s="31">
        <v>5000</v>
      </c>
      <c r="F50" s="31">
        <v>2160</v>
      </c>
      <c r="G50" s="31">
        <v>603</v>
      </c>
      <c r="H50" s="31">
        <v>31</v>
      </c>
      <c r="I50" s="31">
        <v>575</v>
      </c>
      <c r="J50" s="31">
        <v>4625</v>
      </c>
      <c r="K50" s="31">
        <v>7426</v>
      </c>
      <c r="L50" s="31">
        <v>126</v>
      </c>
      <c r="M50" s="31">
        <v>98</v>
      </c>
      <c r="N50" s="31">
        <v>164</v>
      </c>
      <c r="O50" s="31">
        <v>189.69200000000001</v>
      </c>
      <c r="P50" s="61">
        <v>77</v>
      </c>
      <c r="Q50" s="61">
        <v>83</v>
      </c>
      <c r="R50" s="61">
        <v>138</v>
      </c>
      <c r="S50" s="61">
        <v>110</v>
      </c>
      <c r="T50" s="61">
        <v>113</v>
      </c>
      <c r="V50" s="30" t="s">
        <v>44</v>
      </c>
      <c r="W50" s="61">
        <v>0</v>
      </c>
    </row>
    <row r="51" spans="2:23" ht="15.75" thickBot="1">
      <c r="B51" s="32" t="s">
        <v>45</v>
      </c>
      <c r="C51" s="33">
        <v>5673173</v>
      </c>
      <c r="D51" s="33">
        <v>6420730</v>
      </c>
      <c r="E51" s="33">
        <v>6651223</v>
      </c>
      <c r="F51" s="33">
        <v>6515509</v>
      </c>
      <c r="G51" s="33">
        <v>7389142</v>
      </c>
      <c r="H51" s="33">
        <v>7024214</v>
      </c>
      <c r="I51" s="33">
        <v>7211622</v>
      </c>
      <c r="J51" s="33">
        <v>8433066</v>
      </c>
      <c r="K51" s="33">
        <v>8608404</v>
      </c>
      <c r="L51" s="33">
        <v>9449781</v>
      </c>
      <c r="M51" s="33">
        <v>8496627</v>
      </c>
      <c r="N51" s="33">
        <v>9170636</v>
      </c>
      <c r="O51" s="257">
        <v>9408154.5439999998</v>
      </c>
      <c r="P51" s="63">
        <f t="shared" ref="P51" si="10">SUM(P45:P50)</f>
        <v>9708785</v>
      </c>
      <c r="Q51" s="63">
        <f t="shared" ref="Q51" si="11">SUM(Q45:Q50)</f>
        <v>9471342</v>
      </c>
      <c r="R51" s="63">
        <v>10440790</v>
      </c>
      <c r="S51" s="63">
        <f t="shared" ref="S51" si="12">SUM(S45:S50)</f>
        <v>11017351</v>
      </c>
      <c r="T51" s="63">
        <f t="shared" ref="T51" si="13">SUM(T45:T50)</f>
        <v>10670103</v>
      </c>
      <c r="V51" s="32" t="s">
        <v>45</v>
      </c>
      <c r="W51" s="63">
        <v>10815929</v>
      </c>
    </row>
    <row r="52" spans="2:23" ht="15.75" thickBot="1">
      <c r="B52" s="28" t="s">
        <v>46</v>
      </c>
      <c r="C52" s="29"/>
      <c r="D52" s="29"/>
      <c r="E52" s="29"/>
      <c r="F52" s="29"/>
      <c r="G52" s="29"/>
      <c r="H52" s="29"/>
      <c r="I52" s="29"/>
      <c r="J52" s="29"/>
      <c r="K52" s="29"/>
      <c r="L52" s="29"/>
      <c r="M52" s="29"/>
      <c r="N52" s="29"/>
      <c r="O52" s="256"/>
      <c r="P52" s="59"/>
      <c r="Q52" s="59"/>
      <c r="R52" s="59"/>
      <c r="S52" s="59"/>
      <c r="T52" s="733"/>
      <c r="V52" s="28" t="s">
        <v>46</v>
      </c>
      <c r="W52" s="733"/>
    </row>
    <row r="53" spans="2:23" ht="15.75" thickBot="1">
      <c r="B53" s="30" t="s">
        <v>47</v>
      </c>
      <c r="C53" s="31">
        <v>60495</v>
      </c>
      <c r="D53" s="31">
        <v>78204</v>
      </c>
      <c r="E53" s="31">
        <v>88224</v>
      </c>
      <c r="F53" s="31">
        <v>124375</v>
      </c>
      <c r="G53" s="31">
        <v>88533</v>
      </c>
      <c r="H53" s="31">
        <v>339007</v>
      </c>
      <c r="I53" s="31">
        <v>266055</v>
      </c>
      <c r="J53" s="31">
        <v>195559</v>
      </c>
      <c r="K53" s="31">
        <v>114913</v>
      </c>
      <c r="L53" s="31">
        <v>97347</v>
      </c>
      <c r="M53" s="31">
        <v>78828</v>
      </c>
      <c r="N53" s="31">
        <v>363474</v>
      </c>
      <c r="O53" s="31">
        <v>238183.84899999999</v>
      </c>
      <c r="P53" s="61">
        <v>217646</v>
      </c>
      <c r="Q53" s="61">
        <v>330867</v>
      </c>
      <c r="R53" s="61">
        <v>322747</v>
      </c>
      <c r="S53" s="61">
        <v>63739</v>
      </c>
      <c r="T53" s="61">
        <v>138688</v>
      </c>
      <c r="V53" s="30" t="s">
        <v>47</v>
      </c>
      <c r="W53" s="61">
        <v>145222</v>
      </c>
    </row>
    <row r="54" spans="2:23" ht="15.75" thickBot="1">
      <c r="B54" s="30" t="s">
        <v>48</v>
      </c>
      <c r="C54" s="31">
        <v>0</v>
      </c>
      <c r="D54" s="31">
        <v>46870</v>
      </c>
      <c r="E54" s="31">
        <v>43303</v>
      </c>
      <c r="F54" s="31">
        <v>44649</v>
      </c>
      <c r="G54" s="31">
        <v>46680</v>
      </c>
      <c r="H54" s="31">
        <v>27241</v>
      </c>
      <c r="I54" s="31">
        <v>27736</v>
      </c>
      <c r="J54" s="31">
        <v>26279</v>
      </c>
      <c r="K54" s="31">
        <v>30994</v>
      </c>
      <c r="L54" s="31">
        <v>6174</v>
      </c>
      <c r="M54" s="31">
        <v>13453</v>
      </c>
      <c r="N54" s="31">
        <v>20611</v>
      </c>
      <c r="O54" s="31">
        <v>25327.063999999998</v>
      </c>
      <c r="P54" s="61">
        <v>5156</v>
      </c>
      <c r="Q54" s="61">
        <v>11486</v>
      </c>
      <c r="R54" s="61">
        <v>14349</v>
      </c>
      <c r="S54" s="61">
        <v>18933</v>
      </c>
      <c r="T54" s="61">
        <v>5274</v>
      </c>
      <c r="V54" s="30" t="s">
        <v>48</v>
      </c>
      <c r="W54" s="61">
        <v>8409</v>
      </c>
    </row>
    <row r="55" spans="2:23" ht="15.75" thickBot="1">
      <c r="B55" s="30" t="s">
        <v>49</v>
      </c>
      <c r="C55" s="31">
        <v>1690711</v>
      </c>
      <c r="D55" s="31">
        <v>3093842</v>
      </c>
      <c r="E55" s="31">
        <v>2921736</v>
      </c>
      <c r="F55" s="31">
        <v>2717913</v>
      </c>
      <c r="G55" s="31">
        <v>2669320</v>
      </c>
      <c r="H55" s="31">
        <v>2871781</v>
      </c>
      <c r="I55" s="31">
        <v>2886392</v>
      </c>
      <c r="J55" s="31">
        <v>3001307</v>
      </c>
      <c r="K55" s="31">
        <v>3079648</v>
      </c>
      <c r="L55" s="31">
        <v>3119350</v>
      </c>
      <c r="M55" s="31">
        <v>3231320</v>
      </c>
      <c r="N55" s="31">
        <v>2861797</v>
      </c>
      <c r="O55" s="31">
        <v>2942426.4249999998</v>
      </c>
      <c r="P55" s="61">
        <v>3124526</v>
      </c>
      <c r="Q55" s="61">
        <v>3286100</v>
      </c>
      <c r="R55" s="61">
        <v>3732594</v>
      </c>
      <c r="S55" s="61">
        <v>3637681</v>
      </c>
      <c r="T55" s="61">
        <v>3719877</v>
      </c>
      <c r="V55" s="30" t="s">
        <v>49</v>
      </c>
      <c r="W55" s="61">
        <v>4243596</v>
      </c>
    </row>
    <row r="56" spans="2:23" ht="15.75" thickBot="1">
      <c r="B56" s="30" t="s">
        <v>50</v>
      </c>
      <c r="C56" s="31">
        <v>16315</v>
      </c>
      <c r="D56" s="31">
        <v>16335</v>
      </c>
      <c r="E56" s="31">
        <v>16335</v>
      </c>
      <c r="F56" s="31">
        <v>16332</v>
      </c>
      <c r="G56" s="31">
        <v>16332</v>
      </c>
      <c r="H56" s="31">
        <v>15478</v>
      </c>
      <c r="I56" s="31">
        <v>15478</v>
      </c>
      <c r="J56" s="31">
        <v>15478</v>
      </c>
      <c r="K56" s="31">
        <v>15478</v>
      </c>
      <c r="L56" s="31">
        <v>15478</v>
      </c>
      <c r="M56" s="31">
        <v>16572</v>
      </c>
      <c r="N56" s="31">
        <v>16723</v>
      </c>
      <c r="O56" s="31">
        <v>17101.956999999999</v>
      </c>
      <c r="P56" s="61">
        <v>17102</v>
      </c>
      <c r="Q56" s="61">
        <v>17148</v>
      </c>
      <c r="R56" s="61">
        <v>17325</v>
      </c>
      <c r="S56" s="61">
        <v>17468</v>
      </c>
      <c r="T56" s="61">
        <v>17468</v>
      </c>
      <c r="V56" s="30" t="s">
        <v>50</v>
      </c>
      <c r="W56" s="61">
        <v>18741</v>
      </c>
    </row>
    <row r="57" spans="2:23" ht="15.75" thickBot="1">
      <c r="B57" s="30" t="s">
        <v>40</v>
      </c>
      <c r="C57" s="31">
        <v>16569813</v>
      </c>
      <c r="D57" s="31">
        <v>17609166</v>
      </c>
      <c r="E57" s="31">
        <v>16116400</v>
      </c>
      <c r="F57" s="31">
        <v>14908284</v>
      </c>
      <c r="G57" s="31">
        <v>15015133</v>
      </c>
      <c r="H57" s="31">
        <v>16896526</v>
      </c>
      <c r="I57" s="31">
        <v>16821004</v>
      </c>
      <c r="J57" s="31">
        <v>17488539</v>
      </c>
      <c r="K57" s="31">
        <v>17313005</v>
      </c>
      <c r="L57" s="31">
        <v>16769982</v>
      </c>
      <c r="M57" s="31">
        <v>17490328</v>
      </c>
      <c r="N57" s="31">
        <v>16435742</v>
      </c>
      <c r="O57" s="31">
        <v>17130598.372000001</v>
      </c>
      <c r="P57" s="61">
        <v>18845990</v>
      </c>
      <c r="Q57" s="61">
        <v>20570903</v>
      </c>
      <c r="R57" s="61">
        <v>23844889</v>
      </c>
      <c r="S57" s="61">
        <v>22822894</v>
      </c>
      <c r="T57" s="61">
        <v>23435289</v>
      </c>
      <c r="V57" s="30" t="s">
        <v>40</v>
      </c>
      <c r="W57" s="61">
        <v>25723585</v>
      </c>
    </row>
    <row r="58" spans="2:23" ht="15.75" thickBot="1">
      <c r="B58" s="30" t="s">
        <v>42</v>
      </c>
      <c r="C58" s="31">
        <v>72931</v>
      </c>
      <c r="D58" s="31">
        <v>85778</v>
      </c>
      <c r="E58" s="31">
        <v>72025</v>
      </c>
      <c r="F58" s="31">
        <v>67498</v>
      </c>
      <c r="G58" s="31">
        <v>66431</v>
      </c>
      <c r="H58" s="31">
        <v>63359</v>
      </c>
      <c r="I58" s="31">
        <v>62277</v>
      </c>
      <c r="J58" s="31">
        <v>63439</v>
      </c>
      <c r="K58" s="31">
        <v>66037</v>
      </c>
      <c r="L58" s="31">
        <v>64808</v>
      </c>
      <c r="M58" s="31">
        <v>84407</v>
      </c>
      <c r="N58" s="31">
        <v>65428</v>
      </c>
      <c r="O58" s="31">
        <v>62449.442000000003</v>
      </c>
      <c r="P58" s="61">
        <v>64521</v>
      </c>
      <c r="Q58" s="61">
        <v>64648</v>
      </c>
      <c r="R58" s="61">
        <v>65549</v>
      </c>
      <c r="S58" s="61">
        <v>67821</v>
      </c>
      <c r="T58" s="61">
        <v>65599</v>
      </c>
      <c r="V58" s="30" t="s">
        <v>42</v>
      </c>
      <c r="W58" s="61">
        <v>72502</v>
      </c>
    </row>
    <row r="59" spans="2:23" ht="15.75" thickBot="1">
      <c r="B59" s="30" t="s">
        <v>52</v>
      </c>
      <c r="C59" s="31">
        <v>7761835</v>
      </c>
      <c r="D59" s="31">
        <v>9056402</v>
      </c>
      <c r="E59" s="31">
        <v>9134609</v>
      </c>
      <c r="F59" s="31">
        <v>9545706</v>
      </c>
      <c r="G59" s="31">
        <v>9777637</v>
      </c>
      <c r="H59" s="31">
        <v>10195114</v>
      </c>
      <c r="I59" s="31">
        <v>10333190</v>
      </c>
      <c r="J59" s="31">
        <v>10256896</v>
      </c>
      <c r="K59" s="31">
        <v>10687625</v>
      </c>
      <c r="L59" s="31">
        <v>11095458</v>
      </c>
      <c r="M59" s="31">
        <v>12043453</v>
      </c>
      <c r="N59" s="31">
        <v>11747471</v>
      </c>
      <c r="O59" s="31">
        <v>12189428.210999999</v>
      </c>
      <c r="P59" s="700">
        <f>12179179+1</f>
        <v>12179180</v>
      </c>
      <c r="Q59" s="61">
        <v>12328996</v>
      </c>
      <c r="R59" s="61">
        <v>12578580</v>
      </c>
      <c r="S59" s="61">
        <v>12736366</v>
      </c>
      <c r="T59" s="61">
        <v>12973393</v>
      </c>
      <c r="V59" s="30" t="s">
        <v>52</v>
      </c>
      <c r="W59" s="61">
        <v>12796356</v>
      </c>
    </row>
    <row r="60" spans="2:23" ht="15.75" thickBot="1">
      <c r="B60" s="30" t="s">
        <v>53</v>
      </c>
      <c r="C60" s="31">
        <v>0</v>
      </c>
      <c r="D60" s="31">
        <v>0</v>
      </c>
      <c r="E60" s="31">
        <v>0</v>
      </c>
      <c r="F60" s="31">
        <v>0</v>
      </c>
      <c r="G60" s="31">
        <v>0</v>
      </c>
      <c r="H60" s="31">
        <v>0</v>
      </c>
      <c r="I60" s="31">
        <v>0</v>
      </c>
      <c r="J60" s="31">
        <v>0</v>
      </c>
      <c r="K60" s="31">
        <v>0</v>
      </c>
      <c r="L60" s="31">
        <v>0</v>
      </c>
      <c r="M60" s="31">
        <v>0</v>
      </c>
      <c r="N60" s="31">
        <v>0</v>
      </c>
      <c r="O60" s="31">
        <v>0</v>
      </c>
      <c r="P60" s="61">
        <v>0</v>
      </c>
      <c r="Q60" s="61">
        <v>0</v>
      </c>
      <c r="R60" s="61">
        <v>0</v>
      </c>
      <c r="S60" s="61">
        <v>0</v>
      </c>
      <c r="T60" s="61">
        <v>0</v>
      </c>
      <c r="V60" s="30" t="s">
        <v>53</v>
      </c>
      <c r="W60" s="61"/>
    </row>
    <row r="61" spans="2:23" ht="15.75" thickBot="1">
      <c r="B61" s="30" t="s">
        <v>54</v>
      </c>
      <c r="C61" s="31">
        <v>0</v>
      </c>
      <c r="D61" s="31">
        <v>0</v>
      </c>
      <c r="E61" s="31">
        <v>0</v>
      </c>
      <c r="F61" s="31">
        <v>0</v>
      </c>
      <c r="G61" s="31">
        <v>0</v>
      </c>
      <c r="H61" s="31">
        <v>0</v>
      </c>
      <c r="I61" s="31">
        <v>0</v>
      </c>
      <c r="J61" s="31">
        <v>0</v>
      </c>
      <c r="K61" s="31">
        <v>0</v>
      </c>
      <c r="L61" s="31">
        <v>0</v>
      </c>
      <c r="M61" s="31">
        <v>0</v>
      </c>
      <c r="N61" s="31">
        <v>0</v>
      </c>
      <c r="O61" s="31">
        <v>0</v>
      </c>
      <c r="P61" s="61">
        <v>0</v>
      </c>
      <c r="Q61" s="61">
        <v>0</v>
      </c>
      <c r="R61" s="61">
        <v>0</v>
      </c>
      <c r="S61" s="61">
        <v>0</v>
      </c>
      <c r="T61" s="61">
        <v>0</v>
      </c>
      <c r="V61" s="30" t="s">
        <v>54</v>
      </c>
      <c r="W61" s="61"/>
    </row>
    <row r="62" spans="2:23" ht="15.75" thickBot="1">
      <c r="B62" s="30" t="s">
        <v>55</v>
      </c>
      <c r="C62" s="31">
        <v>6179860</v>
      </c>
      <c r="D62" s="31">
        <v>6424494</v>
      </c>
      <c r="E62" s="31">
        <v>6010730</v>
      </c>
      <c r="F62" s="31">
        <v>6258157</v>
      </c>
      <c r="G62" s="31">
        <v>6297004</v>
      </c>
      <c r="H62" s="31">
        <v>6827331</v>
      </c>
      <c r="I62" s="31">
        <v>6639257</v>
      </c>
      <c r="J62" s="31">
        <v>6898749</v>
      </c>
      <c r="K62" s="31">
        <v>7331560</v>
      </c>
      <c r="L62" s="31">
        <v>7055014</v>
      </c>
      <c r="M62" s="31">
        <v>8583520</v>
      </c>
      <c r="N62" s="31">
        <v>8026572</v>
      </c>
      <c r="O62" s="31">
        <v>8948239.9680000003</v>
      </c>
      <c r="P62" s="61">
        <v>8277346</v>
      </c>
      <c r="Q62" s="61">
        <v>9435310</v>
      </c>
      <c r="R62" s="61">
        <v>9613978</v>
      </c>
      <c r="S62" s="61">
        <v>9763450</v>
      </c>
      <c r="T62" s="61">
        <v>10246813</v>
      </c>
      <c r="V62" s="30" t="s">
        <v>55</v>
      </c>
      <c r="W62" s="61">
        <v>9772257</v>
      </c>
    </row>
    <row r="63" spans="2:23" ht="15.75" thickBot="1">
      <c r="B63" s="30" t="s">
        <v>43</v>
      </c>
      <c r="C63" s="31">
        <v>67802</v>
      </c>
      <c r="D63" s="31">
        <v>65015</v>
      </c>
      <c r="E63" s="31">
        <v>58212</v>
      </c>
      <c r="F63" s="31">
        <v>60609</v>
      </c>
      <c r="G63" s="31">
        <v>60989</v>
      </c>
      <c r="H63" s="31">
        <v>93676</v>
      </c>
      <c r="I63" s="31">
        <v>97570</v>
      </c>
      <c r="J63" s="31">
        <v>97748</v>
      </c>
      <c r="K63" s="31">
        <v>96536</v>
      </c>
      <c r="L63" s="31">
        <v>106428</v>
      </c>
      <c r="M63" s="31">
        <v>96500</v>
      </c>
      <c r="N63" s="31">
        <v>70755</v>
      </c>
      <c r="O63" s="31">
        <v>78723.960999999996</v>
      </c>
      <c r="P63" s="61">
        <v>128094</v>
      </c>
      <c r="Q63" s="61">
        <v>174641</v>
      </c>
      <c r="R63" s="61">
        <v>176565</v>
      </c>
      <c r="S63" s="61">
        <v>180300</v>
      </c>
      <c r="T63" s="61">
        <v>168915</v>
      </c>
      <c r="V63" s="30" t="s">
        <v>43</v>
      </c>
      <c r="W63" s="61">
        <v>164657</v>
      </c>
    </row>
    <row r="64" spans="2:23" ht="15.75" thickBot="1">
      <c r="B64" s="30" t="s">
        <v>56</v>
      </c>
      <c r="C64" s="31">
        <v>415450</v>
      </c>
      <c r="D64" s="31">
        <v>504264</v>
      </c>
      <c r="E64" s="31">
        <v>463029</v>
      </c>
      <c r="F64" s="31">
        <v>448246</v>
      </c>
      <c r="G64" s="31">
        <v>464027</v>
      </c>
      <c r="H64" s="31">
        <v>591278</v>
      </c>
      <c r="I64" s="31">
        <v>642483</v>
      </c>
      <c r="J64" s="31">
        <v>724702</v>
      </c>
      <c r="K64" s="31">
        <v>834493</v>
      </c>
      <c r="L64" s="31">
        <v>791388</v>
      </c>
      <c r="M64" s="31">
        <v>965854</v>
      </c>
      <c r="N64" s="31">
        <v>907704</v>
      </c>
      <c r="O64" s="31">
        <v>1018011.673</v>
      </c>
      <c r="P64" s="61">
        <v>1608436</v>
      </c>
      <c r="Q64" s="61">
        <v>1700617</v>
      </c>
      <c r="R64" s="61">
        <v>1816483</v>
      </c>
      <c r="S64" s="61">
        <v>2247971</v>
      </c>
      <c r="T64" s="61">
        <v>256432</v>
      </c>
      <c r="V64" s="30" t="s">
        <v>56</v>
      </c>
      <c r="W64" s="61">
        <v>247997</v>
      </c>
    </row>
    <row r="65" spans="2:23" ht="15.75" thickBot="1">
      <c r="B65" s="30" t="s">
        <v>57</v>
      </c>
      <c r="C65" s="31">
        <v>0</v>
      </c>
      <c r="D65" s="31">
        <v>7401</v>
      </c>
      <c r="E65" s="31">
        <v>2980</v>
      </c>
      <c r="F65" s="31">
        <v>7459</v>
      </c>
      <c r="G65" s="31">
        <v>7074</v>
      </c>
      <c r="H65" s="31">
        <v>22514</v>
      </c>
      <c r="I65" s="31">
        <v>23831</v>
      </c>
      <c r="J65" s="31">
        <v>63565</v>
      </c>
      <c r="K65" s="31">
        <v>61386</v>
      </c>
      <c r="L65" s="31">
        <v>220311</v>
      </c>
      <c r="M65" s="31">
        <v>239071</v>
      </c>
      <c r="N65" s="31">
        <v>213124</v>
      </c>
      <c r="O65" s="31">
        <v>220874.481</v>
      </c>
      <c r="P65" s="61">
        <v>0</v>
      </c>
      <c r="Q65" s="61">
        <v>224684</v>
      </c>
      <c r="R65" s="61">
        <v>0</v>
      </c>
      <c r="S65" s="61">
        <v>0</v>
      </c>
      <c r="T65" s="61">
        <v>0</v>
      </c>
      <c r="V65" s="30" t="s">
        <v>57</v>
      </c>
      <c r="W65" s="61"/>
    </row>
    <row r="66" spans="2:23" ht="15.75" thickBot="1">
      <c r="B66" s="30" t="s">
        <v>58</v>
      </c>
      <c r="C66" s="31">
        <v>0</v>
      </c>
      <c r="D66" s="31">
        <v>0</v>
      </c>
      <c r="E66" s="31">
        <v>0</v>
      </c>
      <c r="F66" s="31">
        <v>0</v>
      </c>
      <c r="G66" s="31">
        <v>0</v>
      </c>
      <c r="H66" s="31">
        <v>0</v>
      </c>
      <c r="I66" s="31">
        <v>0</v>
      </c>
      <c r="J66" s="31">
        <v>0</v>
      </c>
      <c r="K66" s="31">
        <v>0</v>
      </c>
      <c r="L66" s="31">
        <v>1390</v>
      </c>
      <c r="M66" s="31">
        <v>0</v>
      </c>
      <c r="N66" s="31">
        <v>1782</v>
      </c>
      <c r="O66" s="31">
        <v>409.58699999999999</v>
      </c>
      <c r="P66" s="61">
        <v>0</v>
      </c>
      <c r="Q66" s="61">
        <v>379</v>
      </c>
      <c r="R66" s="61">
        <v>0</v>
      </c>
      <c r="S66" s="61">
        <v>0</v>
      </c>
      <c r="T66" s="61">
        <v>0</v>
      </c>
      <c r="V66" s="30" t="s">
        <v>58</v>
      </c>
      <c r="W66" s="61"/>
    </row>
    <row r="67" spans="2:23" ht="15.75" thickBot="1">
      <c r="B67" s="30" t="s">
        <v>44</v>
      </c>
      <c r="C67" s="31">
        <v>0</v>
      </c>
      <c r="D67" s="31">
        <v>0</v>
      </c>
      <c r="E67" s="31">
        <v>1216</v>
      </c>
      <c r="F67" s="31">
        <v>151</v>
      </c>
      <c r="G67" s="31">
        <v>2</v>
      </c>
      <c r="H67" s="31">
        <v>335</v>
      </c>
      <c r="I67" s="31">
        <v>389</v>
      </c>
      <c r="J67" s="31">
        <v>337</v>
      </c>
      <c r="K67" s="31">
        <v>337</v>
      </c>
      <c r="L67" s="31">
        <v>335</v>
      </c>
      <c r="M67" s="31">
        <v>337</v>
      </c>
      <c r="N67" s="31">
        <v>337</v>
      </c>
      <c r="O67" s="31">
        <v>336.62700000000001</v>
      </c>
      <c r="P67" s="700">
        <f>17289-2</f>
        <v>17287</v>
      </c>
      <c r="Q67" s="61">
        <v>19267</v>
      </c>
      <c r="R67" s="61">
        <v>337</v>
      </c>
      <c r="S67" s="61">
        <v>337</v>
      </c>
      <c r="T67" s="61">
        <v>335</v>
      </c>
      <c r="V67" s="30" t="s">
        <v>44</v>
      </c>
      <c r="W67" s="61">
        <v>0</v>
      </c>
    </row>
    <row r="68" spans="2:23" ht="15.75" thickBot="1">
      <c r="B68" s="28" t="s">
        <v>59</v>
      </c>
      <c r="C68" s="34">
        <v>32835212</v>
      </c>
      <c r="D68" s="34">
        <v>36987771</v>
      </c>
      <c r="E68" s="34">
        <v>34928799</v>
      </c>
      <c r="F68" s="34">
        <v>34199379</v>
      </c>
      <c r="G68" s="34">
        <v>34509162</v>
      </c>
      <c r="H68" s="34">
        <v>37943640</v>
      </c>
      <c r="I68" s="34">
        <v>37815662</v>
      </c>
      <c r="J68" s="34">
        <v>38832598</v>
      </c>
      <c r="K68" s="34">
        <v>39632012</v>
      </c>
      <c r="L68" s="34">
        <v>39343463</v>
      </c>
      <c r="M68" s="34">
        <v>42843643</v>
      </c>
      <c r="N68" s="34">
        <v>40731520</v>
      </c>
      <c r="O68" s="258">
        <v>42872111.616999999</v>
      </c>
      <c r="P68" s="64">
        <f t="shared" ref="P68" si="14">SUM(P53:P67)</f>
        <v>44485284</v>
      </c>
      <c r="Q68" s="64">
        <f t="shared" ref="Q68" si="15">SUM(Q53:Q67)</f>
        <v>48165046</v>
      </c>
      <c r="R68" s="64">
        <v>52183396</v>
      </c>
      <c r="S68" s="64">
        <f t="shared" ref="S68" si="16">SUM(S53:S67)</f>
        <v>51556960</v>
      </c>
      <c r="T68" s="64">
        <f t="shared" ref="T68" si="17">SUM(T53:T67)</f>
        <v>51028083</v>
      </c>
      <c r="V68" s="28" t="s">
        <v>59</v>
      </c>
      <c r="W68" s="64">
        <v>53193322</v>
      </c>
    </row>
    <row r="69" spans="2:23" ht="15.75" thickBot="1">
      <c r="B69" s="35" t="s">
        <v>60</v>
      </c>
      <c r="C69" s="36">
        <v>38508385</v>
      </c>
      <c r="D69" s="36">
        <v>43408501</v>
      </c>
      <c r="E69" s="36">
        <v>41580022</v>
      </c>
      <c r="F69" s="36">
        <v>40714888</v>
      </c>
      <c r="G69" s="36">
        <v>41898304</v>
      </c>
      <c r="H69" s="36">
        <v>44967854</v>
      </c>
      <c r="I69" s="36">
        <v>45027284</v>
      </c>
      <c r="J69" s="36">
        <v>47265664</v>
      </c>
      <c r="K69" s="36">
        <v>48240416</v>
      </c>
      <c r="L69" s="36">
        <v>48793244</v>
      </c>
      <c r="M69" s="36">
        <v>51340270</v>
      </c>
      <c r="N69" s="36">
        <v>49902156</v>
      </c>
      <c r="O69" s="259">
        <v>52280266.160999998</v>
      </c>
      <c r="P69" s="66">
        <f t="shared" ref="P69" si="18">+P51+P68</f>
        <v>54194069</v>
      </c>
      <c r="Q69" s="66">
        <f t="shared" ref="Q69" si="19">+Q51+Q68</f>
        <v>57636388</v>
      </c>
      <c r="R69" s="66">
        <v>62624186</v>
      </c>
      <c r="S69" s="66">
        <f t="shared" ref="S69:T69" si="20">+S51+S68</f>
        <v>62574311</v>
      </c>
      <c r="T69" s="66">
        <f t="shared" si="20"/>
        <v>61698186</v>
      </c>
      <c r="V69" s="35" t="s">
        <v>60</v>
      </c>
      <c r="W69" s="66">
        <v>64009251</v>
      </c>
    </row>
    <row r="70" spans="2:23" ht="15.75" thickBot="1">
      <c r="B70" s="37"/>
      <c r="C70" s="38"/>
      <c r="D70" s="38"/>
      <c r="E70" s="38"/>
      <c r="F70" s="38"/>
      <c r="G70" s="38"/>
      <c r="H70" s="38"/>
      <c r="I70" s="38"/>
      <c r="J70" s="38"/>
      <c r="K70" s="38"/>
      <c r="L70" s="38"/>
      <c r="M70" s="38"/>
      <c r="N70" s="38"/>
      <c r="O70" s="260"/>
      <c r="P70" s="364"/>
      <c r="Q70" s="135"/>
      <c r="S70" s="364"/>
      <c r="T70" s="739"/>
      <c r="V70" s="37"/>
      <c r="W70" s="739"/>
    </row>
    <row r="71" spans="2:23" ht="15.75" thickBot="1">
      <c r="B71" s="26" t="s">
        <v>61</v>
      </c>
      <c r="C71" s="39"/>
      <c r="D71" s="39"/>
      <c r="E71" s="39"/>
      <c r="F71" s="39"/>
      <c r="G71" s="39"/>
      <c r="H71" s="39"/>
      <c r="I71" s="39"/>
      <c r="J71" s="39"/>
      <c r="K71" s="39"/>
      <c r="L71" s="39"/>
      <c r="M71" s="39"/>
      <c r="N71" s="39"/>
      <c r="O71" s="261"/>
      <c r="P71" s="69"/>
      <c r="Q71" s="69"/>
      <c r="R71" s="69"/>
      <c r="S71" s="69"/>
      <c r="T71" s="736"/>
      <c r="V71" s="26" t="s">
        <v>61</v>
      </c>
      <c r="W71" s="736"/>
    </row>
    <row r="72" spans="2:23" ht="15.75" thickBot="1">
      <c r="B72" s="28" t="s">
        <v>62</v>
      </c>
      <c r="C72" s="40"/>
      <c r="D72" s="40"/>
      <c r="E72" s="40"/>
      <c r="F72" s="40"/>
      <c r="G72" s="40"/>
      <c r="H72" s="40"/>
      <c r="I72" s="40"/>
      <c r="J72" s="40"/>
      <c r="K72" s="40"/>
      <c r="L72" s="40"/>
      <c r="M72" s="40"/>
      <c r="N72" s="40"/>
      <c r="O72" s="262"/>
      <c r="P72" s="70"/>
      <c r="Q72" s="70"/>
      <c r="R72" s="70"/>
      <c r="S72" s="70"/>
      <c r="T72" s="737"/>
      <c r="V72" s="28" t="s">
        <v>62</v>
      </c>
      <c r="W72" s="737"/>
    </row>
    <row r="73" spans="2:23" ht="15.75" thickBot="1">
      <c r="B73" s="30" t="s">
        <v>63</v>
      </c>
      <c r="C73" s="31">
        <v>1674203</v>
      </c>
      <c r="D73" s="31">
        <v>1603839</v>
      </c>
      <c r="E73" s="31">
        <v>1412122</v>
      </c>
      <c r="F73" s="31">
        <v>1563656</v>
      </c>
      <c r="G73" s="31">
        <v>1614296</v>
      </c>
      <c r="H73" s="31">
        <v>1751632</v>
      </c>
      <c r="I73" s="31">
        <v>1592926</v>
      </c>
      <c r="J73" s="31">
        <v>1406427</v>
      </c>
      <c r="K73" s="31">
        <v>1787726</v>
      </c>
      <c r="L73" s="31">
        <v>1698041</v>
      </c>
      <c r="M73" s="31">
        <v>2222137</v>
      </c>
      <c r="N73" s="31">
        <v>2360855</v>
      </c>
      <c r="O73" s="31">
        <v>1590591.1680000001</v>
      </c>
      <c r="P73" s="61">
        <v>1266015</v>
      </c>
      <c r="Q73" s="61">
        <v>1586526</v>
      </c>
      <c r="R73" s="61">
        <v>2772660</v>
      </c>
      <c r="S73" s="61">
        <v>3029718</v>
      </c>
      <c r="T73" s="61">
        <v>2866267</v>
      </c>
      <c r="V73" s="30" t="s">
        <v>63</v>
      </c>
      <c r="W73" s="61">
        <v>2581547</v>
      </c>
    </row>
    <row r="74" spans="2:23" ht="15.75" thickBot="1">
      <c r="B74" s="30" t="s">
        <v>64</v>
      </c>
      <c r="C74" s="31">
        <v>905227</v>
      </c>
      <c r="D74" s="31">
        <v>779013</v>
      </c>
      <c r="E74" s="31">
        <v>1206346</v>
      </c>
      <c r="F74" s="31">
        <v>1133748</v>
      </c>
      <c r="G74" s="31">
        <v>762854</v>
      </c>
      <c r="H74" s="31">
        <v>635442</v>
      </c>
      <c r="I74" s="31">
        <v>1271533</v>
      </c>
      <c r="J74" s="31">
        <v>1202679</v>
      </c>
      <c r="K74" s="31">
        <v>887582</v>
      </c>
      <c r="L74" s="31">
        <v>973517</v>
      </c>
      <c r="M74" s="31">
        <v>1703190</v>
      </c>
      <c r="N74" s="31">
        <v>1444107</v>
      </c>
      <c r="O74" s="31">
        <v>1194236.534</v>
      </c>
      <c r="P74" s="61">
        <v>996573</v>
      </c>
      <c r="Q74" s="61">
        <v>2864357</v>
      </c>
      <c r="R74" s="61">
        <v>2328817</v>
      </c>
      <c r="S74" s="61">
        <v>1364141</v>
      </c>
      <c r="T74" s="61">
        <v>949140</v>
      </c>
      <c r="V74" s="30" t="s">
        <v>64</v>
      </c>
      <c r="W74" s="61">
        <v>1781819</v>
      </c>
    </row>
    <row r="75" spans="2:23" ht="15.75" thickBot="1">
      <c r="B75" s="30" t="s">
        <v>65</v>
      </c>
      <c r="C75" s="31">
        <v>0</v>
      </c>
      <c r="D75" s="31">
        <v>53</v>
      </c>
      <c r="E75" s="31">
        <v>68400</v>
      </c>
      <c r="F75" s="31">
        <v>2075</v>
      </c>
      <c r="G75" s="31">
        <v>99</v>
      </c>
      <c r="H75" s="31">
        <v>0</v>
      </c>
      <c r="I75" s="31">
        <v>0</v>
      </c>
      <c r="J75" s="31">
        <v>0</v>
      </c>
      <c r="K75" s="31">
        <v>62</v>
      </c>
      <c r="L75" s="31">
        <v>59</v>
      </c>
      <c r="M75" s="31">
        <v>75</v>
      </c>
      <c r="N75" s="31">
        <v>73</v>
      </c>
      <c r="O75" s="31">
        <v>0</v>
      </c>
      <c r="P75" s="61">
        <v>62</v>
      </c>
      <c r="Q75" s="61">
        <v>67</v>
      </c>
      <c r="R75" s="61">
        <v>68</v>
      </c>
      <c r="S75" s="61">
        <v>51</v>
      </c>
      <c r="T75" s="61">
        <v>0</v>
      </c>
      <c r="V75" s="30" t="s">
        <v>65</v>
      </c>
      <c r="W75" s="61"/>
    </row>
    <row r="76" spans="2:23" ht="15.75" thickBot="1">
      <c r="B76" s="30" t="s">
        <v>66</v>
      </c>
      <c r="C76" s="31">
        <v>73253</v>
      </c>
      <c r="D76" s="31">
        <v>83690</v>
      </c>
      <c r="E76" s="31">
        <v>61445</v>
      </c>
      <c r="F76" s="31">
        <v>70305</v>
      </c>
      <c r="G76" s="31">
        <v>84674</v>
      </c>
      <c r="H76" s="31">
        <v>99330</v>
      </c>
      <c r="I76" s="31">
        <v>89182</v>
      </c>
      <c r="J76" s="31">
        <v>91977</v>
      </c>
      <c r="K76" s="31">
        <v>117996</v>
      </c>
      <c r="L76" s="31">
        <v>101658</v>
      </c>
      <c r="M76" s="31">
        <v>95984</v>
      </c>
      <c r="N76" s="31">
        <v>102107</v>
      </c>
      <c r="O76" s="31">
        <v>128523.75199999999</v>
      </c>
      <c r="P76" s="61">
        <v>120979</v>
      </c>
      <c r="Q76" s="61">
        <v>108104</v>
      </c>
      <c r="R76" s="61">
        <v>117147</v>
      </c>
      <c r="S76" s="61">
        <v>138087</v>
      </c>
      <c r="T76" s="61">
        <v>140154</v>
      </c>
      <c r="V76" s="30" t="s">
        <v>66</v>
      </c>
      <c r="W76" s="61">
        <v>118930</v>
      </c>
    </row>
    <row r="77" spans="2:23" ht="15.75" thickBot="1">
      <c r="B77" s="30" t="s">
        <v>41</v>
      </c>
      <c r="C77" s="31">
        <v>245065</v>
      </c>
      <c r="D77" s="31">
        <v>407912</v>
      </c>
      <c r="E77" s="31">
        <v>494984</v>
      </c>
      <c r="F77" s="31">
        <v>635223</v>
      </c>
      <c r="G77" s="31">
        <v>799047</v>
      </c>
      <c r="H77" s="31">
        <v>251656</v>
      </c>
      <c r="I77" s="31">
        <v>380708</v>
      </c>
      <c r="J77" s="31">
        <v>518227</v>
      </c>
      <c r="K77" s="31">
        <v>589799</v>
      </c>
      <c r="L77" s="31">
        <v>268197</v>
      </c>
      <c r="M77" s="31">
        <v>357015</v>
      </c>
      <c r="N77" s="31">
        <v>470736</v>
      </c>
      <c r="O77" s="31">
        <v>618913.03799999994</v>
      </c>
      <c r="P77" s="61">
        <v>376021</v>
      </c>
      <c r="Q77" s="61">
        <v>547982</v>
      </c>
      <c r="R77" s="61">
        <v>644816</v>
      </c>
      <c r="S77" s="61">
        <v>763735</v>
      </c>
      <c r="T77" s="61">
        <v>369353</v>
      </c>
      <c r="V77" s="30" t="s">
        <v>41</v>
      </c>
      <c r="W77" s="61">
        <v>382270</v>
      </c>
    </row>
    <row r="78" spans="2:23" ht="15.75" thickBot="1">
      <c r="B78" s="30" t="s">
        <v>67</v>
      </c>
      <c r="C78" s="31">
        <v>537283</v>
      </c>
      <c r="D78" s="31">
        <v>121006</v>
      </c>
      <c r="E78" s="31">
        <v>116647</v>
      </c>
      <c r="F78" s="31">
        <v>128507</v>
      </c>
      <c r="G78" s="31">
        <v>125220</v>
      </c>
      <c r="H78" s="31">
        <v>95924</v>
      </c>
      <c r="I78" s="31">
        <v>141933</v>
      </c>
      <c r="J78" s="31">
        <v>140934</v>
      </c>
      <c r="K78" s="31">
        <v>146155</v>
      </c>
      <c r="L78" s="31">
        <v>551058</v>
      </c>
      <c r="M78" s="31">
        <v>334793</v>
      </c>
      <c r="N78" s="31">
        <v>275555</v>
      </c>
      <c r="O78" s="31">
        <v>277686.89199999999</v>
      </c>
      <c r="P78" s="61">
        <v>368985</v>
      </c>
      <c r="Q78" s="61">
        <v>404022</v>
      </c>
      <c r="R78" s="61">
        <v>418503</v>
      </c>
      <c r="S78" s="61">
        <v>392568</v>
      </c>
      <c r="T78" s="61">
        <v>154089</v>
      </c>
      <c r="V78" s="30" t="s">
        <v>67</v>
      </c>
      <c r="W78" s="61">
        <v>142509</v>
      </c>
    </row>
    <row r="79" spans="2:23" ht="15.75" thickBot="1">
      <c r="B79" s="30" t="s">
        <v>68</v>
      </c>
      <c r="C79" s="31">
        <v>229713</v>
      </c>
      <c r="D79" s="31">
        <v>114763</v>
      </c>
      <c r="E79" s="31">
        <v>121031</v>
      </c>
      <c r="F79" s="31">
        <v>122952</v>
      </c>
      <c r="G79" s="31">
        <v>110771</v>
      </c>
      <c r="H79" s="31">
        <v>89795</v>
      </c>
      <c r="I79" s="31">
        <v>109794</v>
      </c>
      <c r="J79" s="31">
        <v>112964</v>
      </c>
      <c r="K79" s="31">
        <v>117632</v>
      </c>
      <c r="L79" s="31">
        <v>82557</v>
      </c>
      <c r="M79" s="31">
        <v>84482</v>
      </c>
      <c r="N79" s="31">
        <v>84413</v>
      </c>
      <c r="O79" s="31">
        <v>85246.808000000005</v>
      </c>
      <c r="P79" s="61">
        <v>274406</v>
      </c>
      <c r="Q79" s="61">
        <v>175774</v>
      </c>
      <c r="R79" s="61">
        <v>157508</v>
      </c>
      <c r="S79" s="61">
        <v>323252</v>
      </c>
      <c r="T79" s="61">
        <v>491046</v>
      </c>
      <c r="V79" s="30" t="s">
        <v>68</v>
      </c>
      <c r="W79" s="61">
        <v>385564</v>
      </c>
    </row>
    <row r="80" spans="2:23" ht="15.75" thickBot="1">
      <c r="B80" s="30" t="s">
        <v>69</v>
      </c>
      <c r="C80" s="31">
        <v>0</v>
      </c>
      <c r="D80" s="31">
        <v>0</v>
      </c>
      <c r="E80" s="31">
        <v>219</v>
      </c>
      <c r="F80" s="31">
        <v>0</v>
      </c>
      <c r="G80" s="31">
        <v>0</v>
      </c>
      <c r="H80" s="31">
        <v>0</v>
      </c>
      <c r="I80" s="31">
        <v>0</v>
      </c>
      <c r="J80" s="31">
        <v>0</v>
      </c>
      <c r="K80" s="31">
        <v>0</v>
      </c>
      <c r="L80" s="31">
        <v>0</v>
      </c>
      <c r="M80" s="31">
        <v>0</v>
      </c>
      <c r="N80" s="31">
        <v>0</v>
      </c>
      <c r="O80" s="31">
        <v>0</v>
      </c>
      <c r="P80" s="61">
        <v>0</v>
      </c>
      <c r="Q80" s="61">
        <v>0</v>
      </c>
      <c r="R80" s="61">
        <v>0</v>
      </c>
      <c r="S80" s="61">
        <v>0</v>
      </c>
      <c r="T80" s="61">
        <v>0</v>
      </c>
      <c r="V80" s="30" t="s">
        <v>69</v>
      </c>
      <c r="W80" s="61"/>
    </row>
    <row r="81" spans="2:23" ht="15.75" thickBot="1">
      <c r="B81" s="28" t="s">
        <v>70</v>
      </c>
      <c r="C81" s="34">
        <v>3664744</v>
      </c>
      <c r="D81" s="34">
        <v>3110276</v>
      </c>
      <c r="E81" s="34">
        <v>3481194</v>
      </c>
      <c r="F81" s="34">
        <v>3656466</v>
      </c>
      <c r="G81" s="34">
        <v>3496961</v>
      </c>
      <c r="H81" s="34">
        <v>2923779</v>
      </c>
      <c r="I81" s="34">
        <v>3586076</v>
      </c>
      <c r="J81" s="34">
        <v>3473208</v>
      </c>
      <c r="K81" s="34">
        <v>3646952</v>
      </c>
      <c r="L81" s="34">
        <v>3675087</v>
      </c>
      <c r="M81" s="34">
        <v>4797676</v>
      </c>
      <c r="N81" s="34">
        <v>4737846</v>
      </c>
      <c r="O81" s="258">
        <v>3895198.1919999998</v>
      </c>
      <c r="P81" s="64">
        <f t="shared" ref="P81" si="21">SUM(P73:P80)</f>
        <v>3403041</v>
      </c>
      <c r="Q81" s="64">
        <f t="shared" ref="Q81" si="22">SUM(Q73:Q80)</f>
        <v>5686832</v>
      </c>
      <c r="R81" s="64">
        <v>6439519</v>
      </c>
      <c r="S81" s="64">
        <f t="shared" ref="S81" si="23">SUM(S73:S80)</f>
        <v>6011552</v>
      </c>
      <c r="T81" s="64">
        <f t="shared" ref="T81" si="24">SUM(T73:T80)</f>
        <v>4970049</v>
      </c>
      <c r="V81" s="28" t="s">
        <v>70</v>
      </c>
      <c r="W81" s="64">
        <v>5392639</v>
      </c>
    </row>
    <row r="82" spans="2:23" ht="15.75" thickBot="1">
      <c r="B82" s="41" t="s">
        <v>71</v>
      </c>
      <c r="C82" s="42"/>
      <c r="D82" s="42"/>
      <c r="E82" s="42"/>
      <c r="F82" s="42"/>
      <c r="G82" s="42"/>
      <c r="H82" s="42"/>
      <c r="I82" s="42"/>
      <c r="J82" s="42"/>
      <c r="K82" s="42"/>
      <c r="L82" s="42"/>
      <c r="M82" s="42"/>
      <c r="N82" s="42"/>
      <c r="O82" s="263"/>
      <c r="P82" s="72"/>
      <c r="Q82" s="72"/>
      <c r="R82" s="72"/>
      <c r="S82" s="72"/>
      <c r="T82" s="738"/>
      <c r="V82" s="41" t="s">
        <v>71</v>
      </c>
      <c r="W82" s="738"/>
    </row>
    <row r="83" spans="2:23" ht="15.75" thickBot="1">
      <c r="B83" s="30" t="s">
        <v>63</v>
      </c>
      <c r="C83" s="31">
        <v>10797222</v>
      </c>
      <c r="D83" s="31">
        <v>14085189</v>
      </c>
      <c r="E83" s="31">
        <v>13786538</v>
      </c>
      <c r="F83" s="31">
        <v>13870661</v>
      </c>
      <c r="G83" s="31">
        <v>14522384</v>
      </c>
      <c r="H83" s="31">
        <v>15438954</v>
      </c>
      <c r="I83" s="31">
        <v>15477291</v>
      </c>
      <c r="J83" s="31">
        <v>16611023</v>
      </c>
      <c r="K83" s="31">
        <v>16604521</v>
      </c>
      <c r="L83" s="31">
        <v>16059516</v>
      </c>
      <c r="M83" s="31">
        <v>17827828</v>
      </c>
      <c r="N83" s="31">
        <v>17883592</v>
      </c>
      <c r="O83" s="31">
        <v>19779190.577</v>
      </c>
      <c r="P83" s="61">
        <v>21202820</v>
      </c>
      <c r="Q83" s="61">
        <v>22385117</v>
      </c>
      <c r="R83" s="61">
        <v>23361384</v>
      </c>
      <c r="S83" s="61">
        <v>23906515</v>
      </c>
      <c r="T83" s="61">
        <v>25074175</v>
      </c>
      <c r="V83" s="30" t="s">
        <v>63</v>
      </c>
      <c r="W83" s="61">
        <v>25388202</v>
      </c>
    </row>
    <row r="84" spans="2:23" ht="15.75" thickBot="1">
      <c r="B84" s="30" t="s">
        <v>64</v>
      </c>
      <c r="C84" s="31">
        <v>979227</v>
      </c>
      <c r="D84" s="31">
        <v>994998</v>
      </c>
      <c r="E84" s="31">
        <v>873259</v>
      </c>
      <c r="F84" s="31">
        <v>856131</v>
      </c>
      <c r="G84" s="31">
        <v>844531</v>
      </c>
      <c r="H84" s="31">
        <v>908158</v>
      </c>
      <c r="I84" s="31">
        <v>876310</v>
      </c>
      <c r="J84" s="31">
        <v>942608</v>
      </c>
      <c r="K84" s="31">
        <v>921570</v>
      </c>
      <c r="L84" s="31">
        <v>974314</v>
      </c>
      <c r="M84" s="31">
        <v>1018639</v>
      </c>
      <c r="N84" s="31">
        <v>1030325</v>
      </c>
      <c r="O84" s="31">
        <v>1078282.1229999999</v>
      </c>
      <c r="P84" s="61">
        <v>222268</v>
      </c>
      <c r="Q84" s="61">
        <v>1199239</v>
      </c>
      <c r="R84" s="61">
        <v>1201491</v>
      </c>
      <c r="S84" s="61">
        <v>241803</v>
      </c>
      <c r="T84" s="61">
        <v>215467</v>
      </c>
      <c r="V84" s="30" t="s">
        <v>64</v>
      </c>
      <c r="W84" s="61">
        <v>250428</v>
      </c>
    </row>
    <row r="85" spans="2:23" ht="15.75" thickBot="1">
      <c r="B85" s="30" t="s">
        <v>72</v>
      </c>
      <c r="C85" s="31">
        <v>482</v>
      </c>
      <c r="D85" s="31">
        <v>294</v>
      </c>
      <c r="E85" s="31">
        <v>3143</v>
      </c>
      <c r="F85" s="31">
        <v>2471</v>
      </c>
      <c r="G85" s="31">
        <v>49</v>
      </c>
      <c r="H85" s="31">
        <v>0</v>
      </c>
      <c r="I85" s="31">
        <v>0</v>
      </c>
      <c r="J85" s="31">
        <v>0</v>
      </c>
      <c r="K85" s="31">
        <v>0</v>
      </c>
      <c r="L85" s="31">
        <v>0</v>
      </c>
      <c r="M85" s="31">
        <v>0</v>
      </c>
      <c r="N85" s="31">
        <v>0</v>
      </c>
      <c r="O85" s="31">
        <v>0</v>
      </c>
      <c r="P85" s="61">
        <v>0</v>
      </c>
      <c r="Q85" s="61">
        <v>0</v>
      </c>
      <c r="R85" s="61">
        <v>0</v>
      </c>
      <c r="S85" s="61">
        <v>-6</v>
      </c>
      <c r="T85" s="61">
        <v>0</v>
      </c>
      <c r="V85" s="30" t="s">
        <v>72</v>
      </c>
      <c r="W85" s="61"/>
    </row>
    <row r="86" spans="2:23" ht="15.75" thickBot="1">
      <c r="B86" s="30" t="s">
        <v>48</v>
      </c>
      <c r="C86" s="31">
        <v>1041742</v>
      </c>
      <c r="D86" s="31">
        <v>1054405</v>
      </c>
      <c r="E86" s="31">
        <v>958397</v>
      </c>
      <c r="F86" s="31">
        <v>855667</v>
      </c>
      <c r="G86" s="31">
        <v>851055</v>
      </c>
      <c r="H86" s="31">
        <v>986905</v>
      </c>
      <c r="I86" s="31">
        <v>975881</v>
      </c>
      <c r="J86" s="31">
        <v>1018136</v>
      </c>
      <c r="K86" s="31">
        <v>991260</v>
      </c>
      <c r="L86" s="31">
        <v>963722</v>
      </c>
      <c r="M86" s="31">
        <v>922503</v>
      </c>
      <c r="N86" s="31">
        <v>867949</v>
      </c>
      <c r="O86" s="31">
        <v>864277.34900000005</v>
      </c>
      <c r="P86" s="61">
        <v>869716</v>
      </c>
      <c r="Q86" s="61">
        <v>1002171</v>
      </c>
      <c r="R86" s="61">
        <v>1185693</v>
      </c>
      <c r="S86" s="61">
        <v>1153348</v>
      </c>
      <c r="T86" s="61">
        <v>1208927</v>
      </c>
      <c r="V86" s="30" t="s">
        <v>48</v>
      </c>
      <c r="W86" s="61">
        <v>1379322</v>
      </c>
    </row>
    <row r="87" spans="2:23" ht="15.75" thickBot="1">
      <c r="B87" s="30" t="s">
        <v>66</v>
      </c>
      <c r="C87" s="31">
        <v>457326</v>
      </c>
      <c r="D87" s="31">
        <v>490130</v>
      </c>
      <c r="E87" s="31">
        <v>498227</v>
      </c>
      <c r="F87" s="31">
        <v>503086</v>
      </c>
      <c r="G87" s="31">
        <v>498345</v>
      </c>
      <c r="H87" s="31">
        <v>390147</v>
      </c>
      <c r="I87" s="31">
        <v>401258</v>
      </c>
      <c r="J87" s="31">
        <v>407101</v>
      </c>
      <c r="K87" s="31">
        <v>416175</v>
      </c>
      <c r="L87" s="31">
        <v>465417</v>
      </c>
      <c r="M87" s="31">
        <v>474587</v>
      </c>
      <c r="N87" s="31">
        <v>484745</v>
      </c>
      <c r="O87" s="31">
        <v>491689.04800000001</v>
      </c>
      <c r="P87" s="61">
        <v>781100</v>
      </c>
      <c r="Q87" s="61">
        <v>793608</v>
      </c>
      <c r="R87" s="61">
        <v>844516</v>
      </c>
      <c r="S87" s="61">
        <v>838512</v>
      </c>
      <c r="T87" s="61">
        <v>769153</v>
      </c>
      <c r="V87" s="30" t="s">
        <v>66</v>
      </c>
      <c r="W87" s="61">
        <v>823569</v>
      </c>
    </row>
    <row r="88" spans="2:23" ht="15.75" thickBot="1">
      <c r="B88" s="30" t="s">
        <v>67</v>
      </c>
      <c r="C88" s="31">
        <v>267893</v>
      </c>
      <c r="D88" s="31">
        <v>253275</v>
      </c>
      <c r="E88" s="31">
        <v>263566</v>
      </c>
      <c r="F88" s="31">
        <v>256831</v>
      </c>
      <c r="G88" s="31">
        <v>262263</v>
      </c>
      <c r="H88" s="31">
        <v>247497</v>
      </c>
      <c r="I88" s="31">
        <v>242271</v>
      </c>
      <c r="J88" s="31">
        <v>253075</v>
      </c>
      <c r="K88" s="31">
        <v>269538</v>
      </c>
      <c r="L88" s="31">
        <v>211188</v>
      </c>
      <c r="M88" s="31">
        <v>264140</v>
      </c>
      <c r="N88" s="31">
        <v>252228</v>
      </c>
      <c r="O88" s="31">
        <v>280326.23800000001</v>
      </c>
      <c r="P88" s="61">
        <v>247877</v>
      </c>
      <c r="Q88" s="61">
        <v>293984</v>
      </c>
      <c r="R88" s="61">
        <v>309852</v>
      </c>
      <c r="S88" s="61">
        <v>312828</v>
      </c>
      <c r="T88" s="61">
        <v>337270</v>
      </c>
      <c r="V88" s="30" t="s">
        <v>67</v>
      </c>
      <c r="W88" s="61">
        <v>338076</v>
      </c>
    </row>
    <row r="89" spans="2:23" ht="15.75" thickBot="1">
      <c r="B89" s="30" t="s">
        <v>68</v>
      </c>
      <c r="C89" s="31">
        <v>401776</v>
      </c>
      <c r="D89" s="31">
        <v>490647</v>
      </c>
      <c r="E89" s="31">
        <v>466119</v>
      </c>
      <c r="F89" s="31">
        <v>481188</v>
      </c>
      <c r="G89" s="31">
        <v>502174</v>
      </c>
      <c r="H89" s="31">
        <v>499634</v>
      </c>
      <c r="I89" s="31">
        <v>488702</v>
      </c>
      <c r="J89" s="31">
        <v>477728</v>
      </c>
      <c r="K89" s="31">
        <v>483473</v>
      </c>
      <c r="L89" s="31">
        <v>499037</v>
      </c>
      <c r="M89" s="31">
        <v>513217</v>
      </c>
      <c r="N89" s="31">
        <v>486731</v>
      </c>
      <c r="O89" s="31">
        <v>476018.12599999999</v>
      </c>
      <c r="P89" s="61">
        <v>1541354</v>
      </c>
      <c r="Q89" s="61">
        <v>454777</v>
      </c>
      <c r="R89" s="61">
        <v>451281</v>
      </c>
      <c r="S89" s="61">
        <v>1298751</v>
      </c>
      <c r="T89" s="61">
        <v>1347113</v>
      </c>
      <c r="V89" s="30" t="s">
        <v>68</v>
      </c>
      <c r="W89" s="61">
        <v>1332162</v>
      </c>
    </row>
    <row r="90" spans="2:23" ht="15.75" thickBot="1">
      <c r="B90" s="30" t="s">
        <v>56</v>
      </c>
      <c r="C90" s="31">
        <v>3986495</v>
      </c>
      <c r="D90" s="31">
        <v>4505765</v>
      </c>
      <c r="E90" s="31">
        <v>4230824</v>
      </c>
      <c r="F90" s="31">
        <v>4023540</v>
      </c>
      <c r="G90" s="31">
        <v>4080568</v>
      </c>
      <c r="H90" s="31">
        <v>4630953</v>
      </c>
      <c r="I90" s="31">
        <v>4595558</v>
      </c>
      <c r="J90" s="31">
        <v>4757707</v>
      </c>
      <c r="K90" s="31">
        <v>4945150</v>
      </c>
      <c r="L90" s="31">
        <v>4841749</v>
      </c>
      <c r="M90" s="31">
        <v>5093887</v>
      </c>
      <c r="N90" s="31">
        <v>4926919</v>
      </c>
      <c r="O90" s="31">
        <v>5089269.8449999997</v>
      </c>
      <c r="P90" s="61">
        <v>5779700</v>
      </c>
      <c r="Q90" s="61">
        <v>6340649</v>
      </c>
      <c r="R90" s="61">
        <v>6936500</v>
      </c>
      <c r="S90" s="61">
        <v>7369836</v>
      </c>
      <c r="T90" s="61">
        <v>5643037</v>
      </c>
      <c r="V90" s="30" t="s">
        <v>56</v>
      </c>
      <c r="W90" s="61">
        <v>6033456</v>
      </c>
    </row>
    <row r="91" spans="2:23" ht="15.75" thickBot="1">
      <c r="B91" s="28" t="s">
        <v>73</v>
      </c>
      <c r="C91" s="34">
        <v>17932163</v>
      </c>
      <c r="D91" s="34">
        <v>21874703</v>
      </c>
      <c r="E91" s="34">
        <v>21080073</v>
      </c>
      <c r="F91" s="34">
        <v>20849575</v>
      </c>
      <c r="G91" s="34">
        <v>21561369</v>
      </c>
      <c r="H91" s="34">
        <v>23102248</v>
      </c>
      <c r="I91" s="34">
        <v>23057271</v>
      </c>
      <c r="J91" s="34">
        <v>24467378</v>
      </c>
      <c r="K91" s="34">
        <v>24631687</v>
      </c>
      <c r="L91" s="34">
        <v>24014943</v>
      </c>
      <c r="M91" s="34">
        <v>26114801</v>
      </c>
      <c r="N91" s="34">
        <v>25932489</v>
      </c>
      <c r="O91" s="258">
        <v>28059053.305999998</v>
      </c>
      <c r="P91" s="64">
        <f t="shared" ref="P91" si="25">SUM(P83:P90)</f>
        <v>30644835</v>
      </c>
      <c r="Q91" s="64">
        <v>32469545</v>
      </c>
      <c r="R91" s="64">
        <v>34290717</v>
      </c>
      <c r="S91" s="64">
        <f>SUM(S83:S90)</f>
        <v>35121587</v>
      </c>
      <c r="T91" s="64">
        <f>SUM(T83:T90)</f>
        <v>34595142</v>
      </c>
      <c r="V91" s="28" t="s">
        <v>73</v>
      </c>
      <c r="W91" s="64">
        <v>35545215</v>
      </c>
    </row>
    <row r="92" spans="2:23" ht="15.75" thickBot="1">
      <c r="B92" s="35" t="s">
        <v>74</v>
      </c>
      <c r="C92" s="36">
        <v>21596907</v>
      </c>
      <c r="D92" s="36">
        <v>24984979</v>
      </c>
      <c r="E92" s="36">
        <v>24561267</v>
      </c>
      <c r="F92" s="36">
        <v>24506041</v>
      </c>
      <c r="G92" s="36">
        <v>25058330</v>
      </c>
      <c r="H92" s="36">
        <v>26026027</v>
      </c>
      <c r="I92" s="36">
        <v>26643347</v>
      </c>
      <c r="J92" s="36">
        <v>27940586</v>
      </c>
      <c r="K92" s="36">
        <v>28278639</v>
      </c>
      <c r="L92" s="36">
        <v>27690030</v>
      </c>
      <c r="M92" s="36">
        <v>30912477</v>
      </c>
      <c r="N92" s="36">
        <v>30670335</v>
      </c>
      <c r="O92" s="259">
        <v>31954251.497999996</v>
      </c>
      <c r="P92" s="66">
        <f t="shared" ref="P92" si="26">+P81+P91</f>
        <v>34047876</v>
      </c>
      <c r="Q92" s="66">
        <v>38156377</v>
      </c>
      <c r="R92" s="66">
        <v>40730236</v>
      </c>
      <c r="S92" s="66">
        <f>+S81+S91</f>
        <v>41133139</v>
      </c>
      <c r="T92" s="66">
        <f>+T81+T91</f>
        <v>39565191</v>
      </c>
      <c r="V92" s="35" t="s">
        <v>74</v>
      </c>
      <c r="W92" s="66">
        <v>40937854</v>
      </c>
    </row>
    <row r="93" spans="2:23" ht="15.75" thickBot="1">
      <c r="B93" s="37"/>
      <c r="C93" s="38"/>
      <c r="D93" s="38"/>
      <c r="E93" s="38"/>
      <c r="F93" s="38"/>
      <c r="G93" s="38"/>
      <c r="H93" s="38"/>
      <c r="I93" s="38"/>
      <c r="J93" s="38"/>
      <c r="K93" s="38"/>
      <c r="L93" s="38"/>
      <c r="M93" s="38"/>
      <c r="N93" s="38"/>
      <c r="O93" s="260"/>
      <c r="P93" s="364"/>
      <c r="Q93" s="364"/>
      <c r="R93" s="364">
        <v>0</v>
      </c>
      <c r="S93" s="364"/>
      <c r="T93" s="739"/>
      <c r="V93" s="37"/>
      <c r="W93" s="739"/>
    </row>
    <row r="94" spans="2:23" ht="15.75" thickBot="1">
      <c r="B94" s="43" t="s">
        <v>75</v>
      </c>
      <c r="C94" s="42"/>
      <c r="D94" s="42"/>
      <c r="E94" s="42"/>
      <c r="F94" s="42"/>
      <c r="G94" s="42"/>
      <c r="H94" s="42"/>
      <c r="I94" s="42"/>
      <c r="J94" s="42"/>
      <c r="K94" s="42"/>
      <c r="L94" s="42"/>
      <c r="M94" s="42"/>
      <c r="N94" s="42"/>
      <c r="O94" s="263"/>
      <c r="P94" s="72"/>
      <c r="Q94" s="72"/>
      <c r="R94" s="72"/>
      <c r="S94" s="72"/>
      <c r="T94" s="738"/>
      <c r="V94" s="43" t="s">
        <v>75</v>
      </c>
      <c r="W94" s="738"/>
    </row>
    <row r="95" spans="2:23" ht="15.75" thickBot="1">
      <c r="B95" s="30" t="s">
        <v>76</v>
      </c>
      <c r="C95" s="31">
        <v>36916</v>
      </c>
      <c r="D95" s="31">
        <v>36916</v>
      </c>
      <c r="E95" s="31">
        <v>36916</v>
      </c>
      <c r="F95" s="31">
        <v>36916</v>
      </c>
      <c r="G95" s="31">
        <v>36916</v>
      </c>
      <c r="H95" s="31">
        <v>36916</v>
      </c>
      <c r="I95" s="31">
        <v>36916</v>
      </c>
      <c r="J95" s="31">
        <v>36916</v>
      </c>
      <c r="K95" s="31">
        <v>36916</v>
      </c>
      <c r="L95" s="31">
        <v>36916</v>
      </c>
      <c r="M95" s="31">
        <v>36916</v>
      </c>
      <c r="N95" s="31">
        <v>36916</v>
      </c>
      <c r="O95" s="31">
        <v>36916.334999999999</v>
      </c>
      <c r="P95" s="61">
        <v>36916</v>
      </c>
      <c r="Q95" s="61">
        <v>36916</v>
      </c>
      <c r="R95" s="61">
        <v>36916</v>
      </c>
      <c r="S95" s="61">
        <v>36916</v>
      </c>
      <c r="T95" s="61">
        <v>36916</v>
      </c>
      <c r="V95" s="30" t="s">
        <v>76</v>
      </c>
      <c r="W95" s="61">
        <v>36916</v>
      </c>
    </row>
    <row r="96" spans="2:23" ht="15.75" thickBot="1">
      <c r="B96" s="30" t="s">
        <v>77</v>
      </c>
      <c r="C96" s="31">
        <v>1428128</v>
      </c>
      <c r="D96" s="31">
        <v>1428128</v>
      </c>
      <c r="E96" s="31">
        <v>1428128</v>
      </c>
      <c r="F96" s="31">
        <v>1428128</v>
      </c>
      <c r="G96" s="31">
        <v>1428128</v>
      </c>
      <c r="H96" s="31">
        <v>1428128</v>
      </c>
      <c r="I96" s="31">
        <v>1428128</v>
      </c>
      <c r="J96" s="31">
        <v>1428128</v>
      </c>
      <c r="K96" s="31">
        <v>1428128</v>
      </c>
      <c r="L96" s="31">
        <v>1428128</v>
      </c>
      <c r="M96" s="31">
        <v>1428128</v>
      </c>
      <c r="N96" s="31">
        <v>1428128</v>
      </c>
      <c r="O96" s="31">
        <v>1428127.8910000001</v>
      </c>
      <c r="P96" s="61">
        <v>1428128</v>
      </c>
      <c r="Q96" s="61">
        <v>1428128</v>
      </c>
      <c r="R96" s="61">
        <v>1428128</v>
      </c>
      <c r="S96" s="61">
        <v>1428128</v>
      </c>
      <c r="T96" s="61">
        <v>1428128</v>
      </c>
      <c r="V96" s="30" t="s">
        <v>77</v>
      </c>
      <c r="W96" s="61">
        <v>1428128</v>
      </c>
    </row>
    <row r="97" spans="2:23" ht="15.75" thickBot="1">
      <c r="B97" s="30" t="s">
        <v>78</v>
      </c>
      <c r="C97" s="31">
        <v>1878709</v>
      </c>
      <c r="D97" s="31">
        <v>3585959</v>
      </c>
      <c r="E97" s="31">
        <v>4428306</v>
      </c>
      <c r="F97" s="31">
        <v>4428306</v>
      </c>
      <c r="G97" s="31">
        <v>4428306</v>
      </c>
      <c r="H97" s="31">
        <v>4428306</v>
      </c>
      <c r="I97" s="31">
        <v>5346023</v>
      </c>
      <c r="J97" s="31">
        <v>5346023</v>
      </c>
      <c r="K97" s="31">
        <v>5346023</v>
      </c>
      <c r="L97" s="31">
        <v>5346023</v>
      </c>
      <c r="M97" s="31">
        <v>6241845</v>
      </c>
      <c r="N97" s="31">
        <v>6241845</v>
      </c>
      <c r="O97" s="31">
        <v>6241845.2189999996</v>
      </c>
      <c r="P97" s="61">
        <v>6241845</v>
      </c>
      <c r="Q97" s="61">
        <v>6861491</v>
      </c>
      <c r="R97" s="61">
        <v>6861491</v>
      </c>
      <c r="S97" s="61">
        <v>6861491</v>
      </c>
      <c r="T97" s="61">
        <v>6861491</v>
      </c>
      <c r="V97" s="30" t="s">
        <v>78</v>
      </c>
      <c r="W97" s="61">
        <v>7690798</v>
      </c>
    </row>
    <row r="98" spans="2:23" ht="15.75" thickBot="1">
      <c r="B98" s="30" t="s">
        <v>79</v>
      </c>
      <c r="C98" s="31">
        <v>3232907</v>
      </c>
      <c r="D98" s="31">
        <v>3228134</v>
      </c>
      <c r="E98" s="31">
        <v>3223361</v>
      </c>
      <c r="F98" s="31">
        <v>3223361</v>
      </c>
      <c r="G98" s="31">
        <v>3223361</v>
      </c>
      <c r="H98" s="31">
        <v>3217227</v>
      </c>
      <c r="I98" s="31">
        <v>3212454</v>
      </c>
      <c r="J98" s="31">
        <v>3212454</v>
      </c>
      <c r="K98" s="31">
        <v>3212454</v>
      </c>
      <c r="L98" s="31">
        <v>3212454</v>
      </c>
      <c r="M98" s="31">
        <v>3207681</v>
      </c>
      <c r="N98" s="31">
        <v>3207681</v>
      </c>
      <c r="O98" s="31">
        <v>3207681.1860000002</v>
      </c>
      <c r="P98" s="61">
        <v>3207681</v>
      </c>
      <c r="Q98" s="61">
        <v>3203922</v>
      </c>
      <c r="R98" s="61">
        <v>3203922</v>
      </c>
      <c r="S98" s="61">
        <v>3203922</v>
      </c>
      <c r="T98" s="61">
        <v>3203921</v>
      </c>
      <c r="V98" s="30" t="s">
        <v>79</v>
      </c>
      <c r="W98" s="61">
        <v>3210907</v>
      </c>
    </row>
    <row r="99" spans="2:23" ht="15.75" thickBot="1">
      <c r="B99" s="30" t="s">
        <v>80</v>
      </c>
      <c r="C99" s="31">
        <v>2136629</v>
      </c>
      <c r="D99" s="31">
        <v>1437936</v>
      </c>
      <c r="E99" s="31">
        <v>297574</v>
      </c>
      <c r="F99" s="31">
        <v>529831</v>
      </c>
      <c r="G99" s="31">
        <v>942858</v>
      </c>
      <c r="H99" s="31">
        <v>1524382</v>
      </c>
      <c r="I99" s="31">
        <v>353125</v>
      </c>
      <c r="J99" s="31">
        <v>792215</v>
      </c>
      <c r="K99" s="31">
        <v>1198066</v>
      </c>
      <c r="L99" s="31">
        <v>1638732</v>
      </c>
      <c r="M99" s="31">
        <v>378507</v>
      </c>
      <c r="N99" s="31">
        <v>928923</v>
      </c>
      <c r="O99" s="31">
        <v>1412690.426</v>
      </c>
      <c r="P99" s="61">
        <v>2059191</v>
      </c>
      <c r="Q99" s="61">
        <v>507935</v>
      </c>
      <c r="R99" s="61">
        <v>1093826</v>
      </c>
      <c r="S99" s="61">
        <v>1215193</v>
      </c>
      <c r="T99" s="61">
        <v>1665536</v>
      </c>
      <c r="V99" s="30" t="s">
        <v>80</v>
      </c>
      <c r="W99" s="61">
        <v>431380</v>
      </c>
    </row>
    <row r="100" spans="2:23" ht="15.75" thickBot="1">
      <c r="B100" s="30" t="s">
        <v>81</v>
      </c>
      <c r="C100" s="31">
        <v>1150568</v>
      </c>
      <c r="D100" s="31">
        <v>1239964</v>
      </c>
      <c r="E100" s="31">
        <v>654756</v>
      </c>
      <c r="F100" s="31">
        <v>411702</v>
      </c>
      <c r="G100" s="31">
        <v>377232</v>
      </c>
      <c r="H100" s="31">
        <v>1234415</v>
      </c>
      <c r="I100" s="31">
        <v>1023603</v>
      </c>
      <c r="J100" s="31">
        <v>1090675</v>
      </c>
      <c r="K100" s="31">
        <v>1275496</v>
      </c>
      <c r="L100" s="31">
        <v>779923</v>
      </c>
      <c r="M100" s="31">
        <v>1451479</v>
      </c>
      <c r="N100" s="31">
        <v>527193</v>
      </c>
      <c r="O100" s="31">
        <v>910035.81700000004</v>
      </c>
      <c r="P100" s="61">
        <f>194014</f>
        <v>194014</v>
      </c>
      <c r="Q100" s="61">
        <v>745958</v>
      </c>
      <c r="R100" s="61">
        <v>1288773</v>
      </c>
      <c r="S100" s="61">
        <v>984049</v>
      </c>
      <c r="T100" s="61">
        <v>1167865</v>
      </c>
      <c r="V100" s="30" t="s">
        <v>81</v>
      </c>
      <c r="W100" s="61">
        <v>1562608</v>
      </c>
    </row>
    <row r="101" spans="2:23" ht="15.75" thickBot="1">
      <c r="B101" s="44" t="s">
        <v>82</v>
      </c>
      <c r="C101" s="45">
        <v>9863857</v>
      </c>
      <c r="D101" s="45">
        <v>10957037</v>
      </c>
      <c r="E101" s="45">
        <v>10069041</v>
      </c>
      <c r="F101" s="45">
        <v>10058244</v>
      </c>
      <c r="G101" s="45">
        <v>10436801</v>
      </c>
      <c r="H101" s="45">
        <v>11869374</v>
      </c>
      <c r="I101" s="45">
        <v>11400249</v>
      </c>
      <c r="J101" s="45">
        <v>11906411</v>
      </c>
      <c r="K101" s="45">
        <v>12497083</v>
      </c>
      <c r="L101" s="45">
        <v>12442176</v>
      </c>
      <c r="M101" s="45">
        <v>12744556</v>
      </c>
      <c r="N101" s="45">
        <v>12370686</v>
      </c>
      <c r="O101" s="264">
        <v>13237296.874</v>
      </c>
      <c r="P101" s="365">
        <f t="shared" ref="P101" si="27">SUM(P95:P100)</f>
        <v>13167775</v>
      </c>
      <c r="Q101" s="365">
        <f t="shared" ref="Q101" si="28">SUM(Q95:Q100)</f>
        <v>12784350</v>
      </c>
      <c r="R101" s="365">
        <v>13913056</v>
      </c>
      <c r="S101" s="365">
        <f t="shared" ref="S101" si="29">SUM(S95:S100)</f>
        <v>13729699</v>
      </c>
      <c r="T101" s="365">
        <f t="shared" ref="T101" si="30">SUM(T95:T100)</f>
        <v>14363857</v>
      </c>
      <c r="V101" s="44" t="s">
        <v>82</v>
      </c>
      <c r="W101" s="365">
        <v>14360737</v>
      </c>
    </row>
    <row r="102" spans="2:23" ht="15.75" thickBot="1">
      <c r="B102" s="46" t="s">
        <v>83</v>
      </c>
      <c r="C102" s="31">
        <v>7047621</v>
      </c>
      <c r="D102" s="31">
        <v>7466485</v>
      </c>
      <c r="E102" s="31">
        <v>6949714</v>
      </c>
      <c r="F102" s="31">
        <v>6150603</v>
      </c>
      <c r="G102" s="31">
        <v>6403173</v>
      </c>
      <c r="H102" s="31">
        <v>7072453</v>
      </c>
      <c r="I102" s="31">
        <v>6983688</v>
      </c>
      <c r="J102" s="31">
        <v>7418667</v>
      </c>
      <c r="K102" s="31">
        <v>7464694</v>
      </c>
      <c r="L102" s="31">
        <v>8661038</v>
      </c>
      <c r="M102" s="31">
        <v>7683237</v>
      </c>
      <c r="N102" s="31">
        <v>6861135</v>
      </c>
      <c r="O102" s="31">
        <v>7088717.7889999999</v>
      </c>
      <c r="P102" s="61">
        <v>6978418</v>
      </c>
      <c r="Q102" s="61">
        <v>6695661</v>
      </c>
      <c r="R102" s="61">
        <v>7980894</v>
      </c>
      <c r="S102" s="61">
        <v>7711473</v>
      </c>
      <c r="T102" s="61">
        <v>7769138</v>
      </c>
      <c r="V102" s="46" t="s">
        <v>83</v>
      </c>
      <c r="W102" s="61">
        <v>8710660</v>
      </c>
    </row>
    <row r="103" spans="2:23" ht="15.75" thickBot="1">
      <c r="B103" s="28" t="s">
        <v>84</v>
      </c>
      <c r="C103" s="34">
        <v>16911478</v>
      </c>
      <c r="D103" s="34">
        <v>18423522</v>
      </c>
      <c r="E103" s="34">
        <v>17018755</v>
      </c>
      <c r="F103" s="34">
        <v>16208847</v>
      </c>
      <c r="G103" s="34">
        <v>16839974</v>
      </c>
      <c r="H103" s="34">
        <v>18941827</v>
      </c>
      <c r="I103" s="34">
        <v>18383937</v>
      </c>
      <c r="J103" s="34">
        <v>19325078</v>
      </c>
      <c r="K103" s="34">
        <v>19961777</v>
      </c>
      <c r="L103" s="34">
        <v>21103214</v>
      </c>
      <c r="M103" s="34">
        <v>20427793</v>
      </c>
      <c r="N103" s="34">
        <v>19231821</v>
      </c>
      <c r="O103" s="258">
        <v>20326014.662999999</v>
      </c>
      <c r="P103" s="64">
        <f t="shared" ref="P103" si="31">+P101+P102</f>
        <v>20146193</v>
      </c>
      <c r="Q103" s="64">
        <f t="shared" ref="Q103" si="32">+Q101+Q102</f>
        <v>19480011</v>
      </c>
      <c r="R103" s="64">
        <v>21893950</v>
      </c>
      <c r="S103" s="64">
        <f t="shared" ref="S103:T103" si="33">+S101+S102</f>
        <v>21441172</v>
      </c>
      <c r="T103" s="64">
        <f t="shared" si="33"/>
        <v>22132995</v>
      </c>
      <c r="V103" s="28" t="s">
        <v>84</v>
      </c>
      <c r="W103" s="64">
        <v>23071397</v>
      </c>
    </row>
    <row r="104" spans="2:23" ht="15.75" thickBot="1">
      <c r="B104" s="47" t="s">
        <v>85</v>
      </c>
      <c r="C104" s="36">
        <v>38508385</v>
      </c>
      <c r="D104" s="36">
        <v>43408501</v>
      </c>
      <c r="E104" s="36">
        <v>41580022</v>
      </c>
      <c r="F104" s="36">
        <v>40714888</v>
      </c>
      <c r="G104" s="36">
        <v>41898304</v>
      </c>
      <c r="H104" s="36">
        <v>44967854</v>
      </c>
      <c r="I104" s="36">
        <v>45027284</v>
      </c>
      <c r="J104" s="36">
        <v>47265664</v>
      </c>
      <c r="K104" s="36">
        <v>48240416</v>
      </c>
      <c r="L104" s="36">
        <v>48793244</v>
      </c>
      <c r="M104" s="36">
        <v>51340270</v>
      </c>
      <c r="N104" s="36">
        <v>49902156</v>
      </c>
      <c r="O104" s="259">
        <v>52280266.160999998</v>
      </c>
      <c r="P104" s="66">
        <f t="shared" ref="P104" si="34">+P92+P103</f>
        <v>54194069</v>
      </c>
      <c r="Q104" s="66">
        <f t="shared" ref="Q104" si="35">+Q92+Q103</f>
        <v>57636388</v>
      </c>
      <c r="R104" s="66">
        <v>62624186</v>
      </c>
      <c r="S104" s="66">
        <f t="shared" ref="S104:T104" si="36">+S92+S103</f>
        <v>62574311</v>
      </c>
      <c r="T104" s="66">
        <f t="shared" si="36"/>
        <v>61698186</v>
      </c>
      <c r="V104" s="47" t="s">
        <v>85</v>
      </c>
      <c r="W104" s="66">
        <v>64009251</v>
      </c>
    </row>
    <row r="105" spans="2:23">
      <c r="B105" s="8"/>
      <c r="C105" s="48"/>
      <c r="D105" s="48"/>
      <c r="E105" s="48"/>
      <c r="F105" s="48"/>
      <c r="G105" s="48"/>
      <c r="H105" s="48"/>
      <c r="I105" s="48"/>
      <c r="J105" s="48"/>
      <c r="K105" s="48"/>
      <c r="L105" s="48"/>
      <c r="M105" s="48"/>
      <c r="N105" s="48"/>
      <c r="P105" s="188">
        <f t="shared" ref="P105" si="37">+P104-P69</f>
        <v>0</v>
      </c>
      <c r="Q105" s="188">
        <f t="shared" ref="Q105:S105" si="38">+Q104-Q69</f>
        <v>0</v>
      </c>
      <c r="R105" s="188">
        <f t="shared" si="38"/>
        <v>0</v>
      </c>
      <c r="S105" s="188">
        <f t="shared" si="38"/>
        <v>0</v>
      </c>
    </row>
    <row r="106" spans="2:23">
      <c r="C106" s="100"/>
      <c r="D106" s="100"/>
      <c r="E106" s="100"/>
      <c r="F106" s="100"/>
      <c r="G106" s="100"/>
      <c r="H106" s="100"/>
      <c r="I106" s="100"/>
      <c r="J106" s="100"/>
      <c r="K106" s="100"/>
      <c r="L106" s="100"/>
      <c r="M106" s="100"/>
      <c r="N106" s="100"/>
      <c r="O106" s="154"/>
      <c r="P106" s="100"/>
    </row>
    <row r="107" spans="2:23">
      <c r="C107" s="100"/>
      <c r="D107" s="100"/>
      <c r="E107" s="100"/>
      <c r="F107" s="100"/>
      <c r="G107" s="100"/>
      <c r="H107" s="100"/>
      <c r="I107" s="100"/>
      <c r="J107" s="100"/>
      <c r="K107" s="100"/>
      <c r="L107" s="100"/>
      <c r="M107" s="100"/>
      <c r="N107" s="100"/>
    </row>
    <row r="108" spans="2:23">
      <c r="F108" s="100"/>
      <c r="G108" s="100"/>
      <c r="H108" s="100"/>
      <c r="I108" s="100"/>
      <c r="J108" s="100"/>
      <c r="K108" s="100"/>
      <c r="L108" s="100"/>
      <c r="M108" s="100"/>
      <c r="N108" s="100"/>
    </row>
  </sheetData>
  <phoneticPr fontId="175" type="noConversion"/>
  <hyperlinks>
    <hyperlink ref="A1" location="'Table of Contents'!A1" display="Return to Table of Contents" xr:uid="{00000000-0004-0000-0100-000000000000}"/>
  </hyperlinks>
  <pageMargins left="0.7" right="0.7" top="0.75" bottom="0.75" header="0.3" footer="0.3"/>
  <pageSetup orientation="portrait"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9ED0-B430-4E64-8170-066E93B6F798}">
  <dimension ref="A1:W270"/>
  <sheetViews>
    <sheetView showGridLines="0" zoomScale="85" zoomScaleNormal="85" workbookViewId="0">
      <pane xSplit="2" ySplit="6" topLeftCell="R7" activePane="bottomRight" state="frozen"/>
      <selection pane="topRight" activeCell="C1" sqref="C1"/>
      <selection pane="bottomLeft" activeCell="A7" sqref="A7"/>
      <selection pane="bottomRight" activeCell="W7" sqref="W7"/>
    </sheetView>
  </sheetViews>
  <sheetFormatPr baseColWidth="10" defaultColWidth="11.42578125" defaultRowHeight="15"/>
  <cols>
    <col min="1" max="1" width="4.140625" customWidth="1"/>
    <col min="2" max="2" width="70.5703125" customWidth="1"/>
    <col min="3" max="3" width="14" bestFit="1" customWidth="1"/>
    <col min="4" max="8" width="13.42578125" bestFit="1" customWidth="1"/>
    <col min="9" max="9" width="13.140625" customWidth="1"/>
    <col min="10" max="10" width="13.42578125" bestFit="1" customWidth="1"/>
    <col min="11" max="11" width="15.140625" customWidth="1"/>
    <col min="12" max="12" width="14.42578125" customWidth="1"/>
    <col min="13" max="13" width="13.42578125" bestFit="1" customWidth="1"/>
    <col min="14" max="14" width="13.85546875" bestFit="1" customWidth="1"/>
    <col min="15" max="15" width="16.28515625" customWidth="1"/>
    <col min="16" max="16" width="16.5703125" customWidth="1"/>
    <col min="17" max="17" width="15.28515625" customWidth="1"/>
    <col min="18" max="19" width="15.28515625" style="135" customWidth="1"/>
    <col min="20" max="20" width="14.7109375" bestFit="1" customWidth="1"/>
    <col min="21" max="21" width="3.7109375" style="744" customWidth="1"/>
    <col min="22" max="22" width="46.42578125" bestFit="1" customWidth="1"/>
    <col min="23" max="23" width="15.28515625" bestFit="1" customWidth="1"/>
  </cols>
  <sheetData>
    <row r="1" spans="1:23">
      <c r="A1" s="3" t="s">
        <v>627</v>
      </c>
      <c r="B1" s="1"/>
      <c r="C1" s="1"/>
      <c r="D1" s="1"/>
      <c r="E1" s="1"/>
      <c r="F1" s="1"/>
      <c r="G1" s="1"/>
      <c r="H1" s="1"/>
      <c r="I1" s="1"/>
      <c r="J1" s="1"/>
      <c r="K1" s="1"/>
      <c r="L1" s="1"/>
      <c r="M1" s="1"/>
      <c r="N1" s="1"/>
    </row>
    <row r="3" spans="1:23" ht="15.75">
      <c r="A3" s="155" t="s">
        <v>469</v>
      </c>
      <c r="B3" s="19" t="s">
        <v>86</v>
      </c>
      <c r="C3" s="6"/>
      <c r="D3" s="6"/>
      <c r="E3" s="7"/>
      <c r="F3" s="6"/>
      <c r="G3" s="6"/>
      <c r="H3" s="6"/>
      <c r="I3" s="7"/>
      <c r="J3" s="6"/>
      <c r="K3" s="6"/>
      <c r="L3" s="6"/>
      <c r="M3" s="7"/>
      <c r="N3" s="6"/>
    </row>
    <row r="4" spans="1:23">
      <c r="A4" s="1"/>
      <c r="B4" s="21" t="s">
        <v>2</v>
      </c>
      <c r="C4" s="8"/>
      <c r="D4" s="8"/>
      <c r="E4" s="8"/>
      <c r="F4" s="8"/>
      <c r="G4" s="8"/>
      <c r="H4" s="8"/>
      <c r="I4" s="8"/>
      <c r="J4" s="8"/>
      <c r="K4" s="8"/>
      <c r="L4" s="8"/>
      <c r="M4" s="8"/>
      <c r="N4" s="8"/>
    </row>
    <row r="5" spans="1:23" ht="15.75">
      <c r="A5" s="1"/>
      <c r="B5" s="9"/>
      <c r="C5" s="9"/>
      <c r="D5" s="9"/>
      <c r="E5" s="9"/>
      <c r="F5" s="9"/>
      <c r="G5" s="9"/>
      <c r="H5" s="9"/>
      <c r="I5" s="9"/>
      <c r="J5" s="9"/>
      <c r="K5" s="9"/>
      <c r="L5" s="9"/>
      <c r="M5" s="9"/>
      <c r="N5" s="9"/>
    </row>
    <row r="6" spans="1:23" s="51" customFormat="1">
      <c r="B6" s="52"/>
      <c r="C6" s="49">
        <v>2016</v>
      </c>
      <c r="D6" s="49">
        <v>2017</v>
      </c>
      <c r="E6" s="49" t="s">
        <v>3</v>
      </c>
      <c r="F6" s="49" t="s">
        <v>4</v>
      </c>
      <c r="G6" s="49" t="s">
        <v>5</v>
      </c>
      <c r="H6" s="49" t="s">
        <v>6</v>
      </c>
      <c r="I6" s="49" t="s">
        <v>7</v>
      </c>
      <c r="J6" s="49" t="s">
        <v>8</v>
      </c>
      <c r="K6" s="49" t="s">
        <v>9</v>
      </c>
      <c r="L6" s="49" t="s">
        <v>10</v>
      </c>
      <c r="M6" s="49" t="s">
        <v>11</v>
      </c>
      <c r="N6" s="49" t="s">
        <v>12</v>
      </c>
      <c r="O6" s="266" t="s">
        <v>626</v>
      </c>
      <c r="P6" s="266" t="s">
        <v>958</v>
      </c>
      <c r="Q6" s="266" t="s">
        <v>1014</v>
      </c>
      <c r="R6" s="266" t="s">
        <v>1048</v>
      </c>
      <c r="S6" s="266" t="s">
        <v>1187</v>
      </c>
      <c r="T6" s="266" t="s">
        <v>1239</v>
      </c>
      <c r="U6" s="744"/>
      <c r="V6" s="52"/>
      <c r="W6" s="266" t="s">
        <v>1292</v>
      </c>
    </row>
    <row r="7" spans="1:23" ht="15.75">
      <c r="A7" s="1"/>
      <c r="B7" s="10"/>
      <c r="C7" s="11"/>
      <c r="D7" s="11"/>
      <c r="E7" s="11"/>
      <c r="F7" s="11"/>
      <c r="G7" s="11"/>
      <c r="H7" s="11"/>
      <c r="I7" s="11"/>
      <c r="J7" s="11"/>
      <c r="K7" s="11"/>
      <c r="L7" s="11"/>
      <c r="M7" s="11"/>
      <c r="N7" s="11"/>
      <c r="O7" s="9"/>
      <c r="Q7" s="135"/>
    </row>
    <row r="8" spans="1:23">
      <c r="A8" s="1"/>
      <c r="B8" s="12" t="s">
        <v>87</v>
      </c>
      <c r="C8" s="106">
        <v>837439</v>
      </c>
      <c r="D8" s="106">
        <v>805898</v>
      </c>
      <c r="E8" s="106">
        <v>202706</v>
      </c>
      <c r="F8" s="106">
        <v>203436</v>
      </c>
      <c r="G8" s="106">
        <v>209060</v>
      </c>
      <c r="H8" s="106">
        <v>211029</v>
      </c>
      <c r="I8" s="110">
        <v>216677</v>
      </c>
      <c r="J8" s="110">
        <v>217960</v>
      </c>
      <c r="K8" s="110">
        <v>230260</v>
      </c>
      <c r="L8" s="110">
        <v>229258</v>
      </c>
      <c r="M8" s="113">
        <v>247540</v>
      </c>
      <c r="N8" s="113">
        <v>248543</v>
      </c>
      <c r="O8" s="113">
        <v>244340</v>
      </c>
      <c r="P8" s="113">
        <f>975322-O8-N8-M8</f>
        <v>234899</v>
      </c>
      <c r="Q8" s="113">
        <v>251022</v>
      </c>
      <c r="R8" s="113">
        <v>260188</v>
      </c>
      <c r="S8" s="113">
        <v>267790</v>
      </c>
      <c r="T8" s="113">
        <v>304385</v>
      </c>
      <c r="V8" s="129" t="s">
        <v>87</v>
      </c>
      <c r="W8" s="113">
        <v>348348</v>
      </c>
    </row>
    <row r="9" spans="1:23">
      <c r="A9" s="1"/>
      <c r="B9" s="12" t="s">
        <v>88</v>
      </c>
      <c r="C9" s="106">
        <v>20887</v>
      </c>
      <c r="D9" s="106">
        <v>64590</v>
      </c>
      <c r="E9" s="106">
        <v>15695</v>
      </c>
      <c r="F9" s="106">
        <v>11937</v>
      </c>
      <c r="G9" s="106">
        <v>26749</v>
      </c>
      <c r="H9" s="106">
        <v>63631</v>
      </c>
      <c r="I9" s="110">
        <v>62304</v>
      </c>
      <c r="J9" s="110">
        <v>58386</v>
      </c>
      <c r="K9" s="110">
        <v>65690</v>
      </c>
      <c r="L9" s="110">
        <v>61101</v>
      </c>
      <c r="M9" s="113">
        <v>57851</v>
      </c>
      <c r="N9" s="113">
        <v>61311</v>
      </c>
      <c r="O9" s="113">
        <v>61687</v>
      </c>
      <c r="P9" s="113">
        <f>246402-O9-N9-M9</f>
        <v>65553</v>
      </c>
      <c r="Q9" s="113">
        <v>76884</v>
      </c>
      <c r="R9" s="113">
        <v>77767</v>
      </c>
      <c r="S9" s="113">
        <v>79926</v>
      </c>
      <c r="T9" s="113">
        <v>55882</v>
      </c>
      <c r="V9" s="129" t="s">
        <v>88</v>
      </c>
      <c r="W9" s="113">
        <v>37341</v>
      </c>
    </row>
    <row r="10" spans="1:23">
      <c r="A10" s="1"/>
      <c r="B10" s="12" t="s">
        <v>484</v>
      </c>
      <c r="C10" s="106">
        <v>2166</v>
      </c>
      <c r="D10" s="106">
        <v>2176</v>
      </c>
      <c r="E10" s="106">
        <v>551</v>
      </c>
      <c r="F10" s="106">
        <v>553</v>
      </c>
      <c r="G10" s="106">
        <v>556</v>
      </c>
      <c r="H10" s="106">
        <v>568</v>
      </c>
      <c r="I10" s="110">
        <v>559</v>
      </c>
      <c r="J10" s="110">
        <v>579</v>
      </c>
      <c r="K10" s="110">
        <v>584</v>
      </c>
      <c r="L10" s="110">
        <v>591</v>
      </c>
      <c r="M10" s="113">
        <v>589</v>
      </c>
      <c r="N10" s="113">
        <v>592</v>
      </c>
      <c r="O10" s="113">
        <v>593</v>
      </c>
      <c r="P10" s="113">
        <f>2372-O10-N10-M10</f>
        <v>598</v>
      </c>
      <c r="Q10" s="113">
        <v>609</v>
      </c>
      <c r="R10" s="113">
        <v>653</v>
      </c>
      <c r="S10" s="113">
        <v>664</v>
      </c>
      <c r="T10" s="113">
        <v>688</v>
      </c>
      <c r="V10" s="129" t="s">
        <v>89</v>
      </c>
      <c r="W10" s="113">
        <v>792</v>
      </c>
    </row>
    <row r="11" spans="1:23">
      <c r="A11" s="1"/>
      <c r="B11" s="12" t="s">
        <v>90</v>
      </c>
      <c r="C11" s="106">
        <v>10847</v>
      </c>
      <c r="D11" s="106">
        <v>6472</v>
      </c>
      <c r="E11" s="106">
        <v>288</v>
      </c>
      <c r="F11" s="106">
        <v>2495</v>
      </c>
      <c r="G11" s="106">
        <v>543</v>
      </c>
      <c r="H11" s="106">
        <v>3662</v>
      </c>
      <c r="I11" s="110">
        <v>986</v>
      </c>
      <c r="J11" s="110">
        <v>3555</v>
      </c>
      <c r="K11" s="110">
        <v>722</v>
      </c>
      <c r="L11" s="110">
        <v>1454</v>
      </c>
      <c r="M11" s="113">
        <v>556</v>
      </c>
      <c r="N11" s="113">
        <v>2386</v>
      </c>
      <c r="O11" s="113">
        <v>2065</v>
      </c>
      <c r="P11" s="113">
        <f>6533-O11-N11-M11</f>
        <v>1526</v>
      </c>
      <c r="Q11" s="113">
        <v>1829</v>
      </c>
      <c r="R11" s="113">
        <v>2018</v>
      </c>
      <c r="S11" s="113">
        <v>354</v>
      </c>
      <c r="T11" s="113">
        <v>1046</v>
      </c>
      <c r="V11" s="129" t="s">
        <v>90</v>
      </c>
      <c r="W11" s="113">
        <v>-139</v>
      </c>
    </row>
    <row r="12" spans="1:23">
      <c r="A12" s="1"/>
      <c r="B12" s="12" t="s">
        <v>91</v>
      </c>
      <c r="C12" s="106">
        <v>979</v>
      </c>
      <c r="D12" s="106">
        <v>3784</v>
      </c>
      <c r="E12" s="106">
        <v>197</v>
      </c>
      <c r="F12" s="106">
        <v>228</v>
      </c>
      <c r="G12" s="106">
        <v>202</v>
      </c>
      <c r="H12" s="106">
        <v>3836</v>
      </c>
      <c r="I12" s="110">
        <v>405</v>
      </c>
      <c r="J12" s="110">
        <v>405</v>
      </c>
      <c r="K12" s="110">
        <v>405</v>
      </c>
      <c r="L12" s="110">
        <v>405</v>
      </c>
      <c r="M12" s="113">
        <v>195</v>
      </c>
      <c r="N12" s="113">
        <v>80</v>
      </c>
      <c r="O12" s="113">
        <v>80</v>
      </c>
      <c r="P12" s="113">
        <f>418-O12-N12-M12</f>
        <v>63</v>
      </c>
      <c r="Q12" s="113">
        <v>46</v>
      </c>
      <c r="R12" s="113">
        <v>54</v>
      </c>
      <c r="S12" s="113">
        <v>54</v>
      </c>
      <c r="T12" s="113">
        <v>54</v>
      </c>
      <c r="V12" s="129" t="s">
        <v>91</v>
      </c>
      <c r="W12" s="113">
        <v>0</v>
      </c>
    </row>
    <row r="13" spans="1:23">
      <c r="A13" s="1"/>
      <c r="B13" s="12" t="s">
        <v>22</v>
      </c>
      <c r="C13" s="106">
        <v>8923</v>
      </c>
      <c r="D13" s="106">
        <v>6319</v>
      </c>
      <c r="E13" s="106">
        <v>63172</v>
      </c>
      <c r="F13" s="106">
        <v>2324</v>
      </c>
      <c r="G13" s="106">
        <v>3437</v>
      </c>
      <c r="H13" s="106">
        <v>-1634</v>
      </c>
      <c r="I13" s="110">
        <v>1275</v>
      </c>
      <c r="J13" s="110">
        <v>2305</v>
      </c>
      <c r="K13" s="110">
        <v>1938</v>
      </c>
      <c r="L13" s="110">
        <v>1964</v>
      </c>
      <c r="M13" s="113">
        <v>2013</v>
      </c>
      <c r="N13" s="113">
        <v>2182</v>
      </c>
      <c r="O13" s="113">
        <v>2150</v>
      </c>
      <c r="P13" s="113">
        <f>8438-O13-N13-M13</f>
        <v>2093</v>
      </c>
      <c r="Q13" s="113">
        <v>3135</v>
      </c>
      <c r="R13" s="113">
        <v>2112</v>
      </c>
      <c r="S13" s="113">
        <v>2338</v>
      </c>
      <c r="T13" s="113">
        <v>2401</v>
      </c>
      <c r="V13" s="129" t="s">
        <v>22</v>
      </c>
      <c r="W13" s="113">
        <v>4594</v>
      </c>
    </row>
    <row r="14" spans="1:23">
      <c r="A14" s="1"/>
      <c r="B14" s="12" t="s">
        <v>23</v>
      </c>
      <c r="C14" s="106">
        <v>138135</v>
      </c>
      <c r="D14" s="106">
        <v>137075</v>
      </c>
      <c r="E14" s="106">
        <v>38850</v>
      </c>
      <c r="F14" s="106">
        <v>27810</v>
      </c>
      <c r="G14" s="106">
        <v>30029</v>
      </c>
      <c r="H14" s="106">
        <v>33058</v>
      </c>
      <c r="I14" s="110">
        <v>43956</v>
      </c>
      <c r="J14" s="110">
        <v>34908</v>
      </c>
      <c r="K14" s="110">
        <v>32330</v>
      </c>
      <c r="L14" s="110">
        <v>45151</v>
      </c>
      <c r="M14" s="113">
        <v>46417</v>
      </c>
      <c r="N14" s="113">
        <v>34301</v>
      </c>
      <c r="O14" s="113">
        <v>33304</v>
      </c>
      <c r="P14" s="113">
        <f>164657-O14-N14-M14</f>
        <v>50635</v>
      </c>
      <c r="Q14" s="113">
        <v>35957</v>
      </c>
      <c r="R14" s="113">
        <v>50598</v>
      </c>
      <c r="S14" s="113">
        <v>38459</v>
      </c>
      <c r="T14" s="113">
        <v>57181</v>
      </c>
      <c r="V14" s="129" t="s">
        <v>23</v>
      </c>
      <c r="W14" s="113">
        <v>50600</v>
      </c>
    </row>
    <row r="15" spans="1:23">
      <c r="A15" s="1"/>
      <c r="B15" s="16" t="s">
        <v>92</v>
      </c>
      <c r="C15" s="107">
        <v>743106</v>
      </c>
      <c r="D15" s="107">
        <v>752164</v>
      </c>
      <c r="E15" s="107">
        <v>243759</v>
      </c>
      <c r="F15" s="107">
        <v>193163</v>
      </c>
      <c r="G15" s="107">
        <v>210518</v>
      </c>
      <c r="H15" s="107">
        <v>248034</v>
      </c>
      <c r="I15" s="111">
        <v>238250</v>
      </c>
      <c r="J15" s="111">
        <v>248282</v>
      </c>
      <c r="K15" s="111">
        <v>267269</v>
      </c>
      <c r="L15" s="111">
        <v>249622</v>
      </c>
      <c r="M15" s="385">
        <v>262327</v>
      </c>
      <c r="N15" s="385">
        <v>280793</v>
      </c>
      <c r="O15" s="385">
        <v>277611</v>
      </c>
      <c r="P15" s="385">
        <f>+SUM(P8:P13)-P14</f>
        <v>254097</v>
      </c>
      <c r="Q15" s="385">
        <f>+SUM(Q8:Q13)-Q14</f>
        <v>297568</v>
      </c>
      <c r="R15" s="385">
        <v>292194</v>
      </c>
      <c r="S15" s="385">
        <f>+SUM(S8:S13)-S14</f>
        <v>312667</v>
      </c>
      <c r="T15" s="385">
        <f>+SUM(T8:T13)-T14</f>
        <v>307275</v>
      </c>
      <c r="V15" s="129" t="s">
        <v>1032</v>
      </c>
      <c r="W15" s="113">
        <v>55495</v>
      </c>
    </row>
    <row r="16" spans="1:23">
      <c r="A16" s="1"/>
      <c r="B16" s="10"/>
      <c r="C16" s="105"/>
      <c r="D16" s="105"/>
      <c r="E16" s="105"/>
      <c r="F16" s="105"/>
      <c r="G16" s="105"/>
      <c r="H16" s="105"/>
      <c r="I16" s="109"/>
      <c r="J16" s="109"/>
      <c r="K16" s="109"/>
      <c r="L16" s="109"/>
      <c r="M16" s="131"/>
      <c r="N16" s="131"/>
      <c r="O16" s="131"/>
      <c r="P16" s="131"/>
      <c r="Q16" s="131"/>
      <c r="R16" s="131"/>
      <c r="S16" s="131"/>
      <c r="T16" s="726"/>
      <c r="V16" s="130" t="s">
        <v>1298</v>
      </c>
      <c r="W16" s="385">
        <v>284841</v>
      </c>
    </row>
    <row r="17" spans="1:23">
      <c r="B17" s="12" t="s">
        <v>1032</v>
      </c>
      <c r="C17" s="106">
        <v>189361</v>
      </c>
      <c r="D17" s="106">
        <v>166345</v>
      </c>
      <c r="E17" s="106">
        <v>44671</v>
      </c>
      <c r="F17" s="106">
        <v>43742</v>
      </c>
      <c r="G17" s="106">
        <v>43552</v>
      </c>
      <c r="H17" s="106">
        <v>34912</v>
      </c>
      <c r="I17" s="110">
        <v>44008</v>
      </c>
      <c r="J17" s="110">
        <v>42137</v>
      </c>
      <c r="K17" s="110">
        <v>48383</v>
      </c>
      <c r="L17" s="110">
        <v>37586</v>
      </c>
      <c r="M17" s="113">
        <v>43933</v>
      </c>
      <c r="N17" s="113">
        <v>44289</v>
      </c>
      <c r="O17" s="113">
        <v>44095</v>
      </c>
      <c r="P17" s="113">
        <f>176786-O17-N17-M17</f>
        <v>44469</v>
      </c>
      <c r="Q17" s="113">
        <v>50132</v>
      </c>
      <c r="R17" s="113">
        <v>50598</v>
      </c>
      <c r="S17" s="113">
        <v>50158</v>
      </c>
      <c r="T17" s="113">
        <v>60290</v>
      </c>
      <c r="V17" s="10"/>
    </row>
    <row r="18" spans="1:23">
      <c r="B18" s="12" t="s">
        <v>27</v>
      </c>
      <c r="C18" s="106">
        <v>1906783</v>
      </c>
      <c r="D18" s="106">
        <v>1128274</v>
      </c>
      <c r="E18" s="106">
        <v>203004</v>
      </c>
      <c r="F18" s="106">
        <v>175187</v>
      </c>
      <c r="G18" s="106">
        <v>344397</v>
      </c>
      <c r="H18" s="106">
        <v>350199</v>
      </c>
      <c r="I18" s="110">
        <v>277267</v>
      </c>
      <c r="J18" s="110">
        <v>359351</v>
      </c>
      <c r="K18" s="110">
        <v>332630</v>
      </c>
      <c r="L18" s="110">
        <v>318187</v>
      </c>
      <c r="M18" s="113">
        <f>272185+35517</f>
        <v>307702</v>
      </c>
      <c r="N18" s="113">
        <f>428492+28869</f>
        <v>457361</v>
      </c>
      <c r="O18" s="113">
        <f>361720+82358</f>
        <v>444078</v>
      </c>
      <c r="P18" s="113">
        <f>1621538-O18-N18-M18</f>
        <v>412397</v>
      </c>
      <c r="Q18" s="113">
        <v>384338</v>
      </c>
      <c r="R18" s="113">
        <v>442842</v>
      </c>
      <c r="S18" s="113">
        <v>158921</v>
      </c>
      <c r="T18" s="113">
        <v>362471</v>
      </c>
      <c r="V18" s="129" t="s">
        <v>27</v>
      </c>
      <c r="W18" s="113">
        <v>300231</v>
      </c>
    </row>
    <row r="19" spans="1:23">
      <c r="B19" s="12" t="s">
        <v>1033</v>
      </c>
      <c r="C19" s="106">
        <v>3226</v>
      </c>
      <c r="D19" s="106">
        <v>3930</v>
      </c>
      <c r="E19" s="106">
        <v>155</v>
      </c>
      <c r="F19" s="106">
        <v>-66</v>
      </c>
      <c r="G19" s="106">
        <v>1641</v>
      </c>
      <c r="H19" s="106">
        <v>-2449</v>
      </c>
      <c r="I19" s="110">
        <v>-902</v>
      </c>
      <c r="J19" s="110">
        <v>128</v>
      </c>
      <c r="K19" s="110">
        <v>-182</v>
      </c>
      <c r="L19" s="110">
        <v>17123</v>
      </c>
      <c r="M19" s="113">
        <v>2652</v>
      </c>
      <c r="N19" s="113">
        <v>-3454</v>
      </c>
      <c r="O19" s="113">
        <v>-3694</v>
      </c>
      <c r="P19" s="113">
        <f>-5866-O19-N19-M19</f>
        <v>-1370</v>
      </c>
      <c r="Q19" s="113">
        <v>1649</v>
      </c>
      <c r="R19" s="113">
        <v>13</v>
      </c>
      <c r="S19" s="113">
        <v>-34</v>
      </c>
      <c r="T19" s="113">
        <v>1888</v>
      </c>
      <c r="V19" s="129" t="s">
        <v>1033</v>
      </c>
      <c r="W19" s="113">
        <v>1853</v>
      </c>
    </row>
    <row r="20" spans="1:23">
      <c r="B20" s="16" t="s">
        <v>29</v>
      </c>
      <c r="C20" s="108">
        <v>2463754</v>
      </c>
      <c r="D20" s="108">
        <v>1718023</v>
      </c>
      <c r="E20" s="108">
        <v>402247</v>
      </c>
      <c r="F20" s="108">
        <v>324542</v>
      </c>
      <c r="G20" s="108">
        <v>513004</v>
      </c>
      <c r="H20" s="108">
        <v>560872</v>
      </c>
      <c r="I20" s="112">
        <v>470607</v>
      </c>
      <c r="J20" s="112">
        <v>565624</v>
      </c>
      <c r="K20" s="112">
        <v>551334</v>
      </c>
      <c r="L20" s="112">
        <v>547346</v>
      </c>
      <c r="M20" s="386">
        <f t="shared" ref="M20:N20" si="0">+M15-M17+M18+M19</f>
        <v>528748</v>
      </c>
      <c r="N20" s="386">
        <f t="shared" si="0"/>
        <v>690411</v>
      </c>
      <c r="O20" s="386">
        <f>+O15-O17+O18+O19</f>
        <v>673900</v>
      </c>
      <c r="P20" s="386">
        <f>+P15-P17+P18+P19</f>
        <v>620655</v>
      </c>
      <c r="Q20" s="386">
        <f>+Q15-Q17+Q18+Q19</f>
        <v>633423</v>
      </c>
      <c r="R20" s="386">
        <v>684451</v>
      </c>
      <c r="S20" s="386">
        <f>+S15-S17+S18+S19</f>
        <v>421396</v>
      </c>
      <c r="T20" s="386">
        <f t="shared" ref="T20" si="1">+T15-T17+T18+T19</f>
        <v>611344</v>
      </c>
      <c r="V20" s="130" t="s">
        <v>29</v>
      </c>
      <c r="W20" s="386">
        <v>586925</v>
      </c>
    </row>
    <row r="21" spans="1:23">
      <c r="B21" s="12"/>
      <c r="C21" s="106"/>
      <c r="D21" s="106"/>
      <c r="E21" s="106"/>
      <c r="F21" s="106"/>
      <c r="G21" s="106"/>
      <c r="H21" s="106"/>
      <c r="I21" s="110"/>
      <c r="J21" s="110"/>
      <c r="K21" s="110"/>
      <c r="L21" s="110"/>
      <c r="M21" s="113"/>
      <c r="N21" s="113"/>
      <c r="O21" s="113"/>
      <c r="P21" s="113"/>
      <c r="Q21" s="113"/>
      <c r="R21" s="113">
        <v>0</v>
      </c>
      <c r="S21" s="113"/>
      <c r="T21" s="113"/>
      <c r="V21" s="129"/>
      <c r="W21" s="744"/>
    </row>
    <row r="22" spans="1:23">
      <c r="B22" s="12" t="s">
        <v>30</v>
      </c>
      <c r="C22" s="106">
        <v>-229899</v>
      </c>
      <c r="D22" s="106">
        <v>-201518</v>
      </c>
      <c r="E22" s="106">
        <v>-74633</v>
      </c>
      <c r="F22" s="106">
        <v>-47454</v>
      </c>
      <c r="G22" s="106">
        <v>-70599</v>
      </c>
      <c r="H22" s="106">
        <v>-62062</v>
      </c>
      <c r="I22" s="110">
        <v>-75783</v>
      </c>
      <c r="J22" s="110">
        <v>-84448</v>
      </c>
      <c r="K22" s="110">
        <v>-91659</v>
      </c>
      <c r="L22" s="110">
        <v>-74286</v>
      </c>
      <c r="M22" s="113">
        <v>-95269</v>
      </c>
      <c r="N22" s="113">
        <f>-70381-2</f>
        <v>-70383</v>
      </c>
      <c r="O22" s="113">
        <f>-66586+2</f>
        <v>-66584</v>
      </c>
      <c r="P22" s="113">
        <f>-296835-O22-N22-M22</f>
        <v>-64599</v>
      </c>
      <c r="Q22" s="113">
        <v>-56641</v>
      </c>
      <c r="R22" s="113">
        <v>-65074</v>
      </c>
      <c r="S22" s="113">
        <v>-90635</v>
      </c>
      <c r="T22" s="113">
        <v>-118177</v>
      </c>
      <c r="V22" s="129" t="s">
        <v>30</v>
      </c>
      <c r="W22" s="113">
        <v>-97526</v>
      </c>
    </row>
    <row r="23" spans="1:23">
      <c r="B23" s="16" t="s">
        <v>31</v>
      </c>
      <c r="C23" s="108">
        <v>2233855</v>
      </c>
      <c r="D23" s="108">
        <v>1516505</v>
      </c>
      <c r="E23" s="108">
        <v>327614</v>
      </c>
      <c r="F23" s="108">
        <v>277088</v>
      </c>
      <c r="G23" s="108">
        <v>442405</v>
      </c>
      <c r="H23" s="108">
        <v>498810</v>
      </c>
      <c r="I23" s="112">
        <v>394824</v>
      </c>
      <c r="J23" s="112">
        <v>481176</v>
      </c>
      <c r="K23" s="112">
        <v>459675</v>
      </c>
      <c r="L23" s="112">
        <v>473060</v>
      </c>
      <c r="M23" s="386">
        <f t="shared" ref="M23:O23" si="2">+M20+M22</f>
        <v>433479</v>
      </c>
      <c r="N23" s="386">
        <f t="shared" si="2"/>
        <v>620028</v>
      </c>
      <c r="O23" s="386">
        <f t="shared" si="2"/>
        <v>607316</v>
      </c>
      <c r="P23" s="386">
        <f>+P20+P22</f>
        <v>556056</v>
      </c>
      <c r="Q23" s="386">
        <f>+Q20+Q22</f>
        <v>576782</v>
      </c>
      <c r="R23" s="386">
        <v>619377</v>
      </c>
      <c r="S23" s="386">
        <f>+S20+S22</f>
        <v>330761</v>
      </c>
      <c r="T23" s="386">
        <f>+T20+T22</f>
        <v>493167</v>
      </c>
      <c r="V23" s="130" t="s">
        <v>31</v>
      </c>
      <c r="W23" s="386">
        <v>489399</v>
      </c>
    </row>
    <row r="24" spans="1:23">
      <c r="B24" s="10"/>
      <c r="C24" s="105"/>
      <c r="D24" s="105"/>
      <c r="E24" s="105"/>
      <c r="F24" s="105"/>
      <c r="G24" s="105"/>
      <c r="H24" s="105"/>
      <c r="I24" s="109"/>
      <c r="J24" s="109"/>
      <c r="K24" s="109"/>
      <c r="L24" s="109"/>
      <c r="M24" s="131"/>
      <c r="N24" s="131"/>
      <c r="O24" s="131"/>
      <c r="P24" s="131"/>
      <c r="Q24" s="131"/>
      <c r="R24" s="131"/>
      <c r="S24" s="131"/>
      <c r="T24" s="726"/>
      <c r="V24" s="10"/>
      <c r="W24" s="744"/>
    </row>
    <row r="25" spans="1:23">
      <c r="B25" s="12" t="s">
        <v>32</v>
      </c>
      <c r="C25" s="106">
        <v>92395</v>
      </c>
      <c r="D25" s="106">
        <v>73797</v>
      </c>
      <c r="E25" s="106">
        <v>28846</v>
      </c>
      <c r="F25" s="106">
        <v>43637</v>
      </c>
      <c r="G25" s="106">
        <v>28184</v>
      </c>
      <c r="H25" s="106">
        <v>-83905</v>
      </c>
      <c r="I25" s="110">
        <v>40505</v>
      </c>
      <c r="J25" s="110">
        <v>40894</v>
      </c>
      <c r="K25" s="110">
        <v>52631</v>
      </c>
      <c r="L25" s="110">
        <v>31200</v>
      </c>
      <c r="M25" s="113">
        <v>18262</v>
      </c>
      <c r="N25" s="113">
        <v>39554</v>
      </c>
      <c r="O25" s="113">
        <v>39993</v>
      </c>
      <c r="P25" s="113">
        <f>153929-O25-N25-M25</f>
        <v>56120</v>
      </c>
      <c r="Q25" s="113">
        <v>55178</v>
      </c>
      <c r="R25" s="113">
        <v>47961</v>
      </c>
      <c r="S25" s="113">
        <v>209811</v>
      </c>
      <c r="T25" s="113">
        <v>48182</v>
      </c>
      <c r="V25" s="129" t="s">
        <v>32</v>
      </c>
      <c r="W25" s="113">
        <v>61449</v>
      </c>
    </row>
    <row r="26" spans="1:23">
      <c r="B26" s="16" t="s">
        <v>35</v>
      </c>
      <c r="C26" s="108">
        <v>2141460</v>
      </c>
      <c r="D26" s="108">
        <v>1442708</v>
      </c>
      <c r="E26" s="108">
        <v>298768</v>
      </c>
      <c r="F26" s="108">
        <v>233451</v>
      </c>
      <c r="G26" s="108">
        <v>414221</v>
      </c>
      <c r="H26" s="108">
        <v>582715</v>
      </c>
      <c r="I26" s="112">
        <v>354319</v>
      </c>
      <c r="J26" s="112">
        <v>440282</v>
      </c>
      <c r="K26" s="112">
        <v>407044</v>
      </c>
      <c r="L26" s="112">
        <v>441860</v>
      </c>
      <c r="M26" s="386">
        <f t="shared" ref="M26:O26" si="3">+M23-M25</f>
        <v>415217</v>
      </c>
      <c r="N26" s="386">
        <f t="shared" si="3"/>
        <v>580474</v>
      </c>
      <c r="O26" s="386">
        <f t="shared" si="3"/>
        <v>567323</v>
      </c>
      <c r="P26" s="386">
        <f>+P23-P25</f>
        <v>499936</v>
      </c>
      <c r="Q26" s="386">
        <f>+Q23-Q25</f>
        <v>521604</v>
      </c>
      <c r="R26" s="386">
        <v>571416</v>
      </c>
      <c r="S26" s="386">
        <f>+S23-S25</f>
        <v>120950</v>
      </c>
      <c r="T26" s="386">
        <f>+T23-T25</f>
        <v>444985</v>
      </c>
      <c r="V26" s="130" t="s">
        <v>35</v>
      </c>
      <c r="W26" s="386">
        <v>427950</v>
      </c>
    </row>
    <row r="27" spans="1:23" ht="15.75">
      <c r="O27" s="265"/>
      <c r="W27" s="806"/>
    </row>
    <row r="28" spans="1:23" ht="15.75">
      <c r="O28" s="265"/>
      <c r="V28" s="130" t="s">
        <v>1299</v>
      </c>
      <c r="W28" s="386">
        <v>658358</v>
      </c>
    </row>
    <row r="29" spans="1:23" ht="15.75">
      <c r="O29" s="265"/>
    </row>
    <row r="30" spans="1:23">
      <c r="A30" s="155" t="s">
        <v>469</v>
      </c>
      <c r="B30" s="19" t="s">
        <v>93</v>
      </c>
      <c r="C30" s="8"/>
      <c r="D30" s="8"/>
      <c r="E30" s="8"/>
      <c r="F30" s="8"/>
      <c r="G30" s="8"/>
      <c r="H30" s="20"/>
      <c r="I30" s="20"/>
      <c r="J30" s="20"/>
      <c r="K30" s="20"/>
      <c r="L30" s="20"/>
      <c r="M30" s="20"/>
      <c r="N30" s="20"/>
      <c r="O30" s="267"/>
    </row>
    <row r="31" spans="1:23">
      <c r="B31" s="21" t="s">
        <v>2</v>
      </c>
      <c r="C31" s="8"/>
      <c r="D31" s="8"/>
      <c r="E31" s="8"/>
      <c r="F31" s="8"/>
      <c r="G31" s="8"/>
      <c r="H31" s="22"/>
      <c r="I31" s="22"/>
      <c r="J31" s="22"/>
      <c r="K31" s="22"/>
      <c r="L31" s="22"/>
      <c r="M31" s="22"/>
      <c r="N31" s="22"/>
      <c r="O31" s="268"/>
    </row>
    <row r="32" spans="1:23" ht="15.75">
      <c r="B32" s="23"/>
      <c r="C32" s="8"/>
      <c r="D32" s="8"/>
      <c r="E32" s="8"/>
      <c r="F32" s="8"/>
      <c r="G32" s="8"/>
      <c r="H32" s="23"/>
      <c r="I32" s="23"/>
      <c r="J32" s="23"/>
      <c r="K32" s="23"/>
      <c r="L32" s="23"/>
      <c r="M32" s="23"/>
      <c r="N32" s="23"/>
      <c r="O32" s="269"/>
    </row>
    <row r="33" spans="2:23" ht="15.75" thickBot="1">
      <c r="B33" s="24"/>
      <c r="C33" s="25"/>
      <c r="D33" s="25"/>
      <c r="E33" s="25"/>
      <c r="F33" s="25"/>
      <c r="G33" s="25"/>
      <c r="H33" s="25"/>
      <c r="I33" s="25"/>
      <c r="J33" s="25"/>
      <c r="K33" s="25"/>
      <c r="L33" s="25"/>
      <c r="M33" s="25"/>
      <c r="N33" s="25"/>
      <c r="O33" s="270"/>
      <c r="P33" s="270"/>
      <c r="Q33" s="270"/>
      <c r="R33" s="270"/>
      <c r="S33" s="270"/>
      <c r="T33" s="270"/>
      <c r="V33" s="24"/>
      <c r="W33" s="270"/>
    </row>
    <row r="34" spans="2:23" ht="15.75" thickBot="1">
      <c r="B34" s="26" t="s">
        <v>37</v>
      </c>
      <c r="C34" s="27"/>
      <c r="D34" s="27"/>
      <c r="E34" s="27"/>
      <c r="F34" s="27"/>
      <c r="G34" s="27"/>
      <c r="H34" s="27"/>
      <c r="I34" s="27"/>
      <c r="J34" s="27"/>
      <c r="K34" s="27"/>
      <c r="L34" s="27"/>
      <c r="M34" s="27"/>
      <c r="N34" s="26"/>
      <c r="O34" s="271"/>
      <c r="P34" s="271"/>
      <c r="Q34" s="271"/>
      <c r="R34" s="271"/>
      <c r="S34" s="271"/>
      <c r="T34" s="271"/>
      <c r="V34" s="26" t="s">
        <v>37</v>
      </c>
      <c r="W34" s="271"/>
    </row>
    <row r="35" spans="2:23" ht="15.75" thickBot="1">
      <c r="B35" s="28" t="s">
        <v>38</v>
      </c>
      <c r="C35" s="29"/>
      <c r="D35" s="29"/>
      <c r="E35" s="29"/>
      <c r="F35" s="29"/>
      <c r="G35" s="29"/>
      <c r="H35" s="29"/>
      <c r="I35" s="29"/>
      <c r="J35" s="29"/>
      <c r="K35" s="29"/>
      <c r="L35" s="29"/>
      <c r="M35" s="29"/>
      <c r="N35" s="29"/>
      <c r="O35" s="272"/>
      <c r="P35" s="272"/>
      <c r="Q35" s="272"/>
      <c r="R35" s="272"/>
      <c r="S35" s="272"/>
      <c r="T35" s="272"/>
      <c r="V35" s="28" t="s">
        <v>38</v>
      </c>
      <c r="W35" s="272"/>
    </row>
    <row r="36" spans="2:23" ht="16.5" thickBot="1">
      <c r="B36" s="30" t="s">
        <v>39</v>
      </c>
      <c r="C36" s="31">
        <v>254496</v>
      </c>
      <c r="D36" s="31">
        <v>361188</v>
      </c>
      <c r="E36" s="31">
        <v>315607</v>
      </c>
      <c r="F36" s="31">
        <v>403075</v>
      </c>
      <c r="G36" s="31">
        <v>590299</v>
      </c>
      <c r="H36" s="31">
        <v>433807</v>
      </c>
      <c r="I36" s="31">
        <v>524315</v>
      </c>
      <c r="J36" s="31">
        <v>721146</v>
      </c>
      <c r="K36" s="31">
        <v>460247</v>
      </c>
      <c r="L36" s="31">
        <v>541371</v>
      </c>
      <c r="M36" s="31">
        <v>409376</v>
      </c>
      <c r="N36" s="31">
        <v>1060187</v>
      </c>
      <c r="O36" s="273">
        <v>1068640</v>
      </c>
      <c r="P36" s="61">
        <v>542198</v>
      </c>
      <c r="Q36" s="61">
        <v>617764</v>
      </c>
      <c r="R36" s="61">
        <v>1492654</v>
      </c>
      <c r="S36" s="61">
        <v>1205650</v>
      </c>
      <c r="T36" s="61">
        <v>545837</v>
      </c>
      <c r="V36" s="30" t="s">
        <v>39</v>
      </c>
      <c r="W36" s="61">
        <v>914679</v>
      </c>
    </row>
    <row r="37" spans="2:23" ht="16.5" thickBot="1">
      <c r="B37" s="30" t="s">
        <v>40</v>
      </c>
      <c r="C37" s="31">
        <v>24008</v>
      </c>
      <c r="D37" s="31">
        <v>41776</v>
      </c>
      <c r="E37" s="31">
        <v>246287</v>
      </c>
      <c r="F37" s="31">
        <v>35401</v>
      </c>
      <c r="G37" s="31">
        <v>51428</v>
      </c>
      <c r="H37" s="31">
        <v>50199</v>
      </c>
      <c r="I37" s="31">
        <v>454588</v>
      </c>
      <c r="J37" s="31">
        <v>77976</v>
      </c>
      <c r="K37" s="31">
        <v>69730</v>
      </c>
      <c r="L37" s="31">
        <v>121792</v>
      </c>
      <c r="M37" s="31">
        <v>244445</v>
      </c>
      <c r="N37" s="31">
        <v>113023</v>
      </c>
      <c r="O37" s="273">
        <v>60469</v>
      </c>
      <c r="P37" s="61">
        <v>158541</v>
      </c>
      <c r="Q37" s="61">
        <v>627422</v>
      </c>
      <c r="R37" s="61">
        <v>176312</v>
      </c>
      <c r="S37" s="61">
        <v>98033</v>
      </c>
      <c r="T37" s="61">
        <v>274909</v>
      </c>
      <c r="V37" s="30" t="s">
        <v>40</v>
      </c>
      <c r="W37" s="61">
        <v>310361</v>
      </c>
    </row>
    <row r="38" spans="2:23" ht="16.5" thickBot="1">
      <c r="B38" s="30" t="s">
        <v>41</v>
      </c>
      <c r="C38" s="31">
        <v>23231</v>
      </c>
      <c r="D38" s="31">
        <v>20897</v>
      </c>
      <c r="E38" s="31">
        <v>55187</v>
      </c>
      <c r="F38" s="31">
        <v>89400</v>
      </c>
      <c r="G38" s="31">
        <v>88092</v>
      </c>
      <c r="H38" s="31">
        <v>37166</v>
      </c>
      <c r="I38" s="31">
        <v>57401</v>
      </c>
      <c r="J38" s="31">
        <v>44712</v>
      </c>
      <c r="K38" s="31">
        <v>66939</v>
      </c>
      <c r="L38" s="31">
        <v>41135</v>
      </c>
      <c r="M38" s="31">
        <v>68907</v>
      </c>
      <c r="N38" s="31">
        <v>99916</v>
      </c>
      <c r="O38" s="273">
        <v>126282</v>
      </c>
      <c r="P38" s="61">
        <v>68105</v>
      </c>
      <c r="Q38" s="61">
        <v>98117</v>
      </c>
      <c r="R38" s="61">
        <v>126604</v>
      </c>
      <c r="S38" s="61">
        <v>153369</v>
      </c>
      <c r="T38" s="61">
        <v>71331</v>
      </c>
      <c r="V38" s="30" t="s">
        <v>41</v>
      </c>
      <c r="W38" s="61">
        <v>78279</v>
      </c>
    </row>
    <row r="39" spans="2:23" ht="16.5" thickBot="1">
      <c r="B39" s="30" t="s">
        <v>43</v>
      </c>
      <c r="C39" s="31">
        <v>18150</v>
      </c>
      <c r="D39" s="31">
        <v>7786</v>
      </c>
      <c r="E39" s="31">
        <v>9401</v>
      </c>
      <c r="F39" s="31">
        <v>19984</v>
      </c>
      <c r="G39" s="31">
        <v>17092</v>
      </c>
      <c r="H39" s="31">
        <v>15188</v>
      </c>
      <c r="I39" s="31">
        <v>13600</v>
      </c>
      <c r="J39" s="31">
        <v>10298</v>
      </c>
      <c r="K39" s="31">
        <v>13428</v>
      </c>
      <c r="L39" s="31">
        <v>7798</v>
      </c>
      <c r="M39" s="31">
        <v>21194</v>
      </c>
      <c r="N39" s="31">
        <v>14017</v>
      </c>
      <c r="O39" s="273">
        <v>20591</v>
      </c>
      <c r="P39" s="61">
        <v>12676</v>
      </c>
      <c r="Q39" s="61">
        <v>12054</v>
      </c>
      <c r="R39" s="61">
        <v>22986</v>
      </c>
      <c r="S39" s="61">
        <v>25172</v>
      </c>
      <c r="T39" s="61">
        <v>19436</v>
      </c>
      <c r="V39" s="30" t="s">
        <v>43</v>
      </c>
      <c r="W39" s="61">
        <v>23805</v>
      </c>
    </row>
    <row r="40" spans="2:23" ht="16.5" thickBot="1">
      <c r="B40" s="30" t="s">
        <v>44</v>
      </c>
      <c r="C40" s="31">
        <v>38839</v>
      </c>
      <c r="D40" s="31">
        <v>210</v>
      </c>
      <c r="E40" s="31">
        <v>41275</v>
      </c>
      <c r="F40" s="31">
        <v>52291</v>
      </c>
      <c r="G40" s="31">
        <v>410</v>
      </c>
      <c r="H40" s="31">
        <v>407</v>
      </c>
      <c r="I40" s="31">
        <v>572</v>
      </c>
      <c r="J40" s="31">
        <v>1987</v>
      </c>
      <c r="K40" s="31">
        <v>913</v>
      </c>
      <c r="L40" s="31">
        <v>181</v>
      </c>
      <c r="M40" s="31">
        <v>2896</v>
      </c>
      <c r="N40" s="31">
        <v>6128</v>
      </c>
      <c r="O40" s="273">
        <v>9985</v>
      </c>
      <c r="P40" s="61">
        <v>6346</v>
      </c>
      <c r="Q40" s="61">
        <v>738</v>
      </c>
      <c r="R40" s="61">
        <v>0</v>
      </c>
      <c r="S40" s="61">
        <v>0</v>
      </c>
      <c r="T40" s="61">
        <v>0</v>
      </c>
      <c r="V40" s="30" t="s">
        <v>44</v>
      </c>
      <c r="W40" s="61">
        <v>0</v>
      </c>
    </row>
    <row r="41" spans="2:23" ht="15.75" thickBot="1">
      <c r="B41" s="32" t="s">
        <v>45</v>
      </c>
      <c r="C41" s="33">
        <v>358724</v>
      </c>
      <c r="D41" s="33">
        <v>431857</v>
      </c>
      <c r="E41" s="33">
        <v>667757</v>
      </c>
      <c r="F41" s="33">
        <v>600151</v>
      </c>
      <c r="G41" s="33">
        <v>747321</v>
      </c>
      <c r="H41" s="33">
        <v>536767</v>
      </c>
      <c r="I41" s="33">
        <v>1050476</v>
      </c>
      <c r="J41" s="33">
        <v>856119</v>
      </c>
      <c r="K41" s="33">
        <v>611257</v>
      </c>
      <c r="L41" s="33">
        <v>712277</v>
      </c>
      <c r="M41" s="33">
        <v>746818</v>
      </c>
      <c r="N41" s="33">
        <v>1293271</v>
      </c>
      <c r="O41" s="274">
        <v>1285967</v>
      </c>
      <c r="P41" s="63">
        <f t="shared" ref="P41" si="4">SUM(P36:P40)</f>
        <v>787866</v>
      </c>
      <c r="Q41" s="63">
        <f t="shared" ref="Q41" si="5">SUM(Q36:Q40)</f>
        <v>1356095</v>
      </c>
      <c r="R41" s="63">
        <v>1818556</v>
      </c>
      <c r="S41" s="63">
        <f t="shared" ref="S41" si="6">SUM(S36:S40)</f>
        <v>1482224</v>
      </c>
      <c r="T41" s="63">
        <f t="shared" ref="T41" si="7">SUM(T36:T40)</f>
        <v>911513</v>
      </c>
      <c r="V41" s="32" t="s">
        <v>45</v>
      </c>
      <c r="W41" s="63">
        <v>1327124</v>
      </c>
    </row>
    <row r="42" spans="2:23" ht="15.75" thickBot="1">
      <c r="B42" s="28" t="s">
        <v>46</v>
      </c>
      <c r="C42" s="29"/>
      <c r="D42" s="29"/>
      <c r="E42" s="29"/>
      <c r="F42" s="29"/>
      <c r="G42" s="29"/>
      <c r="H42" s="29"/>
      <c r="I42" s="29"/>
      <c r="J42" s="29"/>
      <c r="K42" s="29"/>
      <c r="L42" s="29"/>
      <c r="M42" s="29"/>
      <c r="N42" s="29"/>
      <c r="O42" s="272"/>
      <c r="P42" s="59"/>
      <c r="Q42" s="59"/>
      <c r="R42" s="59">
        <v>0</v>
      </c>
      <c r="S42" s="59"/>
      <c r="T42" s="733"/>
      <c r="V42" s="28" t="s">
        <v>46</v>
      </c>
      <c r="W42" s="733"/>
    </row>
    <row r="43" spans="2:23" ht="16.5" thickBot="1">
      <c r="B43" s="30" t="s">
        <v>47</v>
      </c>
      <c r="C43" s="31">
        <v>20298</v>
      </c>
      <c r="D43" s="31">
        <v>16901</v>
      </c>
      <c r="E43" s="31">
        <v>13702</v>
      </c>
      <c r="F43" s="31">
        <v>12561</v>
      </c>
      <c r="G43" s="31">
        <v>10373</v>
      </c>
      <c r="H43" s="31">
        <v>10461</v>
      </c>
      <c r="I43" s="31">
        <v>12641</v>
      </c>
      <c r="J43" s="31">
        <v>13644</v>
      </c>
      <c r="K43" s="31">
        <v>12190</v>
      </c>
      <c r="L43" s="31">
        <v>11029</v>
      </c>
      <c r="M43" s="31">
        <v>11664</v>
      </c>
      <c r="N43" s="31">
        <v>10374</v>
      </c>
      <c r="O43" s="273">
        <v>9013</v>
      </c>
      <c r="P43" s="61">
        <v>8529</v>
      </c>
      <c r="Q43" s="61">
        <v>99998</v>
      </c>
      <c r="R43" s="61">
        <v>78674</v>
      </c>
      <c r="S43" s="61">
        <v>9919</v>
      </c>
      <c r="T43" s="61">
        <v>13120</v>
      </c>
      <c r="V43" s="30" t="s">
        <v>47</v>
      </c>
      <c r="W43" s="61">
        <v>14034</v>
      </c>
    </row>
    <row r="44" spans="2:23" ht="16.5" thickBot="1">
      <c r="B44" s="30" t="s">
        <v>48</v>
      </c>
      <c r="C44" s="31">
        <v>0</v>
      </c>
      <c r="D44" s="31">
        <v>44649</v>
      </c>
      <c r="E44" s="31">
        <v>44649</v>
      </c>
      <c r="F44" s="31">
        <v>44649</v>
      </c>
      <c r="G44" s="31">
        <v>44649</v>
      </c>
      <c r="H44" s="31">
        <v>24955</v>
      </c>
      <c r="I44" s="31">
        <v>25449</v>
      </c>
      <c r="J44" s="31">
        <v>23993</v>
      </c>
      <c r="K44" s="31">
        <v>28677</v>
      </c>
      <c r="L44" s="31">
        <v>1405</v>
      </c>
      <c r="M44" s="31">
        <v>8927</v>
      </c>
      <c r="N44" s="31">
        <v>16307</v>
      </c>
      <c r="O44" s="273">
        <v>21020</v>
      </c>
      <c r="P44" s="61">
        <v>1023</v>
      </c>
      <c r="Q44" s="61">
        <v>7045</v>
      </c>
      <c r="R44" s="61">
        <v>10985</v>
      </c>
      <c r="S44" s="61">
        <v>15579</v>
      </c>
      <c r="T44" s="61">
        <v>679</v>
      </c>
      <c r="V44" s="30" t="s">
        <v>48</v>
      </c>
      <c r="W44" s="61">
        <v>8269</v>
      </c>
    </row>
    <row r="45" spans="2:23" ht="29.25" thickBot="1">
      <c r="B45" s="30" t="s">
        <v>1034</v>
      </c>
      <c r="C45" s="31">
        <v>8056601</v>
      </c>
      <c r="D45" s="31">
        <v>10216170</v>
      </c>
      <c r="E45" s="31">
        <v>9530390</v>
      </c>
      <c r="F45" s="31">
        <v>9461072</v>
      </c>
      <c r="G45" s="31">
        <v>9802592</v>
      </c>
      <c r="H45" s="31">
        <v>11013197</v>
      </c>
      <c r="I45" s="31">
        <v>10732696</v>
      </c>
      <c r="J45" s="31">
        <v>11183637</v>
      </c>
      <c r="K45" s="31">
        <v>11593893</v>
      </c>
      <c r="L45" s="31">
        <v>11224367</v>
      </c>
      <c r="M45" s="31">
        <v>11933040</v>
      </c>
      <c r="N45" s="31">
        <v>11150959</v>
      </c>
      <c r="O45" s="273">
        <v>11852674</v>
      </c>
      <c r="P45" s="61">
        <v>11435299</v>
      </c>
      <c r="Q45" s="61">
        <v>11743622</v>
      </c>
      <c r="R45" s="61">
        <v>12598674</v>
      </c>
      <c r="S45" s="61">
        <v>12219187</v>
      </c>
      <c r="T45" s="61">
        <v>12504610</v>
      </c>
      <c r="V45" s="30" t="s">
        <v>1034</v>
      </c>
      <c r="W45" s="61">
        <v>12810091</v>
      </c>
    </row>
    <row r="46" spans="2:23" ht="16.5" thickBot="1">
      <c r="B46" s="30" t="s">
        <v>95</v>
      </c>
      <c r="C46" s="31">
        <v>12528</v>
      </c>
      <c r="D46" s="31">
        <v>12528</v>
      </c>
      <c r="E46" s="31">
        <v>12528</v>
      </c>
      <c r="F46" s="31">
        <v>12524</v>
      </c>
      <c r="G46" s="31">
        <v>12524</v>
      </c>
      <c r="H46" s="31">
        <v>12524</v>
      </c>
      <c r="I46" s="31">
        <v>12524</v>
      </c>
      <c r="J46" s="31">
        <v>12524</v>
      </c>
      <c r="K46" s="31">
        <v>12524</v>
      </c>
      <c r="L46" s="31">
        <v>12524</v>
      </c>
      <c r="M46" s="31">
        <v>12524</v>
      </c>
      <c r="N46" s="31">
        <v>12524</v>
      </c>
      <c r="O46" s="273">
        <v>12524</v>
      </c>
      <c r="P46" s="61">
        <v>12524</v>
      </c>
      <c r="Q46" s="61">
        <v>12524</v>
      </c>
      <c r="R46" s="61">
        <v>12524</v>
      </c>
      <c r="S46" s="61">
        <v>12524</v>
      </c>
      <c r="T46" s="61">
        <v>12524</v>
      </c>
      <c r="V46" s="30" t="s">
        <v>95</v>
      </c>
      <c r="W46" s="61">
        <v>13795</v>
      </c>
    </row>
    <row r="47" spans="2:23" ht="16.5" thickBot="1">
      <c r="B47" s="30" t="s">
        <v>40</v>
      </c>
      <c r="C47" s="31">
        <v>6350</v>
      </c>
      <c r="D47" s="31">
        <v>13629</v>
      </c>
      <c r="E47" s="31">
        <v>14315</v>
      </c>
      <c r="F47" s="31">
        <v>15069</v>
      </c>
      <c r="G47" s="31">
        <v>16013</v>
      </c>
      <c r="H47" s="31">
        <v>15621</v>
      </c>
      <c r="I47" s="31">
        <v>16688</v>
      </c>
      <c r="J47" s="31">
        <v>16934</v>
      </c>
      <c r="K47" s="31">
        <v>17416</v>
      </c>
      <c r="L47" s="31">
        <v>17475</v>
      </c>
      <c r="M47" s="31">
        <v>17502</v>
      </c>
      <c r="N47" s="31">
        <v>17446</v>
      </c>
      <c r="O47" s="273">
        <v>18052</v>
      </c>
      <c r="P47" s="61">
        <v>18346</v>
      </c>
      <c r="Q47" s="61">
        <v>19342</v>
      </c>
      <c r="R47" s="61">
        <v>19218</v>
      </c>
      <c r="S47" s="61">
        <v>22110</v>
      </c>
      <c r="T47" s="61">
        <v>23116</v>
      </c>
      <c r="V47" s="30" t="s">
        <v>40</v>
      </c>
      <c r="W47" s="61">
        <v>21826</v>
      </c>
    </row>
    <row r="48" spans="2:23" ht="16.5" thickBot="1">
      <c r="B48" s="30" t="s">
        <v>51</v>
      </c>
      <c r="C48" s="31">
        <v>0</v>
      </c>
      <c r="D48" s="31">
        <v>0</v>
      </c>
      <c r="E48" s="31">
        <v>0</v>
      </c>
      <c r="F48" s="31">
        <v>0</v>
      </c>
      <c r="G48" s="31">
        <v>0</v>
      </c>
      <c r="H48" s="31">
        <v>0</v>
      </c>
      <c r="I48" s="31">
        <v>0</v>
      </c>
      <c r="J48" s="31">
        <v>0</v>
      </c>
      <c r="K48" s="31">
        <v>0</v>
      </c>
      <c r="L48" s="31">
        <v>0</v>
      </c>
      <c r="M48" s="31">
        <v>0</v>
      </c>
      <c r="N48" s="31">
        <v>0</v>
      </c>
      <c r="O48" s="273">
        <v>0</v>
      </c>
      <c r="P48" s="61">
        <v>0</v>
      </c>
      <c r="Q48" s="61">
        <v>0</v>
      </c>
      <c r="R48" s="61">
        <v>0</v>
      </c>
      <c r="S48" s="61">
        <v>0</v>
      </c>
      <c r="T48" s="61"/>
      <c r="V48" s="30" t="s">
        <v>42</v>
      </c>
      <c r="W48" s="61">
        <v>0</v>
      </c>
    </row>
    <row r="49" spans="2:23" ht="16.5" thickBot="1">
      <c r="B49" s="30" t="s">
        <v>1035</v>
      </c>
      <c r="C49" s="31">
        <v>5066863</v>
      </c>
      <c r="D49" s="31">
        <v>5683964</v>
      </c>
      <c r="E49" s="31">
        <v>5835660</v>
      </c>
      <c r="F49" s="31">
        <v>5930332</v>
      </c>
      <c r="G49" s="31">
        <v>6084789</v>
      </c>
      <c r="H49" s="31">
        <v>6211045</v>
      </c>
      <c r="I49" s="31">
        <v>6287331</v>
      </c>
      <c r="J49" s="31">
        <v>6374734</v>
      </c>
      <c r="K49" s="31">
        <v>6480169</v>
      </c>
      <c r="L49" s="31">
        <v>6667921</v>
      </c>
      <c r="M49" s="31">
        <v>6797606</v>
      </c>
      <c r="N49" s="31">
        <v>6876688</v>
      </c>
      <c r="O49" s="273">
        <v>6981007</v>
      </c>
      <c r="P49" s="61">
        <v>7171938</v>
      </c>
      <c r="Q49" s="61">
        <v>7226974</v>
      </c>
      <c r="R49" s="61">
        <v>7249023</v>
      </c>
      <c r="S49" s="61">
        <v>7303109</v>
      </c>
      <c r="T49" s="61">
        <v>7407001</v>
      </c>
      <c r="V49" s="30" t="s">
        <v>1035</v>
      </c>
      <c r="W49" s="61">
        <v>7469551</v>
      </c>
    </row>
    <row r="50" spans="2:23" ht="16.5" thickBot="1">
      <c r="B50" s="30" t="s">
        <v>53</v>
      </c>
      <c r="C50" s="31">
        <v>7803</v>
      </c>
      <c r="D50" s="31">
        <v>7720</v>
      </c>
      <c r="E50" s="31">
        <v>7699</v>
      </c>
      <c r="F50" s="31">
        <v>7678</v>
      </c>
      <c r="G50" s="31">
        <v>7658</v>
      </c>
      <c r="H50" s="31">
        <v>7936</v>
      </c>
      <c r="I50" s="31">
        <v>7914</v>
      </c>
      <c r="J50" s="31">
        <v>7892</v>
      </c>
      <c r="K50" s="31">
        <v>7870</v>
      </c>
      <c r="L50" s="31">
        <v>7848</v>
      </c>
      <c r="M50" s="31">
        <v>7826</v>
      </c>
      <c r="N50" s="31">
        <v>7804</v>
      </c>
      <c r="O50" s="273">
        <v>7783</v>
      </c>
      <c r="P50" s="61">
        <v>7761</v>
      </c>
      <c r="Q50" s="61">
        <v>7739</v>
      </c>
      <c r="R50" s="61">
        <v>7717</v>
      </c>
      <c r="S50" s="61">
        <v>7695</v>
      </c>
      <c r="T50" s="61">
        <v>7673</v>
      </c>
      <c r="V50" s="30" t="s">
        <v>53</v>
      </c>
      <c r="W50" s="61">
        <v>7651</v>
      </c>
    </row>
    <row r="51" spans="2:23" ht="16.5" thickBot="1">
      <c r="B51" s="30" t="s">
        <v>55</v>
      </c>
      <c r="C51" s="31">
        <v>100716</v>
      </c>
      <c r="D51" s="31">
        <v>102263</v>
      </c>
      <c r="E51" s="31">
        <v>103689</v>
      </c>
      <c r="F51" s="31">
        <v>131067</v>
      </c>
      <c r="G51" s="31">
        <v>132314</v>
      </c>
      <c r="H51" s="31">
        <v>122692</v>
      </c>
      <c r="I51" s="31">
        <v>122010</v>
      </c>
      <c r="J51" s="31">
        <v>139118</v>
      </c>
      <c r="K51" s="31">
        <v>141132</v>
      </c>
      <c r="L51" s="31">
        <v>157983</v>
      </c>
      <c r="M51" s="31">
        <v>157003</v>
      </c>
      <c r="N51" s="31">
        <v>157771</v>
      </c>
      <c r="O51" s="273">
        <v>124695</v>
      </c>
      <c r="P51" s="61">
        <v>156725</v>
      </c>
      <c r="Q51" s="61">
        <v>155939</v>
      </c>
      <c r="R51" s="61">
        <v>209543</v>
      </c>
      <c r="S51" s="61">
        <v>210760</v>
      </c>
      <c r="T51" s="61">
        <v>212532</v>
      </c>
      <c r="V51" s="30" t="s">
        <v>55</v>
      </c>
      <c r="W51" s="61">
        <v>173347</v>
      </c>
    </row>
    <row r="52" spans="2:23" ht="16.5" thickBot="1">
      <c r="B52" s="30" t="s">
        <v>43</v>
      </c>
      <c r="C52" s="31">
        <v>1300</v>
      </c>
      <c r="D52" s="31">
        <v>1200</v>
      </c>
      <c r="E52" s="31">
        <v>1175</v>
      </c>
      <c r="F52" s="31">
        <v>1150</v>
      </c>
      <c r="G52" s="31">
        <v>1125</v>
      </c>
      <c r="H52" s="31">
        <v>1100</v>
      </c>
      <c r="I52" s="31">
        <v>1075</v>
      </c>
      <c r="J52" s="31">
        <v>1050</v>
      </c>
      <c r="K52" s="31">
        <v>1025</v>
      </c>
      <c r="L52" s="31">
        <v>1000</v>
      </c>
      <c r="M52" s="31">
        <v>975</v>
      </c>
      <c r="N52" s="31">
        <v>950</v>
      </c>
      <c r="O52" s="273">
        <v>925</v>
      </c>
      <c r="P52" s="61">
        <v>900</v>
      </c>
      <c r="Q52" s="61">
        <v>875</v>
      </c>
      <c r="R52" s="61">
        <v>850</v>
      </c>
      <c r="S52" s="61">
        <v>825</v>
      </c>
      <c r="T52" s="61">
        <v>800</v>
      </c>
      <c r="V52" s="30" t="s">
        <v>43</v>
      </c>
      <c r="W52" s="61">
        <v>775</v>
      </c>
    </row>
    <row r="53" spans="2:23" ht="16.5" thickBot="1">
      <c r="B53" s="30" t="s">
        <v>56</v>
      </c>
      <c r="C53" s="31">
        <v>0</v>
      </c>
      <c r="D53" s="31">
        <v>0</v>
      </c>
      <c r="E53" s="31">
        <v>0</v>
      </c>
      <c r="F53" s="31">
        <v>0</v>
      </c>
      <c r="G53" s="31">
        <v>0</v>
      </c>
      <c r="H53" s="31">
        <v>0</v>
      </c>
      <c r="I53" s="31">
        <v>0</v>
      </c>
      <c r="J53" s="31">
        <v>0</v>
      </c>
      <c r="K53" s="31">
        <v>0</v>
      </c>
      <c r="L53" s="31">
        <v>0</v>
      </c>
      <c r="M53" s="31">
        <v>0</v>
      </c>
      <c r="N53" s="31">
        <v>0</v>
      </c>
      <c r="O53" s="273">
        <v>0</v>
      </c>
      <c r="P53" s="61">
        <v>0</v>
      </c>
      <c r="Q53" s="61">
        <v>0</v>
      </c>
      <c r="R53" s="61">
        <v>0</v>
      </c>
      <c r="S53" s="61">
        <v>0</v>
      </c>
      <c r="T53" s="61"/>
      <c r="V53" s="30" t="s">
        <v>56</v>
      </c>
      <c r="W53" s="61">
        <v>0</v>
      </c>
    </row>
    <row r="54" spans="2:23" ht="16.5" thickBot="1">
      <c r="B54" s="30" t="s">
        <v>57</v>
      </c>
      <c r="C54" s="31">
        <v>0</v>
      </c>
      <c r="D54" s="31">
        <v>0</v>
      </c>
      <c r="E54" s="31">
        <v>0</v>
      </c>
      <c r="F54" s="31">
        <v>0</v>
      </c>
      <c r="G54" s="31">
        <v>0</v>
      </c>
      <c r="H54" s="31">
        <v>0</v>
      </c>
      <c r="I54" s="31">
        <v>6549</v>
      </c>
      <c r="J54" s="31">
        <v>7219</v>
      </c>
      <c r="K54" s="31">
        <v>6909</v>
      </c>
      <c r="L54" s="31">
        <v>0</v>
      </c>
      <c r="M54" s="31">
        <v>0</v>
      </c>
      <c r="N54" s="31">
        <v>0</v>
      </c>
      <c r="O54" s="273">
        <v>21615</v>
      </c>
      <c r="P54" s="61">
        <v>14945</v>
      </c>
      <c r="Q54" s="61">
        <v>14227</v>
      </c>
      <c r="R54" s="61">
        <v>0</v>
      </c>
      <c r="S54" s="61">
        <v>0</v>
      </c>
      <c r="T54" s="61"/>
      <c r="V54" s="30" t="s">
        <v>57</v>
      </c>
      <c r="W54" s="61">
        <v>0</v>
      </c>
    </row>
    <row r="55" spans="2:23" ht="16.5" thickBot="1">
      <c r="B55" s="30" t="s">
        <v>44</v>
      </c>
      <c r="C55" s="31">
        <v>209449</v>
      </c>
      <c r="D55" s="31">
        <v>195628</v>
      </c>
      <c r="E55" s="31">
        <v>182285</v>
      </c>
      <c r="F55" s="31">
        <v>190722</v>
      </c>
      <c r="G55" s="31">
        <v>135199</v>
      </c>
      <c r="H55" s="31">
        <v>147825</v>
      </c>
      <c r="I55" s="31">
        <v>103365</v>
      </c>
      <c r="J55" s="31">
        <v>104370</v>
      </c>
      <c r="K55" s="31">
        <v>101523</v>
      </c>
      <c r="L55" s="31">
        <v>96102</v>
      </c>
      <c r="M55" s="31">
        <v>313227</v>
      </c>
      <c r="N55" s="31">
        <v>289657</v>
      </c>
      <c r="O55" s="273">
        <v>298904</v>
      </c>
      <c r="P55" s="61">
        <v>187208</v>
      </c>
      <c r="Q55" s="61">
        <v>212146</v>
      </c>
      <c r="R55" s="61">
        <v>0</v>
      </c>
      <c r="S55" s="61">
        <v>0</v>
      </c>
      <c r="T55" s="61">
        <v>0</v>
      </c>
      <c r="V55" s="30" t="s">
        <v>44</v>
      </c>
      <c r="W55" s="61">
        <v>0</v>
      </c>
    </row>
    <row r="56" spans="2:23" ht="15.75" thickBot="1">
      <c r="B56" s="28" t="s">
        <v>59</v>
      </c>
      <c r="C56" s="34">
        <v>13481908</v>
      </c>
      <c r="D56" s="34">
        <v>16294652</v>
      </c>
      <c r="E56" s="34">
        <v>15746092</v>
      </c>
      <c r="F56" s="34">
        <v>15806824</v>
      </c>
      <c r="G56" s="34">
        <v>16247236</v>
      </c>
      <c r="H56" s="34">
        <v>17567356</v>
      </c>
      <c r="I56" s="103">
        <f>SUM(I43:I55)</f>
        <v>17328242</v>
      </c>
      <c r="J56" s="103">
        <f>SUM(J43:J55)</f>
        <v>17885115</v>
      </c>
      <c r="K56" s="103">
        <f>SUM(K43:K55)</f>
        <v>18403328</v>
      </c>
      <c r="L56" s="34">
        <v>18197654</v>
      </c>
      <c r="M56" s="34">
        <v>19260294</v>
      </c>
      <c r="N56" s="34">
        <v>18540480</v>
      </c>
      <c r="O56" s="275">
        <v>19348212</v>
      </c>
      <c r="P56" s="64">
        <f t="shared" ref="P56" si="8">SUM(P43:P55)</f>
        <v>19015198</v>
      </c>
      <c r="Q56" s="64">
        <f t="shared" ref="Q56" si="9">SUM(Q43:Q55)</f>
        <v>19500431</v>
      </c>
      <c r="R56" s="64">
        <v>20187208</v>
      </c>
      <c r="S56" s="64">
        <f t="shared" ref="S56" si="10">SUM(S43:S55)</f>
        <v>19801708</v>
      </c>
      <c r="T56" s="64">
        <f t="shared" ref="T56" si="11">SUM(T43:T55)</f>
        <v>20182055</v>
      </c>
      <c r="V56" s="28" t="s">
        <v>59</v>
      </c>
      <c r="W56" s="64">
        <v>20519339</v>
      </c>
    </row>
    <row r="57" spans="2:23" ht="15.75" thickBot="1">
      <c r="B57" s="35" t="s">
        <v>60</v>
      </c>
      <c r="C57" s="36">
        <v>13840632</v>
      </c>
      <c r="D57" s="36">
        <v>16726509</v>
      </c>
      <c r="E57" s="36">
        <v>16413849</v>
      </c>
      <c r="F57" s="36">
        <v>16406975</v>
      </c>
      <c r="G57" s="36">
        <v>16994557</v>
      </c>
      <c r="H57" s="36">
        <v>18104123</v>
      </c>
      <c r="I57" s="104">
        <f>+I56+I41</f>
        <v>18378718</v>
      </c>
      <c r="J57" s="104">
        <f>+J56+J41</f>
        <v>18741234</v>
      </c>
      <c r="K57" s="104">
        <f>+K56+K41</f>
        <v>19014585</v>
      </c>
      <c r="L57" s="36">
        <v>18909931</v>
      </c>
      <c r="M57" s="36">
        <v>20007112</v>
      </c>
      <c r="N57" s="36">
        <v>19833751</v>
      </c>
      <c r="O57" s="276">
        <v>20634179</v>
      </c>
      <c r="P57" s="66">
        <f t="shared" ref="P57:Q57" si="12">+P41+P56</f>
        <v>19803064</v>
      </c>
      <c r="Q57" s="66">
        <f t="shared" si="12"/>
        <v>20856526</v>
      </c>
      <c r="R57" s="66">
        <v>22005764</v>
      </c>
      <c r="S57" s="66">
        <f t="shared" ref="S57:T57" si="13">+S41+S56</f>
        <v>21283932</v>
      </c>
      <c r="T57" s="66">
        <f t="shared" si="13"/>
        <v>21093568</v>
      </c>
      <c r="V57" s="35" t="s">
        <v>60</v>
      </c>
      <c r="W57" s="66">
        <v>21846463</v>
      </c>
    </row>
    <row r="58" spans="2:23" ht="15.75" thickBot="1">
      <c r="B58" s="37"/>
      <c r="C58" s="38"/>
      <c r="D58" s="38"/>
      <c r="E58" s="38"/>
      <c r="F58" s="38"/>
      <c r="G58" s="38"/>
      <c r="H58" s="38"/>
      <c r="I58" s="38"/>
      <c r="J58" s="38"/>
      <c r="K58" s="38"/>
      <c r="L58" s="38"/>
      <c r="M58" s="38"/>
      <c r="N58" s="38"/>
      <c r="O58" s="277"/>
      <c r="Q58" s="135"/>
      <c r="R58" s="135">
        <v>0</v>
      </c>
      <c r="S58" s="364"/>
      <c r="T58" s="739"/>
      <c r="V58" s="37"/>
      <c r="W58" s="739">
        <v>0</v>
      </c>
    </row>
    <row r="59" spans="2:23" ht="15.75" thickBot="1">
      <c r="B59" s="26" t="s">
        <v>61</v>
      </c>
      <c r="C59" s="39"/>
      <c r="D59" s="39"/>
      <c r="E59" s="39"/>
      <c r="F59" s="39"/>
      <c r="G59" s="39"/>
      <c r="H59" s="39"/>
      <c r="I59" s="39"/>
      <c r="J59" s="39"/>
      <c r="K59" s="39"/>
      <c r="L59" s="39"/>
      <c r="M59" s="39"/>
      <c r="N59" s="39"/>
      <c r="O59" s="278"/>
      <c r="P59" s="69"/>
      <c r="Q59" s="69"/>
      <c r="R59" s="69">
        <v>0</v>
      </c>
      <c r="S59" s="69"/>
      <c r="T59" s="736"/>
      <c r="V59" s="26" t="s">
        <v>61</v>
      </c>
      <c r="W59" s="736"/>
    </row>
    <row r="60" spans="2:23" ht="15.75" thickBot="1">
      <c r="B60" s="28" t="s">
        <v>62</v>
      </c>
      <c r="C60" s="40"/>
      <c r="D60" s="40"/>
      <c r="E60" s="40"/>
      <c r="F60" s="40"/>
      <c r="G60" s="40"/>
      <c r="H60" s="40"/>
      <c r="I60" s="40"/>
      <c r="J60" s="40"/>
      <c r="K60" s="40"/>
      <c r="L60" s="40"/>
      <c r="M60" s="40"/>
      <c r="N60" s="40"/>
      <c r="O60" s="279"/>
      <c r="P60" s="70"/>
      <c r="Q60" s="70"/>
      <c r="R60" s="70">
        <v>0</v>
      </c>
      <c r="S60" s="70"/>
      <c r="T60" s="737"/>
      <c r="V60" s="28" t="s">
        <v>62</v>
      </c>
      <c r="W60" s="737"/>
    </row>
    <row r="61" spans="2:23" ht="16.5" thickBot="1">
      <c r="B61" s="30" t="s">
        <v>63</v>
      </c>
      <c r="C61" s="31">
        <v>146843</v>
      </c>
      <c r="D61" s="31">
        <v>113155</v>
      </c>
      <c r="E61" s="31">
        <v>151747</v>
      </c>
      <c r="F61" s="31">
        <v>130979</v>
      </c>
      <c r="G61" s="31">
        <v>151971</v>
      </c>
      <c r="H61" s="31">
        <v>137339</v>
      </c>
      <c r="I61" s="31">
        <v>152898</v>
      </c>
      <c r="J61" s="31">
        <v>169407</v>
      </c>
      <c r="K61" s="31">
        <v>189054</v>
      </c>
      <c r="L61" s="31">
        <v>214786</v>
      </c>
      <c r="M61" s="31">
        <v>232772</v>
      </c>
      <c r="N61" s="31">
        <v>207416</v>
      </c>
      <c r="O61" s="273">
        <v>219519</v>
      </c>
      <c r="P61" s="61">
        <v>151393</v>
      </c>
      <c r="Q61" s="61">
        <v>165505</v>
      </c>
      <c r="R61" s="61">
        <v>276306</v>
      </c>
      <c r="S61" s="61">
        <v>285445</v>
      </c>
      <c r="T61" s="61">
        <v>158139</v>
      </c>
      <c r="V61" s="30" t="s">
        <v>63</v>
      </c>
      <c r="W61" s="61">
        <v>191195</v>
      </c>
    </row>
    <row r="62" spans="2:23" ht="16.5" thickBot="1">
      <c r="B62" s="30" t="s">
        <v>64</v>
      </c>
      <c r="C62" s="31">
        <v>70525</v>
      </c>
      <c r="D62" s="31">
        <v>120476</v>
      </c>
      <c r="E62" s="31">
        <v>702081</v>
      </c>
      <c r="F62" s="31">
        <v>669247</v>
      </c>
      <c r="G62" s="31">
        <v>365951</v>
      </c>
      <c r="H62" s="31">
        <v>90486</v>
      </c>
      <c r="I62" s="31">
        <v>672446</v>
      </c>
      <c r="J62" s="31">
        <v>722891</v>
      </c>
      <c r="K62" s="31">
        <v>363131</v>
      </c>
      <c r="L62" s="31">
        <v>110314</v>
      </c>
      <c r="M62" s="31">
        <v>836712</v>
      </c>
      <c r="N62" s="31">
        <v>796245</v>
      </c>
      <c r="O62" s="273">
        <v>441251</v>
      </c>
      <c r="P62" s="61">
        <v>111643</v>
      </c>
      <c r="Q62" s="61">
        <v>1509526</v>
      </c>
      <c r="R62" s="61">
        <v>1527771</v>
      </c>
      <c r="S62" s="61">
        <f>796294+1</f>
        <v>796295</v>
      </c>
      <c r="T62" s="61">
        <v>183100</v>
      </c>
      <c r="V62" s="30" t="s">
        <v>64</v>
      </c>
      <c r="W62" s="61">
        <v>991493</v>
      </c>
    </row>
    <row r="63" spans="2:23" ht="16.5" thickBot="1">
      <c r="B63" s="30" t="s">
        <v>66</v>
      </c>
      <c r="C63" s="31">
        <v>7387</v>
      </c>
      <c r="D63" s="31">
        <v>10159</v>
      </c>
      <c r="E63" s="31">
        <v>6589</v>
      </c>
      <c r="F63" s="31">
        <v>6947</v>
      </c>
      <c r="G63" s="31">
        <v>9175</v>
      </c>
      <c r="H63" s="31">
        <v>8405</v>
      </c>
      <c r="I63" s="31">
        <v>8346</v>
      </c>
      <c r="J63" s="31">
        <v>7357</v>
      </c>
      <c r="K63" s="31">
        <v>10434</v>
      </c>
      <c r="L63" s="31">
        <v>11689</v>
      </c>
      <c r="M63" s="31">
        <v>10529</v>
      </c>
      <c r="N63" s="31">
        <v>9821</v>
      </c>
      <c r="O63" s="273">
        <v>13886</v>
      </c>
      <c r="P63" s="61">
        <v>14041</v>
      </c>
      <c r="Q63" s="61">
        <v>12995</v>
      </c>
      <c r="R63" s="61">
        <v>11491</v>
      </c>
      <c r="S63" s="61">
        <v>13879</v>
      </c>
      <c r="T63" s="61">
        <v>13051</v>
      </c>
      <c r="V63" s="30" t="s">
        <v>66</v>
      </c>
      <c r="W63" s="61">
        <v>11752</v>
      </c>
    </row>
    <row r="64" spans="2:23" ht="16.5" thickBot="1">
      <c r="B64" s="30" t="s">
        <v>41</v>
      </c>
      <c r="C64" s="31">
        <v>6977</v>
      </c>
      <c r="D64" s="31">
        <v>10271</v>
      </c>
      <c r="E64" s="31">
        <v>35229</v>
      </c>
      <c r="F64" s="31">
        <v>76011</v>
      </c>
      <c r="G64" s="31">
        <v>106833</v>
      </c>
      <c r="H64" s="31">
        <v>12548</v>
      </c>
      <c r="I64" s="31">
        <v>47609</v>
      </c>
      <c r="J64" s="31">
        <v>86618</v>
      </c>
      <c r="K64" s="31">
        <v>124779</v>
      </c>
      <c r="L64" s="31">
        <v>38109</v>
      </c>
      <c r="M64" s="31">
        <v>55911</v>
      </c>
      <c r="N64" s="31">
        <v>88659</v>
      </c>
      <c r="O64" s="273">
        <v>126399</v>
      </c>
      <c r="P64" s="61">
        <v>62985</v>
      </c>
      <c r="Q64" s="61">
        <v>113697</v>
      </c>
      <c r="R64" s="61">
        <v>125691</v>
      </c>
      <c r="S64" s="61">
        <v>183000</v>
      </c>
      <c r="T64" s="61">
        <v>60838</v>
      </c>
      <c r="V64" s="30" t="s">
        <v>41</v>
      </c>
      <c r="W64" s="61">
        <v>84779</v>
      </c>
    </row>
    <row r="65" spans="2:23" ht="16.5" thickBot="1">
      <c r="B65" s="30" t="s">
        <v>67</v>
      </c>
      <c r="C65" s="31">
        <v>25927</v>
      </c>
      <c r="D65" s="31">
        <v>38287</v>
      </c>
      <c r="E65" s="31">
        <v>15913</v>
      </c>
      <c r="F65" s="31">
        <v>18847</v>
      </c>
      <c r="G65" s="31">
        <v>20242</v>
      </c>
      <c r="H65" s="31">
        <v>437</v>
      </c>
      <c r="I65" s="31">
        <v>6565</v>
      </c>
      <c r="J65" s="31">
        <v>5549</v>
      </c>
      <c r="K65" s="31">
        <v>8772</v>
      </c>
      <c r="L65" s="31">
        <v>1715</v>
      </c>
      <c r="M65" s="31">
        <v>0</v>
      </c>
      <c r="N65" s="31">
        <v>0</v>
      </c>
      <c r="O65" s="273">
        <v>0</v>
      </c>
      <c r="P65" s="61">
        <v>0</v>
      </c>
      <c r="Q65" s="61">
        <v>0</v>
      </c>
      <c r="R65" s="61">
        <v>0</v>
      </c>
      <c r="S65" s="61">
        <v>0</v>
      </c>
      <c r="T65" s="61">
        <v>1004</v>
      </c>
      <c r="V65" s="30" t="s">
        <v>67</v>
      </c>
      <c r="W65" s="61">
        <v>1016</v>
      </c>
    </row>
    <row r="66" spans="2:23" ht="16.5" thickBot="1">
      <c r="B66" s="30" t="s">
        <v>68</v>
      </c>
      <c r="C66" s="31">
        <v>4115</v>
      </c>
      <c r="D66" s="31">
        <v>4040</v>
      </c>
      <c r="E66" s="31">
        <v>3680</v>
      </c>
      <c r="F66" s="31">
        <v>3626</v>
      </c>
      <c r="G66" s="31">
        <v>4581</v>
      </c>
      <c r="H66" s="31">
        <v>4025</v>
      </c>
      <c r="I66" s="31">
        <v>3877</v>
      </c>
      <c r="J66" s="31">
        <v>4607</v>
      </c>
      <c r="K66" s="31">
        <v>3716</v>
      </c>
      <c r="L66" s="31">
        <v>3798</v>
      </c>
      <c r="M66" s="31">
        <v>3979</v>
      </c>
      <c r="N66" s="31">
        <v>3511</v>
      </c>
      <c r="O66" s="273">
        <v>4355</v>
      </c>
      <c r="P66" s="61">
        <v>3570</v>
      </c>
      <c r="Q66" s="61">
        <v>3809</v>
      </c>
      <c r="R66" s="61">
        <v>4142</v>
      </c>
      <c r="S66" s="61">
        <v>2931</v>
      </c>
      <c r="T66" s="61">
        <v>4582</v>
      </c>
      <c r="V66" s="30" t="s">
        <v>68</v>
      </c>
      <c r="W66" s="61">
        <v>5564</v>
      </c>
    </row>
    <row r="67" spans="2:23" ht="16.5" thickBot="1">
      <c r="B67" s="30" t="s">
        <v>96</v>
      </c>
      <c r="C67" s="50">
        <v>0</v>
      </c>
      <c r="D67" s="50">
        <v>0</v>
      </c>
      <c r="E67" s="50">
        <v>219</v>
      </c>
      <c r="F67" s="50">
        <v>0</v>
      </c>
      <c r="G67" s="50">
        <v>0</v>
      </c>
      <c r="H67" s="50">
        <v>0</v>
      </c>
      <c r="I67" s="50">
        <v>0</v>
      </c>
      <c r="J67" s="50">
        <v>0</v>
      </c>
      <c r="K67" s="50">
        <v>0</v>
      </c>
      <c r="L67" s="50">
        <v>0</v>
      </c>
      <c r="M67" s="50">
        <v>0</v>
      </c>
      <c r="N67" s="50">
        <v>0</v>
      </c>
      <c r="O67" s="273"/>
      <c r="P67" s="50">
        <v>0</v>
      </c>
      <c r="Q67" s="50"/>
      <c r="R67" s="50">
        <v>0</v>
      </c>
      <c r="S67" s="50"/>
      <c r="T67" s="50"/>
      <c r="V67" s="30" t="s">
        <v>96</v>
      </c>
      <c r="W67" s="50">
        <v>0</v>
      </c>
    </row>
    <row r="68" spans="2:23" ht="15.75" thickBot="1">
      <c r="B68" s="28" t="s">
        <v>70</v>
      </c>
      <c r="C68" s="34">
        <v>261774</v>
      </c>
      <c r="D68" s="34">
        <v>296388</v>
      </c>
      <c r="E68" s="34">
        <v>915458</v>
      </c>
      <c r="F68" s="34">
        <v>905657</v>
      </c>
      <c r="G68" s="34">
        <v>658753</v>
      </c>
      <c r="H68" s="34">
        <v>253240</v>
      </c>
      <c r="I68" s="34">
        <v>891741</v>
      </c>
      <c r="J68" s="34">
        <v>996429</v>
      </c>
      <c r="K68" s="34">
        <v>699886</v>
      </c>
      <c r="L68" s="34">
        <v>380411</v>
      </c>
      <c r="M68" s="34">
        <v>1139903</v>
      </c>
      <c r="N68" s="34">
        <v>1105652</v>
      </c>
      <c r="O68" s="275">
        <v>805410</v>
      </c>
      <c r="P68" s="64">
        <f t="shared" ref="P68" si="14">SUM(P61:P67)</f>
        <v>343632</v>
      </c>
      <c r="Q68" s="64">
        <f t="shared" ref="Q68" si="15">SUM(Q61:Q67)</f>
        <v>1805532</v>
      </c>
      <c r="R68" s="64">
        <v>1945401</v>
      </c>
      <c r="S68" s="64">
        <f t="shared" ref="S68" si="16">SUM(S61:S67)</f>
        <v>1281550</v>
      </c>
      <c r="T68" s="64">
        <f t="shared" ref="T68" si="17">SUM(T61:T67)</f>
        <v>420714</v>
      </c>
      <c r="V68" s="28" t="s">
        <v>70</v>
      </c>
      <c r="W68" s="64">
        <v>1285799</v>
      </c>
    </row>
    <row r="69" spans="2:23" ht="15.75" thickBot="1">
      <c r="B69" s="41" t="s">
        <v>71</v>
      </c>
      <c r="C69" s="42"/>
      <c r="D69" s="42"/>
      <c r="E69" s="42"/>
      <c r="F69" s="42"/>
      <c r="G69" s="42"/>
      <c r="H69" s="42"/>
      <c r="I69" s="42"/>
      <c r="J69" s="42"/>
      <c r="K69" s="42"/>
      <c r="L69" s="42"/>
      <c r="M69" s="42"/>
      <c r="N69" s="42"/>
      <c r="O69" s="280"/>
      <c r="P69" s="72"/>
      <c r="Q69" s="72"/>
      <c r="R69" s="72">
        <v>0</v>
      </c>
      <c r="S69" s="72"/>
      <c r="T69" s="738"/>
      <c r="V69" s="41" t="s">
        <v>71</v>
      </c>
      <c r="W69" s="738">
        <v>0</v>
      </c>
    </row>
    <row r="70" spans="2:23" ht="16.5" thickBot="1">
      <c r="B70" s="30" t="s">
        <v>63</v>
      </c>
      <c r="C70" s="31">
        <v>2084431</v>
      </c>
      <c r="D70" s="31">
        <v>3814421</v>
      </c>
      <c r="E70" s="31">
        <v>3767433</v>
      </c>
      <c r="F70" s="31">
        <v>3767688</v>
      </c>
      <c r="G70" s="31">
        <v>4220042</v>
      </c>
      <c r="H70" s="31">
        <v>4382795</v>
      </c>
      <c r="I70" s="31">
        <v>4490811</v>
      </c>
      <c r="J70" s="31">
        <v>4239362</v>
      </c>
      <c r="K70" s="31">
        <v>4217812</v>
      </c>
      <c r="L70" s="31">
        <v>4461883</v>
      </c>
      <c r="M70" s="31">
        <v>4495967</v>
      </c>
      <c r="N70" s="31">
        <v>4727877</v>
      </c>
      <c r="O70" s="273">
        <v>4992611</v>
      </c>
      <c r="P70" s="61">
        <v>4670715</v>
      </c>
      <c r="Q70" s="61">
        <v>4655386</v>
      </c>
      <c r="R70" s="61">
        <v>4522584</v>
      </c>
      <c r="S70" s="61">
        <v>4506824</v>
      </c>
      <c r="T70" s="61">
        <v>4620915</v>
      </c>
      <c r="V70" s="30" t="s">
        <v>63</v>
      </c>
      <c r="W70" s="61">
        <v>4549201</v>
      </c>
    </row>
    <row r="71" spans="2:23" ht="16.5" thickBot="1">
      <c r="B71" s="30" t="s">
        <v>64</v>
      </c>
      <c r="C71" s="31">
        <v>4568</v>
      </c>
      <c r="D71" s="31">
        <v>8099</v>
      </c>
      <c r="E71" s="31">
        <v>3006</v>
      </c>
      <c r="F71" s="31">
        <v>3011</v>
      </c>
      <c r="G71" s="31">
        <v>5901</v>
      </c>
      <c r="H71" s="31">
        <v>5465</v>
      </c>
      <c r="I71" s="31">
        <v>5398</v>
      </c>
      <c r="J71" s="31">
        <v>5995</v>
      </c>
      <c r="K71" s="31">
        <v>5744</v>
      </c>
      <c r="L71" s="31">
        <v>12490</v>
      </c>
      <c r="M71" s="31">
        <v>12244</v>
      </c>
      <c r="N71" s="31">
        <v>11939</v>
      </c>
      <c r="O71" s="273">
        <v>15120</v>
      </c>
      <c r="P71" s="61">
        <v>13377</v>
      </c>
      <c r="Q71" s="61">
        <v>13247</v>
      </c>
      <c r="R71" s="61">
        <v>13716</v>
      </c>
      <c r="S71" s="61">
        <v>12055</v>
      </c>
      <c r="T71" s="61">
        <v>9618</v>
      </c>
      <c r="V71" s="30" t="s">
        <v>64</v>
      </c>
      <c r="W71" s="61">
        <v>262005</v>
      </c>
    </row>
    <row r="72" spans="2:23" ht="16.5" thickBot="1">
      <c r="B72" s="30" t="s">
        <v>72</v>
      </c>
      <c r="C72" s="31">
        <v>288768</v>
      </c>
      <c r="D72" s="31">
        <v>300346</v>
      </c>
      <c r="E72" s="31">
        <v>303034</v>
      </c>
      <c r="F72" s="31">
        <v>305600</v>
      </c>
      <c r="G72" s="31">
        <v>308142</v>
      </c>
      <c r="H72" s="31">
        <v>310675</v>
      </c>
      <c r="I72" s="31">
        <v>313280</v>
      </c>
      <c r="J72" s="31">
        <v>315901</v>
      </c>
      <c r="K72" s="31">
        <v>318585</v>
      </c>
      <c r="L72" s="31">
        <v>321299</v>
      </c>
      <c r="M72" s="31">
        <v>324046</v>
      </c>
      <c r="N72" s="31">
        <v>326525</v>
      </c>
      <c r="O72" s="273">
        <v>328253</v>
      </c>
      <c r="P72" s="61">
        <v>329546</v>
      </c>
      <c r="Q72" s="61">
        <v>330971</v>
      </c>
      <c r="R72" s="61">
        <v>332440</v>
      </c>
      <c r="S72" s="61">
        <v>334002</v>
      </c>
      <c r="T72" s="61">
        <v>251182</v>
      </c>
      <c r="V72" s="30" t="s">
        <v>72</v>
      </c>
      <c r="W72" s="61">
        <v>0</v>
      </c>
    </row>
    <row r="73" spans="2:23" ht="16.5" thickBot="1">
      <c r="B73" s="30" t="s">
        <v>66</v>
      </c>
      <c r="C73" s="31">
        <v>211351</v>
      </c>
      <c r="D73" s="31">
        <v>223294</v>
      </c>
      <c r="E73" s="31">
        <v>229287</v>
      </c>
      <c r="F73" s="31">
        <v>231466</v>
      </c>
      <c r="G73" s="31">
        <v>235552</v>
      </c>
      <c r="H73" s="31">
        <v>226206</v>
      </c>
      <c r="I73" s="31">
        <v>230478</v>
      </c>
      <c r="J73" s="31">
        <v>234750</v>
      </c>
      <c r="K73" s="31">
        <v>239009</v>
      </c>
      <c r="L73" s="31">
        <v>234046</v>
      </c>
      <c r="M73" s="31">
        <v>237351</v>
      </c>
      <c r="N73" s="31">
        <v>239143</v>
      </c>
      <c r="O73" s="273">
        <v>241163</v>
      </c>
      <c r="P73" s="61">
        <v>241713</v>
      </c>
      <c r="Q73" s="61">
        <v>242734</v>
      </c>
      <c r="R73" s="61">
        <v>242824</v>
      </c>
      <c r="S73" s="61">
        <v>243374</v>
      </c>
      <c r="T73" s="61">
        <v>201185</v>
      </c>
      <c r="V73" s="30" t="s">
        <v>66</v>
      </c>
      <c r="W73" s="61">
        <v>202135</v>
      </c>
    </row>
    <row r="74" spans="2:23" ht="16.5" thickBot="1">
      <c r="B74" s="30" t="s">
        <v>67</v>
      </c>
      <c r="C74" s="31">
        <v>1549</v>
      </c>
      <c r="D74" s="31">
        <v>7026</v>
      </c>
      <c r="E74" s="31">
        <v>7019</v>
      </c>
      <c r="F74" s="31">
        <v>6925</v>
      </c>
      <c r="G74" s="31">
        <v>6850</v>
      </c>
      <c r="H74" s="31">
        <v>11054</v>
      </c>
      <c r="I74" s="31">
        <v>6548</v>
      </c>
      <c r="J74" s="31">
        <v>6548</v>
      </c>
      <c r="K74" s="31">
        <v>6547</v>
      </c>
      <c r="L74" s="31">
        <v>10131</v>
      </c>
      <c r="M74" s="31">
        <v>9956</v>
      </c>
      <c r="N74" s="31">
        <v>10118</v>
      </c>
      <c r="O74" s="273">
        <v>9947</v>
      </c>
      <c r="P74" s="61">
        <v>10007</v>
      </c>
      <c r="Q74" s="61">
        <v>8560</v>
      </c>
      <c r="R74" s="61">
        <v>8733</v>
      </c>
      <c r="S74" s="61">
        <v>8814</v>
      </c>
      <c r="T74" s="61">
        <v>19332</v>
      </c>
      <c r="V74" s="30" t="s">
        <v>67</v>
      </c>
      <c r="W74" s="61">
        <v>20878</v>
      </c>
    </row>
    <row r="75" spans="2:23" ht="16.5" thickBot="1">
      <c r="B75" s="30" t="s">
        <v>68</v>
      </c>
      <c r="C75" s="31">
        <v>209605</v>
      </c>
      <c r="D75" s="31">
        <v>191812</v>
      </c>
      <c r="E75" s="31">
        <v>187364</v>
      </c>
      <c r="F75" s="31">
        <v>182916</v>
      </c>
      <c r="G75" s="31">
        <v>178468</v>
      </c>
      <c r="H75" s="31">
        <v>173232</v>
      </c>
      <c r="I75" s="31">
        <v>169114</v>
      </c>
      <c r="J75" s="31">
        <v>164997</v>
      </c>
      <c r="K75" s="31">
        <v>160879</v>
      </c>
      <c r="L75" s="31">
        <v>158331</v>
      </c>
      <c r="M75" s="31">
        <v>154477</v>
      </c>
      <c r="N75" s="31">
        <v>151612</v>
      </c>
      <c r="O75" s="273">
        <v>147221</v>
      </c>
      <c r="P75" s="61">
        <v>143464</v>
      </c>
      <c r="Q75" s="61">
        <v>137901</v>
      </c>
      <c r="R75" s="61">
        <v>133793</v>
      </c>
      <c r="S75" s="61">
        <v>131806</v>
      </c>
      <c r="T75" s="61">
        <v>129420</v>
      </c>
      <c r="V75" s="30" t="s">
        <v>68</v>
      </c>
      <c r="W75" s="61">
        <v>125517</v>
      </c>
    </row>
    <row r="76" spans="2:23" ht="16.5" thickBot="1">
      <c r="B76" s="30" t="s">
        <v>97</v>
      </c>
      <c r="C76" s="31">
        <v>900352</v>
      </c>
      <c r="D76" s="31">
        <v>908995</v>
      </c>
      <c r="E76" s="31">
        <v>911922</v>
      </c>
      <c r="F76" s="31">
        <v>923989</v>
      </c>
      <c r="G76" s="31">
        <v>921376</v>
      </c>
      <c r="H76" s="31">
        <v>848216</v>
      </c>
      <c r="I76" s="31">
        <v>846041</v>
      </c>
      <c r="J76" s="31">
        <v>844589</v>
      </c>
      <c r="K76" s="31">
        <v>841597</v>
      </c>
      <c r="L76" s="31">
        <v>860525</v>
      </c>
      <c r="M76" s="31">
        <v>858780</v>
      </c>
      <c r="N76" s="31">
        <v>859174</v>
      </c>
      <c r="O76" s="273">
        <v>857158</v>
      </c>
      <c r="P76" s="61">
        <v>850437</v>
      </c>
      <c r="Q76" s="61">
        <v>845842</v>
      </c>
      <c r="R76" s="61">
        <v>861643</v>
      </c>
      <c r="S76" s="61">
        <v>1004630</v>
      </c>
      <c r="T76" s="61">
        <v>1051569</v>
      </c>
      <c r="V76" s="30" t="s">
        <v>97</v>
      </c>
      <c r="W76" s="61">
        <v>1056396</v>
      </c>
    </row>
    <row r="77" spans="2:23" ht="15.75" thickBot="1">
      <c r="B77" s="28" t="s">
        <v>73</v>
      </c>
      <c r="C77" s="34">
        <v>3700624</v>
      </c>
      <c r="D77" s="34">
        <v>5453993</v>
      </c>
      <c r="E77" s="34">
        <v>5409065</v>
      </c>
      <c r="F77" s="34">
        <v>5421595</v>
      </c>
      <c r="G77" s="34">
        <v>5876331</v>
      </c>
      <c r="H77" s="34">
        <v>5957643</v>
      </c>
      <c r="I77" s="34">
        <v>6061670</v>
      </c>
      <c r="J77" s="34">
        <v>5812142</v>
      </c>
      <c r="K77" s="34">
        <v>5790173</v>
      </c>
      <c r="L77" s="34">
        <v>6058705</v>
      </c>
      <c r="M77" s="34">
        <v>6092821</v>
      </c>
      <c r="N77" s="34">
        <v>6326388</v>
      </c>
      <c r="O77" s="275">
        <v>6591473</v>
      </c>
      <c r="P77" s="64">
        <f t="shared" ref="P77" si="18">SUM(P70:P76)</f>
        <v>6259259</v>
      </c>
      <c r="Q77" s="64">
        <f t="shared" ref="Q77" si="19">SUM(Q70:Q76)</f>
        <v>6234641</v>
      </c>
      <c r="R77" s="64">
        <v>6115733</v>
      </c>
      <c r="S77" s="64">
        <f t="shared" ref="S77" si="20">SUM(S70:S76)</f>
        <v>6241505</v>
      </c>
      <c r="T77" s="64">
        <f t="shared" ref="T77" si="21">SUM(T70:T76)</f>
        <v>6283221</v>
      </c>
      <c r="V77" s="28" t="s">
        <v>73</v>
      </c>
      <c r="W77" s="64">
        <v>6216132</v>
      </c>
    </row>
    <row r="78" spans="2:23" ht="15.75" thickBot="1">
      <c r="B78" s="35" t="s">
        <v>74</v>
      </c>
      <c r="C78" s="36">
        <v>3962398</v>
      </c>
      <c r="D78" s="36">
        <v>5750381</v>
      </c>
      <c r="E78" s="36">
        <v>6324523</v>
      </c>
      <c r="F78" s="36">
        <v>6327252</v>
      </c>
      <c r="G78" s="36">
        <v>6535084</v>
      </c>
      <c r="H78" s="36">
        <v>6210883</v>
      </c>
      <c r="I78" s="36">
        <v>6953411</v>
      </c>
      <c r="J78" s="36">
        <v>6808571</v>
      </c>
      <c r="K78" s="36">
        <v>6490059</v>
      </c>
      <c r="L78" s="36">
        <v>6439116</v>
      </c>
      <c r="M78" s="36">
        <v>7232724</v>
      </c>
      <c r="N78" s="36">
        <v>7432040</v>
      </c>
      <c r="O78" s="276">
        <v>7396883</v>
      </c>
      <c r="P78" s="66">
        <f t="shared" ref="P78:Q78" si="22">+P68+P77</f>
        <v>6602891</v>
      </c>
      <c r="Q78" s="66">
        <f t="shared" si="22"/>
        <v>8040173</v>
      </c>
      <c r="R78" s="66">
        <v>8061134</v>
      </c>
      <c r="S78" s="66">
        <f t="shared" ref="S78:T78" si="23">+S68+S77</f>
        <v>7523055</v>
      </c>
      <c r="T78" s="66">
        <f t="shared" si="23"/>
        <v>6703935</v>
      </c>
      <c r="V78" s="35" t="s">
        <v>74</v>
      </c>
      <c r="W78" s="66">
        <v>7501931</v>
      </c>
    </row>
    <row r="79" spans="2:23" ht="15.75" thickBot="1">
      <c r="B79" s="37"/>
      <c r="C79" s="38"/>
      <c r="D79" s="38"/>
      <c r="E79" s="38"/>
      <c r="F79" s="38"/>
      <c r="G79" s="38"/>
      <c r="H79" s="38"/>
      <c r="I79" s="38"/>
      <c r="J79" s="38"/>
      <c r="K79" s="38"/>
      <c r="L79" s="38"/>
      <c r="M79" s="38"/>
      <c r="N79" s="38"/>
      <c r="O79" s="277"/>
      <c r="P79" s="364"/>
      <c r="Q79" s="364"/>
      <c r="R79" s="364">
        <v>0</v>
      </c>
      <c r="S79" s="364"/>
      <c r="T79" s="739"/>
      <c r="V79" s="37"/>
      <c r="W79" s="739">
        <v>0</v>
      </c>
    </row>
    <row r="80" spans="2:23" ht="15.75" thickBot="1">
      <c r="B80" s="43" t="s">
        <v>75</v>
      </c>
      <c r="C80" s="42"/>
      <c r="D80" s="42"/>
      <c r="E80" s="42"/>
      <c r="F80" s="42"/>
      <c r="G80" s="42"/>
      <c r="H80" s="42"/>
      <c r="I80" s="42"/>
      <c r="J80" s="42"/>
      <c r="K80" s="42"/>
      <c r="L80" s="42"/>
      <c r="M80" s="42"/>
      <c r="N80" s="42"/>
      <c r="O80" s="280"/>
      <c r="P80" s="72"/>
      <c r="Q80" s="72"/>
      <c r="R80" s="72">
        <v>0</v>
      </c>
      <c r="S80" s="72"/>
      <c r="T80" s="738"/>
      <c r="V80" s="43" t="s">
        <v>75</v>
      </c>
      <c r="W80" s="738"/>
    </row>
    <row r="81" spans="1:23" ht="16.5" thickBot="1">
      <c r="B81" s="30" t="s">
        <v>76</v>
      </c>
      <c r="C81" s="31">
        <v>36916</v>
      </c>
      <c r="D81" s="31">
        <v>36916</v>
      </c>
      <c r="E81" s="31">
        <v>36916</v>
      </c>
      <c r="F81" s="31">
        <v>36916</v>
      </c>
      <c r="G81" s="31">
        <v>36916</v>
      </c>
      <c r="H81" s="31">
        <v>36916</v>
      </c>
      <c r="I81" s="31">
        <v>36916</v>
      </c>
      <c r="J81" s="31">
        <v>36916</v>
      </c>
      <c r="K81" s="31">
        <v>36916</v>
      </c>
      <c r="L81" s="31">
        <v>36916</v>
      </c>
      <c r="M81" s="31">
        <v>36916</v>
      </c>
      <c r="N81" s="31">
        <v>36916</v>
      </c>
      <c r="O81" s="273">
        <v>36916</v>
      </c>
      <c r="P81" s="61">
        <v>36916</v>
      </c>
      <c r="Q81" s="61">
        <v>36916</v>
      </c>
      <c r="R81" s="61">
        <v>36916</v>
      </c>
      <c r="S81" s="61">
        <v>36916</v>
      </c>
      <c r="T81" s="61">
        <v>36916</v>
      </c>
      <c r="V81" s="30" t="s">
        <v>76</v>
      </c>
      <c r="W81" s="61">
        <v>36916</v>
      </c>
    </row>
    <row r="82" spans="1:23" ht="16.5" thickBot="1">
      <c r="B82" s="30" t="s">
        <v>77</v>
      </c>
      <c r="C82" s="31">
        <v>1428128</v>
      </c>
      <c r="D82" s="31">
        <v>1428128</v>
      </c>
      <c r="E82" s="31">
        <v>1428128</v>
      </c>
      <c r="F82" s="31">
        <v>1428128</v>
      </c>
      <c r="G82" s="31">
        <v>1428128</v>
      </c>
      <c r="H82" s="31">
        <v>1428128</v>
      </c>
      <c r="I82" s="31">
        <v>1428128</v>
      </c>
      <c r="J82" s="31">
        <v>1428128</v>
      </c>
      <c r="K82" s="31">
        <v>1428128</v>
      </c>
      <c r="L82" s="31">
        <v>1428128</v>
      </c>
      <c r="M82" s="31">
        <v>1428128</v>
      </c>
      <c r="N82" s="31">
        <v>1428128</v>
      </c>
      <c r="O82" s="273">
        <v>1428128</v>
      </c>
      <c r="P82" s="61">
        <v>1428128</v>
      </c>
      <c r="Q82" s="61">
        <v>1428128</v>
      </c>
      <c r="R82" s="61">
        <v>1428128</v>
      </c>
      <c r="S82" s="61">
        <v>1428128</v>
      </c>
      <c r="T82" s="61">
        <v>1428128</v>
      </c>
      <c r="V82" s="30" t="s">
        <v>77</v>
      </c>
      <c r="W82" s="61">
        <v>1428128</v>
      </c>
    </row>
    <row r="83" spans="1:23" ht="16.5" thickBot="1">
      <c r="B83" s="30" t="s">
        <v>78</v>
      </c>
      <c r="C83" s="31">
        <v>1878709</v>
      </c>
      <c r="D83" s="31">
        <v>3585959</v>
      </c>
      <c r="E83" s="31">
        <v>4428306</v>
      </c>
      <c r="F83" s="31">
        <v>4428306</v>
      </c>
      <c r="G83" s="31">
        <v>4428306</v>
      </c>
      <c r="H83" s="31">
        <v>4428306</v>
      </c>
      <c r="I83" s="31">
        <v>5346023</v>
      </c>
      <c r="J83" s="31">
        <v>5346023</v>
      </c>
      <c r="K83" s="31">
        <v>5346023</v>
      </c>
      <c r="L83" s="31">
        <v>5346023</v>
      </c>
      <c r="M83" s="31">
        <v>6241845</v>
      </c>
      <c r="N83" s="31">
        <v>6241845</v>
      </c>
      <c r="O83" s="273">
        <v>6241845</v>
      </c>
      <c r="P83" s="61">
        <v>6241845</v>
      </c>
      <c r="Q83" s="61">
        <v>6861491</v>
      </c>
      <c r="R83" s="61">
        <v>6861491</v>
      </c>
      <c r="S83" s="61">
        <v>6861491</v>
      </c>
      <c r="T83" s="61">
        <v>6861491</v>
      </c>
      <c r="V83" s="30" t="s">
        <v>78</v>
      </c>
      <c r="W83" s="61">
        <v>7690798</v>
      </c>
    </row>
    <row r="84" spans="1:23" ht="16.5" thickBot="1">
      <c r="B84" s="30" t="s">
        <v>79</v>
      </c>
      <c r="C84" s="31">
        <v>3242453</v>
      </c>
      <c r="D84" s="31">
        <v>3242453</v>
      </c>
      <c r="E84" s="31">
        <v>3242453</v>
      </c>
      <c r="F84" s="31">
        <v>3242453</v>
      </c>
      <c r="G84" s="31">
        <v>3242453</v>
      </c>
      <c r="H84" s="31">
        <v>3236320</v>
      </c>
      <c r="I84" s="31">
        <v>3236320</v>
      </c>
      <c r="J84" s="31">
        <v>3236320</v>
      </c>
      <c r="K84" s="31">
        <v>3236320</v>
      </c>
      <c r="L84" s="31">
        <v>3236320</v>
      </c>
      <c r="M84" s="31">
        <v>3236320</v>
      </c>
      <c r="N84" s="31">
        <v>3236320</v>
      </c>
      <c r="O84" s="273">
        <v>3207681</v>
      </c>
      <c r="P84" s="61">
        <v>3236320</v>
      </c>
      <c r="Q84" s="61">
        <v>3236320</v>
      </c>
      <c r="R84" s="61">
        <v>3236320</v>
      </c>
      <c r="S84" s="61">
        <v>3236320</v>
      </c>
      <c r="T84" s="61">
        <v>3236320</v>
      </c>
      <c r="V84" s="30" t="s">
        <v>79</v>
      </c>
      <c r="W84" s="61">
        <v>3198135</v>
      </c>
    </row>
    <row r="85" spans="1:23" ht="16.5" thickBot="1">
      <c r="B85" s="30" t="s">
        <v>80</v>
      </c>
      <c r="C85" s="31">
        <v>2141460</v>
      </c>
      <c r="D85" s="31">
        <v>1442708</v>
      </c>
      <c r="E85" s="31">
        <v>298768</v>
      </c>
      <c r="F85" s="31">
        <v>532219</v>
      </c>
      <c r="G85" s="31">
        <v>946440</v>
      </c>
      <c r="H85" s="31">
        <v>1529155</v>
      </c>
      <c r="I85" s="31">
        <v>354319</v>
      </c>
      <c r="J85" s="31">
        <v>794601</v>
      </c>
      <c r="K85" s="31">
        <v>1201645</v>
      </c>
      <c r="L85" s="31">
        <v>1643505</v>
      </c>
      <c r="M85" s="31">
        <v>379700</v>
      </c>
      <c r="N85" s="31">
        <v>931307</v>
      </c>
      <c r="O85" s="273">
        <v>1412690</v>
      </c>
      <c r="P85" s="61">
        <v>2062950</v>
      </c>
      <c r="Q85" s="61">
        <v>507540</v>
      </c>
      <c r="R85" s="61">
        <v>1093020</v>
      </c>
      <c r="S85" s="61">
        <v>1213974</v>
      </c>
      <c r="T85" s="61">
        <v>1658959</v>
      </c>
      <c r="V85" s="30" t="s">
        <v>80</v>
      </c>
      <c r="W85" s="61">
        <v>427951</v>
      </c>
    </row>
    <row r="86" spans="1:23" ht="16.5" thickBot="1">
      <c r="B86" s="30" t="s">
        <v>81</v>
      </c>
      <c r="C86" s="31">
        <v>1150568</v>
      </c>
      <c r="D86" s="31">
        <v>1239964</v>
      </c>
      <c r="E86" s="31">
        <v>654755</v>
      </c>
      <c r="F86" s="31">
        <v>411701</v>
      </c>
      <c r="G86" s="31">
        <v>377230</v>
      </c>
      <c r="H86" s="31">
        <v>1234415</v>
      </c>
      <c r="I86" s="31">
        <v>1023601</v>
      </c>
      <c r="J86" s="31">
        <v>1090675</v>
      </c>
      <c r="K86" s="31">
        <v>1275494</v>
      </c>
      <c r="L86" s="31">
        <v>779923</v>
      </c>
      <c r="M86" s="31">
        <v>1451479</v>
      </c>
      <c r="N86" s="31">
        <v>527195</v>
      </c>
      <c r="O86" s="273">
        <v>910036</v>
      </c>
      <c r="P86" s="61">
        <v>194014</v>
      </c>
      <c r="Q86" s="61">
        <v>745958</v>
      </c>
      <c r="R86" s="61">
        <v>1288755</v>
      </c>
      <c r="S86" s="61">
        <f>984049-1</f>
        <v>984048</v>
      </c>
      <c r="T86" s="61">
        <v>1167819</v>
      </c>
      <c r="V86" s="30" t="s">
        <v>81</v>
      </c>
      <c r="W86" s="61">
        <v>1562603</v>
      </c>
    </row>
    <row r="87" spans="1:23" ht="15.75" thickBot="1">
      <c r="B87" s="28" t="s">
        <v>84</v>
      </c>
      <c r="C87" s="34">
        <v>9878234</v>
      </c>
      <c r="D87" s="34">
        <v>10976128</v>
      </c>
      <c r="E87" s="34">
        <v>10089326</v>
      </c>
      <c r="F87" s="34">
        <v>10079723</v>
      </c>
      <c r="G87" s="34">
        <v>10459473</v>
      </c>
      <c r="H87" s="34">
        <v>11893240</v>
      </c>
      <c r="I87" s="34">
        <f>SUM(I81:I86)</f>
        <v>11425307</v>
      </c>
      <c r="J87" s="34">
        <f>SUM(J81:J86)</f>
        <v>11932663</v>
      </c>
      <c r="K87" s="34">
        <f>SUM(K81:K86)</f>
        <v>12524526</v>
      </c>
      <c r="L87" s="34">
        <v>12470815</v>
      </c>
      <c r="M87" s="34">
        <v>12774388</v>
      </c>
      <c r="N87" s="34">
        <v>12401711</v>
      </c>
      <c r="O87" s="275">
        <v>13237296</v>
      </c>
      <c r="P87" s="64">
        <f t="shared" ref="P87" si="24">SUM(P81:P86)</f>
        <v>13200173</v>
      </c>
      <c r="Q87" s="64">
        <f t="shared" ref="Q87" si="25">SUM(Q81:Q86)</f>
        <v>12816353</v>
      </c>
      <c r="R87" s="64">
        <v>13944630</v>
      </c>
      <c r="S87" s="64">
        <f t="shared" ref="S87" si="26">SUM(S81:S86)</f>
        <v>13760877</v>
      </c>
      <c r="T87" s="64">
        <f t="shared" ref="T87" si="27">SUM(T81:T86)</f>
        <v>14389633</v>
      </c>
      <c r="V87" s="28" t="s">
        <v>84</v>
      </c>
      <c r="W87" s="64">
        <v>14344531</v>
      </c>
    </row>
    <row r="88" spans="1:23" ht="15.75" thickBot="1">
      <c r="B88" s="47" t="s">
        <v>85</v>
      </c>
      <c r="C88" s="36">
        <v>13840632</v>
      </c>
      <c r="D88" s="36">
        <v>16726509</v>
      </c>
      <c r="E88" s="36">
        <v>16413849</v>
      </c>
      <c r="F88" s="36">
        <v>16406975</v>
      </c>
      <c r="G88" s="36">
        <v>16994557</v>
      </c>
      <c r="H88" s="36">
        <v>18104123</v>
      </c>
      <c r="I88" s="36">
        <f>+I87+I788</f>
        <v>11425307</v>
      </c>
      <c r="J88" s="36">
        <f>+J87+J788</f>
        <v>11932663</v>
      </c>
      <c r="K88" s="36">
        <f>+K87+K788</f>
        <v>12524526</v>
      </c>
      <c r="L88" s="36">
        <v>18909931</v>
      </c>
      <c r="M88" s="36">
        <v>20007112</v>
      </c>
      <c r="N88" s="36">
        <v>19833751</v>
      </c>
      <c r="O88" s="276">
        <v>20634179</v>
      </c>
      <c r="P88" s="66">
        <f t="shared" ref="P88:Q88" si="28">+P78+P87</f>
        <v>19803064</v>
      </c>
      <c r="Q88" s="66">
        <f t="shared" si="28"/>
        <v>20856526</v>
      </c>
      <c r="R88" s="66">
        <v>22005764</v>
      </c>
      <c r="S88" s="66">
        <f t="shared" ref="S88:T88" si="29">+S78+S87</f>
        <v>21283932</v>
      </c>
      <c r="T88" s="66">
        <f t="shared" si="29"/>
        <v>21093568</v>
      </c>
      <c r="V88" s="47" t="s">
        <v>85</v>
      </c>
      <c r="W88" s="66">
        <v>21846462</v>
      </c>
    </row>
    <row r="89" spans="1:23" ht="15.75">
      <c r="B89" s="8"/>
      <c r="C89" s="48">
        <f>+C57-C78-C87</f>
        <v>0</v>
      </c>
      <c r="D89" s="48">
        <f t="shared" ref="D89:N89" si="30">+D57-D78-D87</f>
        <v>0</v>
      </c>
      <c r="E89" s="48">
        <f t="shared" si="30"/>
        <v>0</v>
      </c>
      <c r="F89" s="48">
        <f t="shared" si="30"/>
        <v>0</v>
      </c>
      <c r="G89" s="48">
        <f t="shared" si="30"/>
        <v>0</v>
      </c>
      <c r="H89" s="48">
        <f t="shared" si="30"/>
        <v>0</v>
      </c>
      <c r="I89" s="48">
        <f>+I57-I78-I87</f>
        <v>0</v>
      </c>
      <c r="J89" s="48">
        <f t="shared" si="30"/>
        <v>0</v>
      </c>
      <c r="K89" s="48">
        <f t="shared" si="30"/>
        <v>0</v>
      </c>
      <c r="L89" s="48">
        <f t="shared" si="30"/>
        <v>0</v>
      </c>
      <c r="M89" s="48">
        <f t="shared" si="30"/>
        <v>0</v>
      </c>
      <c r="N89" s="48">
        <f t="shared" si="30"/>
        <v>0</v>
      </c>
      <c r="O89" s="281">
        <v>0</v>
      </c>
      <c r="P89" s="281">
        <v>0</v>
      </c>
      <c r="Q89" s="188">
        <f t="shared" ref="Q89" si="31">+Q88-Q57</f>
        <v>0</v>
      </c>
      <c r="R89" s="281">
        <v>0</v>
      </c>
      <c r="S89" s="281"/>
      <c r="T89" s="188">
        <f t="shared" ref="T89" si="32">+T88-T57</f>
        <v>0</v>
      </c>
    </row>
    <row r="90" spans="1:23" ht="15.75">
      <c r="C90" s="101">
        <f>+C26-C85</f>
        <v>0</v>
      </c>
      <c r="D90" s="101">
        <f t="shared" ref="D90:M90" si="33">+D26-D85</f>
        <v>0</v>
      </c>
      <c r="E90" s="101">
        <f t="shared" si="33"/>
        <v>0</v>
      </c>
      <c r="F90" s="101">
        <f>+F26+E26-F85</f>
        <v>0</v>
      </c>
      <c r="G90" s="101">
        <f>+G26+F26+E26-G85</f>
        <v>0</v>
      </c>
      <c r="H90" s="101">
        <f>+H26+G26+F26+E26-H85</f>
        <v>0</v>
      </c>
      <c r="I90" s="101">
        <f t="shared" si="33"/>
        <v>0</v>
      </c>
      <c r="J90" s="101">
        <f>+J26+I26-J85</f>
        <v>0</v>
      </c>
      <c r="K90" s="101">
        <f>+K26+J26+I26-K85</f>
        <v>0</v>
      </c>
      <c r="L90" s="101">
        <f>+L26+K26+J26+I26-L85</f>
        <v>0</v>
      </c>
      <c r="M90" s="101">
        <f t="shared" si="33"/>
        <v>35517</v>
      </c>
      <c r="N90" s="101"/>
      <c r="O90" s="282"/>
      <c r="P90" s="101"/>
    </row>
    <row r="91" spans="1:23" ht="15.75">
      <c r="C91" s="61"/>
      <c r="D91" s="61"/>
      <c r="E91" s="61"/>
      <c r="F91" s="61"/>
      <c r="G91" s="61"/>
      <c r="H91" s="61"/>
      <c r="I91" s="61"/>
      <c r="J91" s="61"/>
      <c r="K91" s="61"/>
      <c r="L91" s="61"/>
      <c r="M91" s="61"/>
      <c r="N91" s="61"/>
      <c r="O91" s="283"/>
    </row>
    <row r="92" spans="1:23" ht="15.75">
      <c r="A92" s="155" t="s">
        <v>469</v>
      </c>
      <c r="B92" s="19" t="s">
        <v>98</v>
      </c>
      <c r="C92" s="102"/>
      <c r="D92" s="102"/>
      <c r="E92" s="102"/>
      <c r="F92" s="102"/>
      <c r="G92" s="102"/>
      <c r="H92" s="102"/>
      <c r="I92" s="102"/>
      <c r="J92" s="102"/>
      <c r="K92" s="102"/>
      <c r="L92" s="102"/>
      <c r="M92" s="102"/>
      <c r="N92" s="102"/>
      <c r="O92" s="102"/>
    </row>
    <row r="93" spans="1:23" ht="15.75">
      <c r="B93" s="21" t="s">
        <v>2</v>
      </c>
      <c r="C93" s="8"/>
      <c r="D93" s="8"/>
      <c r="E93" s="8"/>
      <c r="F93" s="8"/>
      <c r="G93" s="8"/>
      <c r="H93" s="8"/>
      <c r="I93" s="8"/>
      <c r="J93" s="8"/>
      <c r="K93" s="8"/>
      <c r="L93" s="8"/>
      <c r="M93" s="8"/>
      <c r="N93" s="8"/>
      <c r="O93" s="284"/>
    </row>
    <row r="94" spans="1:23" ht="15.75">
      <c r="B94" s="9"/>
      <c r="C94" s="9"/>
      <c r="D94" s="9"/>
      <c r="E94" s="9"/>
      <c r="F94" s="9"/>
      <c r="G94" s="9"/>
      <c r="H94" s="9"/>
      <c r="I94" s="9"/>
      <c r="J94" s="9"/>
      <c r="K94" s="9"/>
      <c r="L94" s="9"/>
      <c r="M94" s="9"/>
      <c r="N94" s="9"/>
      <c r="O94" s="9"/>
    </row>
    <row r="95" spans="1:23" s="51" customFormat="1" ht="15.75">
      <c r="B95" s="52"/>
      <c r="C95" s="49">
        <v>2016</v>
      </c>
      <c r="D95" s="49">
        <v>2017</v>
      </c>
      <c r="E95" s="49" t="s">
        <v>3</v>
      </c>
      <c r="F95" s="49" t="s">
        <v>4</v>
      </c>
      <c r="G95" s="49" t="s">
        <v>5</v>
      </c>
      <c r="H95" s="49" t="s">
        <v>6</v>
      </c>
      <c r="I95" s="49" t="s">
        <v>7</v>
      </c>
      <c r="J95" s="49" t="s">
        <v>8</v>
      </c>
      <c r="K95" s="49" t="s">
        <v>9</v>
      </c>
      <c r="L95" s="49" t="s">
        <v>10</v>
      </c>
      <c r="M95" s="49" t="s">
        <v>11</v>
      </c>
      <c r="N95" s="49" t="s">
        <v>12</v>
      </c>
      <c r="O95" s="266" t="s">
        <v>626</v>
      </c>
      <c r="P95" s="266" t="s">
        <v>958</v>
      </c>
      <c r="Q95" s="266" t="s">
        <v>1014</v>
      </c>
      <c r="R95" s="266" t="s">
        <v>1048</v>
      </c>
      <c r="S95" s="266" t="s">
        <v>1187</v>
      </c>
      <c r="T95" s="266" t="s">
        <v>1260</v>
      </c>
      <c r="U95" s="744"/>
      <c r="V95" s="787"/>
      <c r="W95" s="266" t="s">
        <v>1297</v>
      </c>
    </row>
    <row r="96" spans="1:23" ht="15.75">
      <c r="B96" s="10"/>
      <c r="C96" s="11"/>
      <c r="D96" s="11"/>
      <c r="E96" s="11"/>
      <c r="F96" s="11"/>
      <c r="G96" s="11"/>
      <c r="H96" s="11"/>
      <c r="I96" s="11"/>
      <c r="J96" s="11"/>
      <c r="K96" s="11"/>
      <c r="L96" s="11"/>
      <c r="M96" s="11"/>
      <c r="N96" s="11"/>
      <c r="O96" s="9"/>
      <c r="P96" s="135"/>
      <c r="V96" s="744"/>
      <c r="W96" s="744"/>
    </row>
    <row r="97" spans="2:23" ht="15.75">
      <c r="B97" s="12" t="s">
        <v>88</v>
      </c>
      <c r="C97" s="13">
        <v>1017608</v>
      </c>
      <c r="D97" s="13">
        <v>947816</v>
      </c>
      <c r="E97" s="13">
        <v>236187</v>
      </c>
      <c r="F97" s="13">
        <v>240267</v>
      </c>
      <c r="G97" s="13">
        <v>243982</v>
      </c>
      <c r="H97" s="13">
        <v>249792</v>
      </c>
      <c r="I97" s="13">
        <v>250666</v>
      </c>
      <c r="J97" s="13">
        <v>257791</v>
      </c>
      <c r="K97" s="13">
        <v>265674</v>
      </c>
      <c r="L97" s="13">
        <v>270754</v>
      </c>
      <c r="M97" s="13">
        <v>281949</v>
      </c>
      <c r="N97" s="13">
        <v>286133</v>
      </c>
      <c r="O97" s="285">
        <v>287343</v>
      </c>
      <c r="P97" s="285">
        <v>286898</v>
      </c>
      <c r="Q97" s="285">
        <v>291119</v>
      </c>
      <c r="R97" s="285">
        <v>307554</v>
      </c>
      <c r="S97" s="285">
        <v>319700</v>
      </c>
      <c r="T97" s="285">
        <v>360675</v>
      </c>
      <c r="V97" s="129" t="s">
        <v>1300</v>
      </c>
      <c r="W97" s="788">
        <v>393343.60997500003</v>
      </c>
    </row>
    <row r="98" spans="2:23" ht="15.75">
      <c r="B98" s="12" t="s">
        <v>484</v>
      </c>
      <c r="C98" s="13">
        <v>103748</v>
      </c>
      <c r="D98" s="13">
        <v>116537</v>
      </c>
      <c r="E98" s="13">
        <v>28712</v>
      </c>
      <c r="F98" s="13">
        <v>29431</v>
      </c>
      <c r="G98" s="13">
        <v>31229</v>
      </c>
      <c r="H98" s="13">
        <v>30633</v>
      </c>
      <c r="I98" s="13">
        <v>29501</v>
      </c>
      <c r="J98" s="13">
        <v>30517</v>
      </c>
      <c r="K98" s="13">
        <v>33076</v>
      </c>
      <c r="L98" s="13">
        <v>31313</v>
      </c>
      <c r="M98" s="13">
        <v>32691</v>
      </c>
      <c r="N98" s="13">
        <v>33338</v>
      </c>
      <c r="O98" s="285">
        <v>35723</v>
      </c>
      <c r="P98" s="285">
        <v>37807</v>
      </c>
      <c r="Q98" s="285">
        <v>35749</v>
      </c>
      <c r="R98" s="285">
        <v>36302</v>
      </c>
      <c r="S98" s="285">
        <v>38802</v>
      </c>
      <c r="T98" s="285">
        <v>39023</v>
      </c>
      <c r="V98" s="129" t="s">
        <v>1301</v>
      </c>
      <c r="W98" s="788">
        <v>42612.763305</v>
      </c>
    </row>
    <row r="99" spans="2:23" ht="15.75">
      <c r="B99" s="12" t="s">
        <v>99</v>
      </c>
      <c r="C99" s="13">
        <v>13564</v>
      </c>
      <c r="D99" s="13">
        <v>14655</v>
      </c>
      <c r="E99" s="13">
        <v>4037</v>
      </c>
      <c r="F99" s="13">
        <v>4771</v>
      </c>
      <c r="G99" s="13">
        <v>5463</v>
      </c>
      <c r="H99" s="13">
        <v>6263</v>
      </c>
      <c r="I99" s="13">
        <v>4507</v>
      </c>
      <c r="J99" s="13">
        <v>5088</v>
      </c>
      <c r="K99" s="13">
        <v>6103</v>
      </c>
      <c r="L99" s="13">
        <v>6957</v>
      </c>
      <c r="M99" s="13">
        <v>4849</v>
      </c>
      <c r="N99" s="13">
        <v>4212</v>
      </c>
      <c r="O99" s="285">
        <v>6011</v>
      </c>
      <c r="P99" s="460">
        <v>6520</v>
      </c>
      <c r="Q99" s="285">
        <v>5410</v>
      </c>
      <c r="R99" s="285">
        <v>6200</v>
      </c>
      <c r="S99" s="285">
        <v>6725</v>
      </c>
      <c r="T99" s="285">
        <v>9099</v>
      </c>
      <c r="V99" s="129" t="s">
        <v>1302</v>
      </c>
      <c r="W99" s="788">
        <v>5779.2175639999996</v>
      </c>
    </row>
    <row r="100" spans="2:23" ht="15.75">
      <c r="B100" s="12" t="s">
        <v>100</v>
      </c>
      <c r="C100" s="13">
        <v>5535</v>
      </c>
      <c r="D100" s="13">
        <v>5566</v>
      </c>
      <c r="E100" s="13">
        <v>1417</v>
      </c>
      <c r="F100" s="13">
        <v>1418</v>
      </c>
      <c r="G100" s="13">
        <v>1418</v>
      </c>
      <c r="H100" s="13">
        <v>1688</v>
      </c>
      <c r="I100" s="13">
        <v>1876</v>
      </c>
      <c r="J100" s="13">
        <v>1862</v>
      </c>
      <c r="K100" s="13">
        <v>1840</v>
      </c>
      <c r="L100" s="13">
        <v>1844</v>
      </c>
      <c r="M100" s="13">
        <v>1100</v>
      </c>
      <c r="N100" s="13">
        <v>2010</v>
      </c>
      <c r="O100" s="285">
        <v>1505</v>
      </c>
      <c r="P100" s="285">
        <v>1535</v>
      </c>
      <c r="Q100" s="285">
        <v>1560</v>
      </c>
      <c r="R100" s="285">
        <v>1560</v>
      </c>
      <c r="S100" s="285">
        <v>1562</v>
      </c>
      <c r="T100" s="285">
        <v>1579</v>
      </c>
      <c r="V100" s="129" t="s">
        <v>1303</v>
      </c>
      <c r="W100" s="788">
        <v>1842.7765079999999</v>
      </c>
    </row>
    <row r="101" spans="2:23" ht="15.75">
      <c r="B101" s="12" t="s">
        <v>22</v>
      </c>
      <c r="C101" s="13">
        <v>17730</v>
      </c>
      <c r="D101" s="13">
        <v>19144</v>
      </c>
      <c r="E101" s="13">
        <v>4127</v>
      </c>
      <c r="F101" s="13">
        <v>5694</v>
      </c>
      <c r="G101" s="13">
        <v>6555</v>
      </c>
      <c r="H101" s="13">
        <v>6652</v>
      </c>
      <c r="I101" s="13">
        <v>5184</v>
      </c>
      <c r="J101" s="13">
        <v>5827</v>
      </c>
      <c r="K101" s="13">
        <v>5445</v>
      </c>
      <c r="L101" s="13">
        <v>7489</v>
      </c>
      <c r="M101" s="13">
        <v>5693</v>
      </c>
      <c r="N101" s="13">
        <v>7000</v>
      </c>
      <c r="O101" s="285">
        <v>6344</v>
      </c>
      <c r="P101" s="285">
        <v>6663</v>
      </c>
      <c r="Q101" s="285">
        <v>6302</v>
      </c>
      <c r="R101" s="285">
        <v>7015</v>
      </c>
      <c r="S101" s="285">
        <v>6512</v>
      </c>
      <c r="T101" s="285">
        <v>8628</v>
      </c>
      <c r="V101" s="129" t="s">
        <v>1304</v>
      </c>
      <c r="W101" s="788">
        <v>7705.5847350000004</v>
      </c>
    </row>
    <row r="102" spans="2:23" ht="15.75">
      <c r="B102" s="12" t="s">
        <v>23</v>
      </c>
      <c r="C102" s="13">
        <v>1094702</v>
      </c>
      <c r="D102" s="13">
        <v>1054887</v>
      </c>
      <c r="E102" s="13">
        <v>262624</v>
      </c>
      <c r="F102" s="13">
        <v>269268</v>
      </c>
      <c r="G102" s="13">
        <v>275919</v>
      </c>
      <c r="H102" s="13">
        <v>283929</v>
      </c>
      <c r="I102" s="13">
        <v>279650</v>
      </c>
      <c r="J102" s="13">
        <v>287769</v>
      </c>
      <c r="K102" s="13">
        <v>302186</v>
      </c>
      <c r="L102" s="13">
        <v>305298</v>
      </c>
      <c r="M102" s="13">
        <v>312532</v>
      </c>
      <c r="N102" s="13">
        <v>316528</v>
      </c>
      <c r="O102" s="285">
        <v>322980</v>
      </c>
      <c r="P102" s="285">
        <v>330632</v>
      </c>
      <c r="Q102" s="285">
        <v>325388</v>
      </c>
      <c r="R102" s="285">
        <v>343138</v>
      </c>
      <c r="S102" s="285">
        <v>357680</v>
      </c>
      <c r="T102" s="285">
        <v>405799</v>
      </c>
      <c r="V102" s="129" t="s">
        <v>1305</v>
      </c>
      <c r="W102" s="788">
        <v>431807.54219300003</v>
      </c>
    </row>
    <row r="103" spans="2:23" ht="15.75">
      <c r="B103" s="16" t="s">
        <v>92</v>
      </c>
      <c r="C103" s="17">
        <v>63483</v>
      </c>
      <c r="D103" s="17">
        <v>48831</v>
      </c>
      <c r="E103" s="17">
        <v>11856</v>
      </c>
      <c r="F103" s="17">
        <v>12313</v>
      </c>
      <c r="G103" s="17">
        <v>12728</v>
      </c>
      <c r="H103" s="17">
        <v>11099</v>
      </c>
      <c r="I103" s="17">
        <v>12084</v>
      </c>
      <c r="J103" s="17">
        <v>13316</v>
      </c>
      <c r="K103" s="17">
        <v>9952</v>
      </c>
      <c r="L103" s="17">
        <v>13059</v>
      </c>
      <c r="M103" s="17">
        <v>13750</v>
      </c>
      <c r="N103" s="17">
        <v>16165</v>
      </c>
      <c r="O103" s="286">
        <v>13946</v>
      </c>
      <c r="P103" s="286">
        <v>8791</v>
      </c>
      <c r="Q103" s="286">
        <v>14752</v>
      </c>
      <c r="R103" s="286">
        <v>15491</v>
      </c>
      <c r="S103" s="286">
        <v>15621</v>
      </c>
      <c r="T103" s="286">
        <f>+SUM(T97:T101)-T102</f>
        <v>13205</v>
      </c>
      <c r="V103" s="129" t="s">
        <v>1032</v>
      </c>
      <c r="W103" s="788">
        <v>1129.4228969999999</v>
      </c>
    </row>
    <row r="104" spans="2:23" ht="15.75">
      <c r="B104" s="10"/>
      <c r="C104" s="11"/>
      <c r="D104" s="11"/>
      <c r="E104" s="11"/>
      <c r="F104" s="11"/>
      <c r="G104" s="11"/>
      <c r="H104" s="11"/>
      <c r="I104" s="11"/>
      <c r="J104" s="11"/>
      <c r="K104" s="11"/>
      <c r="L104" s="11"/>
      <c r="M104" s="11"/>
      <c r="N104" s="11"/>
      <c r="O104" s="9"/>
      <c r="P104" s="9"/>
      <c r="Q104" s="9"/>
      <c r="R104" s="9"/>
      <c r="S104" s="9"/>
      <c r="T104" s="745"/>
      <c r="V104" s="227" t="s">
        <v>1298</v>
      </c>
      <c r="W104" s="789">
        <v>18346.986996999982</v>
      </c>
    </row>
    <row r="105" spans="2:23" ht="15.75">
      <c r="B105" s="12" t="s">
        <v>1032</v>
      </c>
      <c r="C105" s="13">
        <v>20860</v>
      </c>
      <c r="D105" s="13">
        <v>6255</v>
      </c>
      <c r="E105" s="13">
        <v>786</v>
      </c>
      <c r="F105" s="13">
        <v>776</v>
      </c>
      <c r="G105" s="13">
        <v>1529</v>
      </c>
      <c r="H105" s="13">
        <v>380</v>
      </c>
      <c r="I105" s="13">
        <v>699</v>
      </c>
      <c r="J105" s="13">
        <v>856</v>
      </c>
      <c r="K105" s="13">
        <v>1047</v>
      </c>
      <c r="L105" s="13">
        <v>-21</v>
      </c>
      <c r="M105" s="13">
        <v>1031</v>
      </c>
      <c r="N105" s="13">
        <v>711</v>
      </c>
      <c r="O105" s="285">
        <v>943</v>
      </c>
      <c r="P105" s="285">
        <v>-3416</v>
      </c>
      <c r="Q105" s="285">
        <v>1273</v>
      </c>
      <c r="R105" s="285">
        <v>1121</v>
      </c>
      <c r="S105" s="285">
        <v>38</v>
      </c>
      <c r="T105" s="285">
        <f>-1936</f>
        <v>-1936</v>
      </c>
      <c r="V105" s="790"/>
      <c r="W105" s="788"/>
    </row>
    <row r="106" spans="2:23" ht="15.75">
      <c r="B106" s="12" t="s">
        <v>27</v>
      </c>
      <c r="C106" s="13">
        <v>0</v>
      </c>
      <c r="D106" s="13">
        <v>0</v>
      </c>
      <c r="E106" s="13">
        <v>0</v>
      </c>
      <c r="F106" s="13">
        <v>0</v>
      </c>
      <c r="G106" s="13">
        <v>0</v>
      </c>
      <c r="H106" s="13">
        <v>0</v>
      </c>
      <c r="I106" s="13">
        <v>0</v>
      </c>
      <c r="J106" s="13">
        <v>0</v>
      </c>
      <c r="K106" s="13">
        <v>0</v>
      </c>
      <c r="L106" s="13">
        <v>0</v>
      </c>
      <c r="M106" s="13">
        <v>0</v>
      </c>
      <c r="N106" s="13">
        <v>0</v>
      </c>
      <c r="O106" s="285">
        <v>0</v>
      </c>
      <c r="P106" s="285" t="s">
        <v>962</v>
      </c>
      <c r="Q106" s="285" t="s">
        <v>1031</v>
      </c>
      <c r="R106" s="285" t="s">
        <v>1031</v>
      </c>
      <c r="S106" s="285" t="s">
        <v>1031</v>
      </c>
      <c r="T106" s="285">
        <v>0</v>
      </c>
      <c r="V106" s="129" t="s">
        <v>1306</v>
      </c>
      <c r="W106" s="788">
        <v>0</v>
      </c>
    </row>
    <row r="107" spans="2:23" ht="15.75">
      <c r="B107" s="12" t="s">
        <v>1033</v>
      </c>
      <c r="C107" s="13">
        <v>778</v>
      </c>
      <c r="D107" s="13">
        <v>1175</v>
      </c>
      <c r="E107" s="13">
        <v>293</v>
      </c>
      <c r="F107" s="13">
        <v>299</v>
      </c>
      <c r="G107" s="13">
        <v>358</v>
      </c>
      <c r="H107" s="13">
        <v>438</v>
      </c>
      <c r="I107" s="13">
        <v>308</v>
      </c>
      <c r="J107" s="13">
        <v>302</v>
      </c>
      <c r="K107" s="13">
        <v>1921</v>
      </c>
      <c r="L107" s="13">
        <v>350</v>
      </c>
      <c r="M107" s="13">
        <v>316</v>
      </c>
      <c r="N107" s="13">
        <v>-1220</v>
      </c>
      <c r="O107" s="285">
        <v>197</v>
      </c>
      <c r="P107" s="285">
        <v>-23</v>
      </c>
      <c r="Q107" s="285">
        <v>497</v>
      </c>
      <c r="R107" s="285">
        <v>352</v>
      </c>
      <c r="S107" s="285">
        <v>185</v>
      </c>
      <c r="T107" s="285">
        <v>320</v>
      </c>
      <c r="V107" s="129" t="s">
        <v>1033</v>
      </c>
      <c r="W107" s="788">
        <v>418.43349899999998</v>
      </c>
    </row>
    <row r="108" spans="2:23" ht="15.75">
      <c r="B108" s="16" t="s">
        <v>29</v>
      </c>
      <c r="C108" s="18">
        <v>43401</v>
      </c>
      <c r="D108" s="18">
        <v>43751</v>
      </c>
      <c r="E108" s="18">
        <v>11363</v>
      </c>
      <c r="F108" s="18">
        <v>11836</v>
      </c>
      <c r="G108" s="18">
        <v>11557</v>
      </c>
      <c r="H108" s="18">
        <v>11157</v>
      </c>
      <c r="I108" s="18">
        <v>11693</v>
      </c>
      <c r="J108" s="18">
        <v>12762</v>
      </c>
      <c r="K108" s="18">
        <v>10826</v>
      </c>
      <c r="L108" s="18">
        <v>13430</v>
      </c>
      <c r="M108" s="18">
        <v>13035</v>
      </c>
      <c r="N108" s="18">
        <v>14234</v>
      </c>
      <c r="O108" s="287">
        <v>13200</v>
      </c>
      <c r="P108" s="287">
        <v>12184</v>
      </c>
      <c r="Q108" s="287">
        <v>13976</v>
      </c>
      <c r="R108" s="287">
        <v>14722</v>
      </c>
      <c r="S108" s="287">
        <v>223</v>
      </c>
      <c r="T108" s="287">
        <v>15461</v>
      </c>
      <c r="V108" s="130" t="s">
        <v>1307</v>
      </c>
      <c r="W108" s="789">
        <v>18765.420495999981</v>
      </c>
    </row>
    <row r="109" spans="2:23" ht="15.75">
      <c r="B109" s="12"/>
      <c r="C109" s="13"/>
      <c r="D109" s="13"/>
      <c r="E109" s="13"/>
      <c r="F109" s="13"/>
      <c r="G109" s="13"/>
      <c r="H109" s="13"/>
      <c r="I109" s="13"/>
      <c r="J109" s="13"/>
      <c r="K109" s="13"/>
      <c r="L109" s="13"/>
      <c r="M109" s="13"/>
      <c r="N109" s="13"/>
      <c r="O109" s="285"/>
      <c r="P109" s="285"/>
      <c r="Q109" s="285"/>
      <c r="R109" s="285"/>
      <c r="S109" s="285">
        <v>0</v>
      </c>
      <c r="T109" s="285"/>
      <c r="V109" s="790"/>
      <c r="W109" s="788"/>
    </row>
    <row r="110" spans="2:23" ht="15.75">
      <c r="B110" s="12" t="s">
        <v>30</v>
      </c>
      <c r="C110" s="13">
        <v>236</v>
      </c>
      <c r="D110" s="13">
        <v>-1324</v>
      </c>
      <c r="E110" s="13">
        <v>-470</v>
      </c>
      <c r="F110" s="13">
        <v>-1010</v>
      </c>
      <c r="G110" s="13">
        <v>-442</v>
      </c>
      <c r="H110" s="13">
        <v>-246</v>
      </c>
      <c r="I110" s="13">
        <v>-725</v>
      </c>
      <c r="J110" s="13">
        <v>-1309</v>
      </c>
      <c r="K110" s="13">
        <v>207</v>
      </c>
      <c r="L110" s="13">
        <v>-1470</v>
      </c>
      <c r="M110" s="13">
        <v>-548</v>
      </c>
      <c r="N110" s="13">
        <v>-1022</v>
      </c>
      <c r="O110" s="285">
        <v>-255</v>
      </c>
      <c r="P110" s="285">
        <v>-188</v>
      </c>
      <c r="Q110" s="285">
        <v>-914</v>
      </c>
      <c r="R110" s="285">
        <v>-1205</v>
      </c>
      <c r="S110" s="285">
        <v>-1843</v>
      </c>
      <c r="T110" s="285">
        <v>508</v>
      </c>
      <c r="V110" s="129" t="s">
        <v>1308</v>
      </c>
      <c r="W110" s="788">
        <v>-797.62543500000004</v>
      </c>
    </row>
    <row r="111" spans="2:23" ht="15.75">
      <c r="B111" s="16" t="s">
        <v>31</v>
      </c>
      <c r="C111" s="18">
        <v>43637</v>
      </c>
      <c r="D111" s="18">
        <v>42427</v>
      </c>
      <c r="E111" s="18">
        <v>10893</v>
      </c>
      <c r="F111" s="18">
        <v>10826</v>
      </c>
      <c r="G111" s="18">
        <v>11115</v>
      </c>
      <c r="H111" s="18">
        <v>10911</v>
      </c>
      <c r="I111" s="18">
        <v>10968</v>
      </c>
      <c r="J111" s="18">
        <v>11453</v>
      </c>
      <c r="K111" s="18">
        <v>11033</v>
      </c>
      <c r="L111" s="18">
        <v>11960</v>
      </c>
      <c r="M111" s="18">
        <v>12487</v>
      </c>
      <c r="N111" s="18">
        <v>13212</v>
      </c>
      <c r="O111" s="287">
        <v>12945</v>
      </c>
      <c r="P111" s="287">
        <v>11996</v>
      </c>
      <c r="Q111" s="287">
        <v>13062</v>
      </c>
      <c r="R111" s="287">
        <v>13518</v>
      </c>
      <c r="S111" s="287">
        <v>14002</v>
      </c>
      <c r="T111" s="287">
        <v>15969</v>
      </c>
      <c r="V111" s="130" t="s">
        <v>1309</v>
      </c>
      <c r="W111" s="789">
        <v>17967.795060999979</v>
      </c>
    </row>
    <row r="112" spans="2:23" ht="15.75">
      <c r="B112" s="10"/>
      <c r="C112" s="11"/>
      <c r="D112" s="11"/>
      <c r="E112" s="11"/>
      <c r="F112" s="11"/>
      <c r="G112" s="11"/>
      <c r="H112" s="11"/>
      <c r="I112" s="11"/>
      <c r="J112" s="11"/>
      <c r="K112" s="11"/>
      <c r="L112" s="11"/>
      <c r="M112" s="11"/>
      <c r="N112" s="11"/>
      <c r="O112" s="9"/>
      <c r="P112" s="9"/>
      <c r="Q112" s="9"/>
      <c r="R112" s="9"/>
      <c r="S112" s="9"/>
      <c r="T112" s="745"/>
      <c r="V112" s="10"/>
      <c r="W112" s="788"/>
    </row>
    <row r="113" spans="1:23" ht="15.75">
      <c r="B113" s="12" t="s">
        <v>32</v>
      </c>
      <c r="C113" s="13">
        <v>20008</v>
      </c>
      <c r="D113" s="13">
        <v>18005</v>
      </c>
      <c r="E113" s="13">
        <v>4189</v>
      </c>
      <c r="F113" s="13">
        <v>2264</v>
      </c>
      <c r="G113" s="13">
        <v>4363</v>
      </c>
      <c r="H113" s="13">
        <v>6451</v>
      </c>
      <c r="I113" s="13">
        <v>3396</v>
      </c>
      <c r="J113" s="13">
        <v>4552</v>
      </c>
      <c r="K113" s="13">
        <v>2844</v>
      </c>
      <c r="L113" s="13">
        <v>1679</v>
      </c>
      <c r="M113" s="13">
        <v>3913</v>
      </c>
      <c r="N113" s="13">
        <v>8604</v>
      </c>
      <c r="O113" s="285">
        <v>4572</v>
      </c>
      <c r="P113" s="285">
        <v>4127</v>
      </c>
      <c r="Q113" s="285">
        <v>3992</v>
      </c>
      <c r="R113" s="285">
        <v>4622</v>
      </c>
      <c r="S113" s="285">
        <v>600</v>
      </c>
      <c r="T113" s="285">
        <v>9244</v>
      </c>
      <c r="V113" s="129" t="s">
        <v>1310</v>
      </c>
      <c r="W113" s="788">
        <v>6689.1911600000003</v>
      </c>
    </row>
    <row r="114" spans="1:23" ht="15.75">
      <c r="B114" s="16" t="s">
        <v>35</v>
      </c>
      <c r="C114" s="18">
        <v>23629</v>
      </c>
      <c r="D114" s="18">
        <v>24422</v>
      </c>
      <c r="E114" s="18">
        <v>6704</v>
      </c>
      <c r="F114" s="18">
        <v>8562</v>
      </c>
      <c r="G114" s="18">
        <v>6752</v>
      </c>
      <c r="H114" s="18">
        <v>4460</v>
      </c>
      <c r="I114" s="18">
        <v>7572</v>
      </c>
      <c r="J114" s="18">
        <v>6901</v>
      </c>
      <c r="K114" s="18">
        <v>8189</v>
      </c>
      <c r="L114" s="18">
        <v>10281</v>
      </c>
      <c r="M114" s="18">
        <v>8574</v>
      </c>
      <c r="N114" s="18">
        <v>4608</v>
      </c>
      <c r="O114" s="287">
        <v>8373</v>
      </c>
      <c r="P114" s="287">
        <v>7869</v>
      </c>
      <c r="Q114" s="287">
        <v>9070</v>
      </c>
      <c r="R114" s="287">
        <v>8896</v>
      </c>
      <c r="S114" s="287">
        <v>13402</v>
      </c>
      <c r="T114" s="287">
        <v>6724.5462039997365</v>
      </c>
      <c r="V114" s="130" t="s">
        <v>1311</v>
      </c>
      <c r="W114" s="789">
        <v>11278.603900999979</v>
      </c>
    </row>
    <row r="115" spans="1:23" ht="15.75">
      <c r="O115" s="265"/>
      <c r="T115" s="744"/>
      <c r="V115" s="790"/>
      <c r="W115" s="788"/>
    </row>
    <row r="116" spans="1:23" ht="15.75">
      <c r="O116" s="265"/>
      <c r="T116" s="744"/>
      <c r="V116" s="791" t="s">
        <v>1299</v>
      </c>
      <c r="W116" s="789">
        <v>18413</v>
      </c>
    </row>
    <row r="117" spans="1:23" ht="15.75">
      <c r="O117" s="265"/>
      <c r="T117" s="744"/>
    </row>
    <row r="118" spans="1:23">
      <c r="A118" s="155" t="s">
        <v>469</v>
      </c>
      <c r="B118" s="19" t="s">
        <v>466</v>
      </c>
      <c r="C118" s="8"/>
      <c r="D118" s="8"/>
      <c r="E118" s="8"/>
      <c r="F118" s="8"/>
      <c r="G118" s="8"/>
      <c r="H118" s="20"/>
      <c r="I118" s="20"/>
      <c r="J118" s="20"/>
      <c r="K118" s="20"/>
      <c r="L118" s="20"/>
      <c r="M118" s="20"/>
      <c r="N118" s="20"/>
      <c r="O118" s="267"/>
      <c r="T118" s="744"/>
    </row>
    <row r="119" spans="1:23">
      <c r="B119" s="21" t="s">
        <v>2</v>
      </c>
      <c r="C119" s="8"/>
      <c r="D119" s="8"/>
      <c r="E119" s="8"/>
      <c r="F119" s="8"/>
      <c r="G119" s="8"/>
      <c r="H119" s="22"/>
      <c r="I119" s="22"/>
      <c r="J119" s="22"/>
      <c r="K119" s="22"/>
      <c r="L119" s="22"/>
      <c r="M119" s="22"/>
      <c r="N119" s="53">
        <v>1000000</v>
      </c>
      <c r="O119" s="288"/>
      <c r="T119" s="744"/>
    </row>
    <row r="120" spans="1:23" ht="15.75">
      <c r="B120" s="23"/>
      <c r="C120" s="8"/>
      <c r="D120" s="8"/>
      <c r="E120" s="8"/>
      <c r="F120" s="8"/>
      <c r="G120" s="8"/>
      <c r="H120" s="23"/>
      <c r="I120" s="23"/>
      <c r="J120" s="23"/>
      <c r="K120" s="23"/>
      <c r="L120" s="23"/>
      <c r="M120" s="23"/>
      <c r="N120" s="8"/>
      <c r="O120" s="284"/>
      <c r="T120" s="744"/>
    </row>
    <row r="121" spans="1:23" ht="16.5" thickBot="1">
      <c r="B121" s="24"/>
      <c r="C121" s="25"/>
      <c r="D121" s="25"/>
      <c r="E121" s="25"/>
      <c r="F121" s="25"/>
      <c r="G121" s="25"/>
      <c r="H121" s="25"/>
      <c r="I121" s="25"/>
      <c r="J121" s="25"/>
      <c r="K121" s="25"/>
      <c r="L121" s="25"/>
      <c r="M121" s="25"/>
      <c r="N121" s="25"/>
      <c r="O121" s="270"/>
      <c r="P121" s="361" t="s">
        <v>963</v>
      </c>
      <c r="Q121" s="361"/>
      <c r="R121" s="361" t="s">
        <v>963</v>
      </c>
      <c r="S121" s="361"/>
      <c r="T121" s="361"/>
      <c r="V121" s="24"/>
      <c r="W121" s="266" t="s">
        <v>1292</v>
      </c>
    </row>
    <row r="122" spans="1:23" ht="16.5" thickBot="1">
      <c r="B122" s="26" t="s">
        <v>37</v>
      </c>
      <c r="C122" s="27"/>
      <c r="D122" s="27"/>
      <c r="E122" s="27"/>
      <c r="F122" s="27"/>
      <c r="G122" s="27"/>
      <c r="H122" s="27"/>
      <c r="I122" s="27"/>
      <c r="J122" s="27"/>
      <c r="K122" s="27"/>
      <c r="L122" s="27"/>
      <c r="M122" s="27"/>
      <c r="N122" s="26"/>
      <c r="O122" s="271"/>
      <c r="P122" s="362" t="s">
        <v>963</v>
      </c>
      <c r="Q122" s="362"/>
      <c r="R122" s="362" t="s">
        <v>963</v>
      </c>
      <c r="S122" s="362"/>
      <c r="T122" s="362"/>
      <c r="V122" s="26" t="s">
        <v>37</v>
      </c>
      <c r="W122" s="362"/>
    </row>
    <row r="123" spans="1:23" ht="16.5" thickBot="1">
      <c r="B123" s="28" t="s">
        <v>38</v>
      </c>
      <c r="C123" s="29"/>
      <c r="D123" s="29"/>
      <c r="E123" s="29"/>
      <c r="F123" s="29"/>
      <c r="G123" s="29"/>
      <c r="H123" s="29"/>
      <c r="I123" s="29"/>
      <c r="J123" s="29"/>
      <c r="K123" s="29"/>
      <c r="L123" s="29"/>
      <c r="M123" s="29"/>
      <c r="N123" s="29"/>
      <c r="O123" s="272"/>
      <c r="P123" s="363" t="s">
        <v>963</v>
      </c>
      <c r="Q123" s="363"/>
      <c r="R123" s="363" t="s">
        <v>963</v>
      </c>
      <c r="S123" s="363"/>
      <c r="T123" s="363"/>
      <c r="V123" s="28" t="s">
        <v>38</v>
      </c>
      <c r="W123" s="363"/>
    </row>
    <row r="124" spans="1:23" ht="16.5" thickBot="1">
      <c r="B124" s="30" t="s">
        <v>39</v>
      </c>
      <c r="C124" s="31">
        <v>23319</v>
      </c>
      <c r="D124" s="31">
        <v>9087</v>
      </c>
      <c r="E124" s="31">
        <v>2785</v>
      </c>
      <c r="F124" s="31">
        <v>22853</v>
      </c>
      <c r="G124" s="31">
        <v>15789</v>
      </c>
      <c r="H124" s="31">
        <v>6897</v>
      </c>
      <c r="I124" s="31">
        <v>19708</v>
      </c>
      <c r="J124" s="31">
        <v>14069</v>
      </c>
      <c r="K124" s="31">
        <v>19842</v>
      </c>
      <c r="L124" s="31">
        <v>15917</v>
      </c>
      <c r="M124" s="31">
        <v>27931</v>
      </c>
      <c r="N124" s="31">
        <v>28816</v>
      </c>
      <c r="O124" s="31">
        <v>13300</v>
      </c>
      <c r="P124" s="31">
        <v>24596</v>
      </c>
      <c r="Q124" s="31">
        <v>15080</v>
      </c>
      <c r="R124" s="31">
        <v>25221</v>
      </c>
      <c r="S124" s="31">
        <v>26043</v>
      </c>
      <c r="T124" s="31">
        <v>19490</v>
      </c>
      <c r="V124" s="30" t="s">
        <v>39</v>
      </c>
      <c r="W124" s="792">
        <v>12663</v>
      </c>
    </row>
    <row r="125" spans="1:23" ht="16.5" thickBot="1">
      <c r="B125" s="30" t="s">
        <v>40</v>
      </c>
      <c r="C125" s="31">
        <v>110464</v>
      </c>
      <c r="D125" s="31">
        <v>115144</v>
      </c>
      <c r="E125" s="31">
        <v>112904</v>
      </c>
      <c r="F125" s="31">
        <v>117435</v>
      </c>
      <c r="G125" s="31">
        <v>119858</v>
      </c>
      <c r="H125" s="31">
        <v>121770</v>
      </c>
      <c r="I125" s="31">
        <v>118333</v>
      </c>
      <c r="J125" s="31">
        <v>124432</v>
      </c>
      <c r="K125" s="31">
        <v>125586</v>
      </c>
      <c r="L125" s="31">
        <v>123153</v>
      </c>
      <c r="M125" s="31">
        <v>129153</v>
      </c>
      <c r="N125" s="31">
        <v>129965</v>
      </c>
      <c r="O125" s="31">
        <v>136029</v>
      </c>
      <c r="P125" s="31">
        <v>135302</v>
      </c>
      <c r="Q125" s="31">
        <v>135755</v>
      </c>
      <c r="R125" s="31">
        <v>139694</v>
      </c>
      <c r="S125" s="31">
        <v>148014</v>
      </c>
      <c r="T125" s="31">
        <v>170285</v>
      </c>
      <c r="V125" s="30" t="s">
        <v>40</v>
      </c>
      <c r="W125" s="793">
        <v>178658</v>
      </c>
    </row>
    <row r="126" spans="1:23" ht="16.5" thickBot="1">
      <c r="B126" s="30" t="s">
        <v>41</v>
      </c>
      <c r="C126" s="31">
        <v>13841</v>
      </c>
      <c r="D126" s="31">
        <v>14865</v>
      </c>
      <c r="E126" s="31">
        <v>20485</v>
      </c>
      <c r="F126" s="31">
        <v>32304</v>
      </c>
      <c r="G126" s="31">
        <v>21822</v>
      </c>
      <c r="H126" s="31">
        <v>8704</v>
      </c>
      <c r="I126" s="31">
        <v>17458</v>
      </c>
      <c r="J126" s="31">
        <v>19192</v>
      </c>
      <c r="K126" s="31">
        <v>23815</v>
      </c>
      <c r="L126" s="31">
        <v>14458</v>
      </c>
      <c r="M126" s="31">
        <v>18479</v>
      </c>
      <c r="N126" s="31">
        <v>16694</v>
      </c>
      <c r="O126" s="31">
        <v>10215</v>
      </c>
      <c r="P126" s="31">
        <v>456</v>
      </c>
      <c r="Q126" s="31">
        <v>4357</v>
      </c>
      <c r="R126" s="31">
        <v>12024</v>
      </c>
      <c r="S126" s="31">
        <v>15150</v>
      </c>
      <c r="T126" s="31">
        <v>214</v>
      </c>
      <c r="V126" s="30" t="s">
        <v>41</v>
      </c>
      <c r="W126" s="792">
        <v>3868</v>
      </c>
    </row>
    <row r="127" spans="1:23" ht="16.5" thickBot="1">
      <c r="B127" s="30" t="s">
        <v>42</v>
      </c>
      <c r="C127" s="31">
        <v>3633</v>
      </c>
      <c r="D127" s="31">
        <v>3534</v>
      </c>
      <c r="E127" s="31">
        <v>4103</v>
      </c>
      <c r="F127" s="31">
        <v>4237</v>
      </c>
      <c r="G127" s="31">
        <v>3991</v>
      </c>
      <c r="H127" s="31">
        <v>3702</v>
      </c>
      <c r="I127" s="31">
        <v>3585</v>
      </c>
      <c r="J127" s="31">
        <v>3171</v>
      </c>
      <c r="K127" s="31">
        <v>2788</v>
      </c>
      <c r="L127" s="31">
        <v>2569</v>
      </c>
      <c r="M127" s="31">
        <v>4123</v>
      </c>
      <c r="N127" s="31">
        <v>4010</v>
      </c>
      <c r="O127" s="31">
        <v>3514</v>
      </c>
      <c r="P127" s="31">
        <v>3532</v>
      </c>
      <c r="Q127" s="31">
        <v>3387</v>
      </c>
      <c r="R127" s="31">
        <v>2711</v>
      </c>
      <c r="S127" s="31">
        <v>4073</v>
      </c>
      <c r="T127" s="31">
        <v>3628</v>
      </c>
      <c r="V127" s="30" t="s">
        <v>42</v>
      </c>
      <c r="W127" s="793">
        <v>3194</v>
      </c>
    </row>
    <row r="128" spans="1:23" ht="16.5" thickBot="1">
      <c r="B128" s="30" t="s">
        <v>43</v>
      </c>
      <c r="C128" s="31">
        <v>3857</v>
      </c>
      <c r="D128" s="31">
        <v>4854</v>
      </c>
      <c r="E128" s="31">
        <v>8831</v>
      </c>
      <c r="F128" s="31">
        <v>6503</v>
      </c>
      <c r="G128" s="31">
        <v>7541</v>
      </c>
      <c r="H128" s="31">
        <v>5261</v>
      </c>
      <c r="I128" s="31">
        <v>8878</v>
      </c>
      <c r="J128" s="31">
        <v>6792</v>
      </c>
      <c r="K128" s="31">
        <v>8037</v>
      </c>
      <c r="L128" s="31">
        <v>6682</v>
      </c>
      <c r="M128" s="31">
        <v>9686</v>
      </c>
      <c r="N128" s="31">
        <v>8342</v>
      </c>
      <c r="O128" s="31">
        <v>16229</v>
      </c>
      <c r="P128" s="461" t="s">
        <v>1036</v>
      </c>
      <c r="Q128" s="31">
        <v>16383</v>
      </c>
      <c r="R128" s="31">
        <v>10199</v>
      </c>
      <c r="S128" s="31">
        <v>17538</v>
      </c>
      <c r="T128" s="31">
        <v>14192</v>
      </c>
      <c r="V128" s="30" t="s">
        <v>43</v>
      </c>
      <c r="W128" s="794">
        <v>25565</v>
      </c>
    </row>
    <row r="129" spans="2:23" ht="16.5" thickBot="1">
      <c r="B129" s="30" t="s">
        <v>44</v>
      </c>
      <c r="C129" s="31">
        <v>0</v>
      </c>
      <c r="D129" s="31">
        <v>0</v>
      </c>
      <c r="E129" s="31">
        <v>0</v>
      </c>
      <c r="F129" s="31">
        <v>0</v>
      </c>
      <c r="G129" s="31">
        <v>0</v>
      </c>
      <c r="H129" s="31">
        <v>0</v>
      </c>
      <c r="I129" s="31">
        <v>0</v>
      </c>
      <c r="J129" s="31">
        <v>0</v>
      </c>
      <c r="K129" s="31">
        <v>0</v>
      </c>
      <c r="L129" s="31">
        <v>0</v>
      </c>
      <c r="M129" s="31">
        <v>0</v>
      </c>
      <c r="N129" s="31">
        <v>0</v>
      </c>
      <c r="O129" s="31">
        <v>0</v>
      </c>
      <c r="P129" s="31" t="s">
        <v>962</v>
      </c>
      <c r="Q129" s="31" t="s">
        <v>1031</v>
      </c>
      <c r="R129" s="31" t="s">
        <v>1031</v>
      </c>
      <c r="S129" s="31">
        <v>0</v>
      </c>
      <c r="T129" s="31">
        <v>0</v>
      </c>
      <c r="V129" s="30" t="s">
        <v>44</v>
      </c>
      <c r="W129" s="795"/>
    </row>
    <row r="130" spans="2:23" ht="16.5" thickBot="1">
      <c r="B130" s="32" t="s">
        <v>45</v>
      </c>
      <c r="C130" s="33">
        <v>155114</v>
      </c>
      <c r="D130" s="33">
        <v>147484</v>
      </c>
      <c r="E130" s="33">
        <v>149108</v>
      </c>
      <c r="F130" s="33">
        <v>183332</v>
      </c>
      <c r="G130" s="33">
        <v>169001</v>
      </c>
      <c r="H130" s="33">
        <v>146334</v>
      </c>
      <c r="I130" s="33">
        <v>167962</v>
      </c>
      <c r="J130" s="33">
        <v>167656</v>
      </c>
      <c r="K130" s="33">
        <v>180068</v>
      </c>
      <c r="L130" s="33">
        <v>162779</v>
      </c>
      <c r="M130" s="33">
        <v>189372</v>
      </c>
      <c r="N130" s="33">
        <v>187827</v>
      </c>
      <c r="O130" s="33">
        <v>179287</v>
      </c>
      <c r="P130" s="33">
        <v>176126</v>
      </c>
      <c r="Q130" s="33">
        <v>174962</v>
      </c>
      <c r="R130" s="33">
        <v>189850</v>
      </c>
      <c r="S130" s="33">
        <v>210818</v>
      </c>
      <c r="T130" s="33">
        <v>207809</v>
      </c>
      <c r="V130" s="32" t="s">
        <v>45</v>
      </c>
      <c r="W130" s="796">
        <v>223948</v>
      </c>
    </row>
    <row r="131" spans="2:23" ht="16.5" thickBot="1">
      <c r="B131" s="28" t="s">
        <v>46</v>
      </c>
      <c r="C131" s="29"/>
      <c r="D131" s="29"/>
      <c r="E131" s="29"/>
      <c r="F131" s="29"/>
      <c r="G131" s="29"/>
      <c r="H131" s="29"/>
      <c r="I131" s="29"/>
      <c r="J131" s="29"/>
      <c r="K131" s="29"/>
      <c r="L131" s="29"/>
      <c r="M131" s="29"/>
      <c r="N131" s="29"/>
      <c r="O131" s="29"/>
      <c r="P131" s="29" t="s">
        <v>963</v>
      </c>
      <c r="Q131" s="29" t="s">
        <v>963</v>
      </c>
      <c r="R131" s="29" t="s">
        <v>963</v>
      </c>
      <c r="S131" s="29">
        <v>0</v>
      </c>
      <c r="T131" s="29"/>
      <c r="V131" s="28" t="s">
        <v>46</v>
      </c>
      <c r="W131" s="797"/>
    </row>
    <row r="132" spans="2:23" ht="16.5" thickBot="1">
      <c r="B132" s="30" t="s">
        <v>47</v>
      </c>
      <c r="C132" s="31">
        <v>0</v>
      </c>
      <c r="D132" s="31">
        <v>0</v>
      </c>
      <c r="E132" s="31">
        <v>0</v>
      </c>
      <c r="F132" s="31">
        <v>4100</v>
      </c>
      <c r="G132" s="31">
        <v>0</v>
      </c>
      <c r="H132" s="31">
        <v>0</v>
      </c>
      <c r="I132" s="31">
        <v>0</v>
      </c>
      <c r="J132" s="31">
        <v>0</v>
      </c>
      <c r="K132" s="31">
        <v>0</v>
      </c>
      <c r="L132" s="31">
        <v>0</v>
      </c>
      <c r="M132" s="31">
        <v>0</v>
      </c>
      <c r="N132" s="31">
        <v>0</v>
      </c>
      <c r="O132" s="31">
        <v>0</v>
      </c>
      <c r="P132" s="31" t="s">
        <v>962</v>
      </c>
      <c r="Q132" s="31" t="s">
        <v>1031</v>
      </c>
      <c r="R132" s="31" t="s">
        <v>963</v>
      </c>
      <c r="S132" s="31">
        <v>0</v>
      </c>
      <c r="T132" s="31">
        <v>0</v>
      </c>
      <c r="V132" s="30" t="s">
        <v>47</v>
      </c>
      <c r="W132" s="795">
        <v>0</v>
      </c>
    </row>
    <row r="133" spans="2:23" ht="16.5" thickBot="1">
      <c r="B133" s="30" t="s">
        <v>40</v>
      </c>
      <c r="C133" s="31">
        <v>12703</v>
      </c>
      <c r="D133" s="31">
        <v>8145</v>
      </c>
      <c r="E133" s="31">
        <v>8834</v>
      </c>
      <c r="F133" s="31">
        <v>8901</v>
      </c>
      <c r="G133" s="31">
        <v>12927</v>
      </c>
      <c r="H133" s="31">
        <v>12138</v>
      </c>
      <c r="I133" s="31">
        <v>17314</v>
      </c>
      <c r="J133" s="31">
        <v>17776</v>
      </c>
      <c r="K133" s="31">
        <v>18126</v>
      </c>
      <c r="L133" s="31">
        <v>13711</v>
      </c>
      <c r="M133" s="31">
        <v>18066</v>
      </c>
      <c r="N133" s="31">
        <v>18557</v>
      </c>
      <c r="O133" s="31">
        <v>19417</v>
      </c>
      <c r="P133" s="31">
        <v>14997</v>
      </c>
      <c r="Q133" s="31">
        <v>16702</v>
      </c>
      <c r="R133" s="31">
        <v>20761</v>
      </c>
      <c r="S133" s="31">
        <v>17556</v>
      </c>
      <c r="T133" s="31">
        <v>17420</v>
      </c>
      <c r="V133" s="30" t="s">
        <v>40</v>
      </c>
      <c r="W133" s="794">
        <v>17354</v>
      </c>
    </row>
    <row r="134" spans="2:23" ht="16.5" thickBot="1">
      <c r="B134" s="30" t="s">
        <v>42</v>
      </c>
      <c r="C134" s="31">
        <v>42971</v>
      </c>
      <c r="D134" s="31">
        <v>44251</v>
      </c>
      <c r="E134" s="31">
        <v>44424</v>
      </c>
      <c r="F134" s="31">
        <v>44630</v>
      </c>
      <c r="G134" s="31">
        <v>43913</v>
      </c>
      <c r="H134" s="31">
        <v>43832</v>
      </c>
      <c r="I134" s="31">
        <v>44360</v>
      </c>
      <c r="J134" s="31">
        <v>45253</v>
      </c>
      <c r="K134" s="31">
        <v>45490</v>
      </c>
      <c r="L134" s="31">
        <v>46255</v>
      </c>
      <c r="M134" s="31">
        <v>46184</v>
      </c>
      <c r="N134" s="31">
        <v>46417</v>
      </c>
      <c r="O134" s="31">
        <v>47291</v>
      </c>
      <c r="P134" s="31">
        <v>51017</v>
      </c>
      <c r="Q134" s="31">
        <v>49476</v>
      </c>
      <c r="R134" s="31">
        <v>49779</v>
      </c>
      <c r="S134" s="31">
        <v>51393</v>
      </c>
      <c r="T134" s="31">
        <v>52373</v>
      </c>
      <c r="V134" s="30" t="s">
        <v>42</v>
      </c>
      <c r="W134" s="794">
        <v>53249</v>
      </c>
    </row>
    <row r="135" spans="2:23" ht="16.5" thickBot="1">
      <c r="B135" s="30" t="s">
        <v>55</v>
      </c>
      <c r="C135" s="31">
        <v>0</v>
      </c>
      <c r="D135" s="31">
        <v>0</v>
      </c>
      <c r="E135" s="31">
        <v>0</v>
      </c>
      <c r="F135" s="31">
        <v>0</v>
      </c>
      <c r="G135" s="31">
        <v>10</v>
      </c>
      <c r="H135" s="31">
        <v>0</v>
      </c>
      <c r="I135" s="31">
        <v>14</v>
      </c>
      <c r="J135" s="31">
        <v>21</v>
      </c>
      <c r="K135" s="31">
        <v>103</v>
      </c>
      <c r="L135" s="31">
        <v>0</v>
      </c>
      <c r="M135" s="31">
        <v>0</v>
      </c>
      <c r="N135" s="31">
        <v>0</v>
      </c>
      <c r="O135" s="31">
        <v>0</v>
      </c>
      <c r="P135" s="31" t="s">
        <v>962</v>
      </c>
      <c r="Q135" s="31" t="s">
        <v>963</v>
      </c>
      <c r="R135" s="31" t="s">
        <v>1031</v>
      </c>
      <c r="S135" s="31">
        <v>0</v>
      </c>
      <c r="T135" s="31">
        <v>0</v>
      </c>
      <c r="V135" s="30" t="s">
        <v>55</v>
      </c>
      <c r="W135" s="798">
        <v>0</v>
      </c>
    </row>
    <row r="136" spans="2:23" ht="16.5" thickBot="1">
      <c r="B136" s="30" t="s">
        <v>56</v>
      </c>
      <c r="C136" s="31">
        <v>24830</v>
      </c>
      <c r="D136" s="31">
        <v>28316</v>
      </c>
      <c r="E136" s="31">
        <v>28970</v>
      </c>
      <c r="F136" s="31">
        <v>29540</v>
      </c>
      <c r="G136" s="31">
        <v>29754</v>
      </c>
      <c r="H136" s="31">
        <v>25198</v>
      </c>
      <c r="I136" s="31">
        <v>25894</v>
      </c>
      <c r="J136" s="31">
        <v>26427</v>
      </c>
      <c r="K136" s="31">
        <v>27082</v>
      </c>
      <c r="L136" s="31">
        <v>25903</v>
      </c>
      <c r="M136" s="31">
        <v>26585</v>
      </c>
      <c r="N136" s="31">
        <v>27177</v>
      </c>
      <c r="O136" s="31">
        <v>25846</v>
      </c>
      <c r="P136" s="461">
        <v>25430</v>
      </c>
      <c r="Q136" s="31">
        <v>25469</v>
      </c>
      <c r="R136" s="31">
        <v>25500</v>
      </c>
      <c r="S136" s="31">
        <v>29751</v>
      </c>
      <c r="T136" s="31">
        <v>1400</v>
      </c>
      <c r="V136" s="30" t="s">
        <v>56</v>
      </c>
      <c r="W136" s="794">
        <v>1448</v>
      </c>
    </row>
    <row r="137" spans="2:23" ht="16.5" thickBot="1">
      <c r="B137" s="30" t="s">
        <v>485</v>
      </c>
      <c r="C137" s="31">
        <v>0</v>
      </c>
      <c r="D137" s="31">
        <v>0</v>
      </c>
      <c r="E137" s="31">
        <v>0</v>
      </c>
      <c r="F137" s="31">
        <v>0</v>
      </c>
      <c r="G137" s="31">
        <v>0</v>
      </c>
      <c r="H137" s="31">
        <v>4100</v>
      </c>
      <c r="I137" s="31">
        <v>0</v>
      </c>
      <c r="J137" s="31">
        <v>0</v>
      </c>
      <c r="K137" s="31">
        <v>0</v>
      </c>
      <c r="L137" s="31">
        <v>4100</v>
      </c>
      <c r="M137" s="31">
        <v>647</v>
      </c>
      <c r="N137" s="31">
        <v>706</v>
      </c>
      <c r="O137" s="31">
        <v>0</v>
      </c>
      <c r="P137" s="31" t="s">
        <v>962</v>
      </c>
      <c r="Q137" s="31">
        <v>1477</v>
      </c>
      <c r="R137" s="31">
        <v>1078</v>
      </c>
      <c r="S137" s="31">
        <v>0</v>
      </c>
      <c r="T137" s="31">
        <v>0</v>
      </c>
      <c r="V137" s="30" t="s">
        <v>485</v>
      </c>
      <c r="W137" s="798">
        <v>0</v>
      </c>
    </row>
    <row r="138" spans="2:23" ht="16.5" thickBot="1">
      <c r="B138" s="30" t="s">
        <v>43</v>
      </c>
      <c r="C138" s="31">
        <v>0</v>
      </c>
      <c r="D138" s="31">
        <v>0</v>
      </c>
      <c r="E138" s="31">
        <v>0</v>
      </c>
      <c r="F138" s="31">
        <v>0</v>
      </c>
      <c r="G138" s="31">
        <v>0</v>
      </c>
      <c r="H138" s="31">
        <v>0</v>
      </c>
      <c r="I138" s="31">
        <v>0</v>
      </c>
      <c r="J138" s="31">
        <v>0</v>
      </c>
      <c r="K138" s="31">
        <v>0</v>
      </c>
      <c r="L138" s="31">
        <v>0</v>
      </c>
      <c r="M138" s="31">
        <v>0</v>
      </c>
      <c r="N138" s="31">
        <v>0</v>
      </c>
      <c r="O138" s="31">
        <v>0</v>
      </c>
      <c r="P138" s="31" t="s">
        <v>962</v>
      </c>
      <c r="Q138" s="31" t="s">
        <v>963</v>
      </c>
      <c r="R138" s="31" t="s">
        <v>1031</v>
      </c>
      <c r="S138" s="31">
        <v>0</v>
      </c>
      <c r="T138" s="31">
        <v>0</v>
      </c>
      <c r="V138" s="30" t="s">
        <v>43</v>
      </c>
      <c r="W138" s="798">
        <v>0</v>
      </c>
    </row>
    <row r="139" spans="2:23" ht="16.5" thickBot="1">
      <c r="B139" s="30" t="s">
        <v>95</v>
      </c>
      <c r="C139" s="31">
        <v>0</v>
      </c>
      <c r="D139" s="31">
        <v>0</v>
      </c>
      <c r="E139" s="31">
        <v>0</v>
      </c>
      <c r="F139" s="31">
        <v>0</v>
      </c>
      <c r="G139" s="31">
        <v>0</v>
      </c>
      <c r="H139" s="31">
        <v>0</v>
      </c>
      <c r="I139" s="31">
        <v>0</v>
      </c>
      <c r="J139" s="31">
        <v>0</v>
      </c>
      <c r="K139" s="31">
        <v>0</v>
      </c>
      <c r="L139" s="31">
        <v>0</v>
      </c>
      <c r="M139" s="31">
        <v>0</v>
      </c>
      <c r="N139" s="31">
        <v>0</v>
      </c>
      <c r="O139" s="31">
        <v>0</v>
      </c>
      <c r="P139" s="31" t="s">
        <v>962</v>
      </c>
      <c r="Q139" s="31" t="s">
        <v>963</v>
      </c>
      <c r="R139" s="31" t="s">
        <v>1031</v>
      </c>
      <c r="S139" s="31">
        <v>0</v>
      </c>
      <c r="T139" s="31">
        <v>0</v>
      </c>
      <c r="V139" s="30" t="s">
        <v>95</v>
      </c>
      <c r="W139" s="798">
        <v>0</v>
      </c>
    </row>
    <row r="140" spans="2:23" ht="16.5" thickBot="1">
      <c r="B140" s="30" t="s">
        <v>1035</v>
      </c>
      <c r="C140" s="31">
        <v>0</v>
      </c>
      <c r="D140" s="31">
        <v>0</v>
      </c>
      <c r="E140" s="31">
        <v>0</v>
      </c>
      <c r="F140" s="31">
        <v>0</v>
      </c>
      <c r="G140" s="31">
        <v>0</v>
      </c>
      <c r="H140" s="31">
        <v>0</v>
      </c>
      <c r="I140" s="31">
        <v>0</v>
      </c>
      <c r="J140" s="31">
        <v>0</v>
      </c>
      <c r="K140" s="31">
        <v>0</v>
      </c>
      <c r="L140" s="31">
        <v>0</v>
      </c>
      <c r="M140" s="31">
        <v>0</v>
      </c>
      <c r="N140" s="31">
        <v>0</v>
      </c>
      <c r="O140" s="31">
        <v>0</v>
      </c>
      <c r="P140" s="31" t="s">
        <v>962</v>
      </c>
      <c r="Q140" s="31" t="s">
        <v>963</v>
      </c>
      <c r="R140" s="31" t="s">
        <v>1031</v>
      </c>
      <c r="S140" s="31">
        <v>0</v>
      </c>
      <c r="T140" s="31">
        <v>0</v>
      </c>
      <c r="V140" s="30" t="s">
        <v>1035</v>
      </c>
      <c r="W140" s="798">
        <v>0</v>
      </c>
    </row>
    <row r="141" spans="2:23" ht="16.5" thickBot="1">
      <c r="B141" s="30" t="s">
        <v>53</v>
      </c>
      <c r="C141" s="31">
        <v>0</v>
      </c>
      <c r="D141" s="31">
        <v>0</v>
      </c>
      <c r="E141" s="31">
        <v>0</v>
      </c>
      <c r="F141" s="31">
        <v>0</v>
      </c>
      <c r="G141" s="31">
        <v>0</v>
      </c>
      <c r="H141" s="31">
        <v>0</v>
      </c>
      <c r="I141" s="31">
        <v>0</v>
      </c>
      <c r="J141" s="31">
        <v>0</v>
      </c>
      <c r="K141" s="31">
        <v>0</v>
      </c>
      <c r="L141" s="31">
        <v>0</v>
      </c>
      <c r="M141" s="31">
        <v>0</v>
      </c>
      <c r="N141" s="31">
        <v>0</v>
      </c>
      <c r="O141" s="31">
        <v>0</v>
      </c>
      <c r="P141" s="31" t="s">
        <v>962</v>
      </c>
      <c r="Q141" s="31" t="s">
        <v>963</v>
      </c>
      <c r="R141" s="31" t="s">
        <v>1031</v>
      </c>
      <c r="S141" s="31">
        <v>0</v>
      </c>
      <c r="T141" s="31">
        <v>0</v>
      </c>
      <c r="V141" s="30" t="s">
        <v>53</v>
      </c>
      <c r="W141" s="798">
        <v>0</v>
      </c>
    </row>
    <row r="142" spans="2:23" ht="16.5" thickBot="1">
      <c r="B142" s="30" t="s">
        <v>57</v>
      </c>
      <c r="C142" s="31">
        <v>0</v>
      </c>
      <c r="D142" s="31">
        <v>0</v>
      </c>
      <c r="E142" s="31">
        <v>0</v>
      </c>
      <c r="F142" s="31">
        <v>0</v>
      </c>
      <c r="G142" s="31">
        <v>0</v>
      </c>
      <c r="H142" s="31">
        <v>0</v>
      </c>
      <c r="I142" s="31">
        <v>0</v>
      </c>
      <c r="J142" s="31">
        <v>0</v>
      </c>
      <c r="K142" s="31">
        <v>0</v>
      </c>
      <c r="L142" s="31">
        <v>0</v>
      </c>
      <c r="M142" s="31">
        <v>0</v>
      </c>
      <c r="N142" s="31">
        <v>0</v>
      </c>
      <c r="O142" s="31">
        <v>643</v>
      </c>
      <c r="P142" s="461" t="s">
        <v>1037</v>
      </c>
      <c r="Q142" s="31">
        <v>483</v>
      </c>
      <c r="R142" s="31">
        <v>4151</v>
      </c>
      <c r="S142" s="31">
        <v>1184</v>
      </c>
      <c r="T142" s="31">
        <v>985</v>
      </c>
      <c r="V142" s="30" t="s">
        <v>57</v>
      </c>
      <c r="W142" s="794">
        <v>892</v>
      </c>
    </row>
    <row r="143" spans="2:23" ht="16.5" thickBot="1">
      <c r="B143" s="30" t="s">
        <v>48</v>
      </c>
      <c r="C143" s="31">
        <v>0</v>
      </c>
      <c r="D143" s="31">
        <v>0</v>
      </c>
      <c r="E143" s="31">
        <v>0</v>
      </c>
      <c r="F143" s="31">
        <v>0</v>
      </c>
      <c r="G143" s="31">
        <v>0</v>
      </c>
      <c r="H143" s="31">
        <v>0</v>
      </c>
      <c r="I143" s="31">
        <v>0</v>
      </c>
      <c r="J143" s="31">
        <v>0</v>
      </c>
      <c r="K143" s="31">
        <v>0</v>
      </c>
      <c r="L143" s="31">
        <v>0</v>
      </c>
      <c r="M143" s="31">
        <v>0</v>
      </c>
      <c r="N143" s="31">
        <v>0</v>
      </c>
      <c r="O143" s="31">
        <v>0</v>
      </c>
      <c r="P143" s="31" t="s">
        <v>963</v>
      </c>
      <c r="Q143" s="31" t="s">
        <v>963</v>
      </c>
      <c r="R143" s="31" t="s">
        <v>1031</v>
      </c>
      <c r="S143" s="31">
        <v>0</v>
      </c>
      <c r="T143" s="31">
        <v>0</v>
      </c>
      <c r="V143" s="30" t="s">
        <v>48</v>
      </c>
      <c r="W143" s="798"/>
    </row>
    <row r="144" spans="2:23" ht="16.5" thickBot="1">
      <c r="B144" s="30" t="s">
        <v>44</v>
      </c>
      <c r="C144" s="31">
        <v>0</v>
      </c>
      <c r="D144" s="31">
        <v>0</v>
      </c>
      <c r="E144" s="31">
        <v>0</v>
      </c>
      <c r="F144" s="31">
        <v>0</v>
      </c>
      <c r="G144" s="31">
        <v>0</v>
      </c>
      <c r="H144" s="31">
        <v>0</v>
      </c>
      <c r="I144" s="31">
        <v>0</v>
      </c>
      <c r="J144" s="31">
        <v>0</v>
      </c>
      <c r="K144" s="31">
        <v>0</v>
      </c>
      <c r="L144" s="31">
        <v>0</v>
      </c>
      <c r="M144" s="31">
        <v>0</v>
      </c>
      <c r="N144" s="31">
        <v>0</v>
      </c>
      <c r="O144" s="31">
        <v>0</v>
      </c>
      <c r="P144" s="31" t="s">
        <v>963</v>
      </c>
      <c r="Q144" s="31" t="s">
        <v>963</v>
      </c>
      <c r="R144" s="31" t="s">
        <v>1031</v>
      </c>
      <c r="S144" s="31">
        <v>0</v>
      </c>
      <c r="T144" s="31">
        <v>0</v>
      </c>
      <c r="V144" s="30" t="s">
        <v>44</v>
      </c>
      <c r="W144" s="798"/>
    </row>
    <row r="145" spans="2:23" ht="16.5" thickBot="1">
      <c r="B145" s="28" t="s">
        <v>59</v>
      </c>
      <c r="C145" s="34">
        <v>80504</v>
      </c>
      <c r="D145" s="34">
        <v>80712</v>
      </c>
      <c r="E145" s="34">
        <v>82228</v>
      </c>
      <c r="F145" s="34">
        <v>87171</v>
      </c>
      <c r="G145" s="34">
        <v>86604</v>
      </c>
      <c r="H145" s="34">
        <v>85268</v>
      </c>
      <c r="I145" s="34">
        <v>87582</v>
      </c>
      <c r="J145" s="34">
        <v>89477</v>
      </c>
      <c r="K145" s="34">
        <v>90801</v>
      </c>
      <c r="L145" s="34">
        <v>89969</v>
      </c>
      <c r="M145" s="34">
        <v>91482</v>
      </c>
      <c r="N145" s="34">
        <v>92857</v>
      </c>
      <c r="O145" s="34">
        <v>93197</v>
      </c>
      <c r="P145" s="34">
        <v>96124</v>
      </c>
      <c r="Q145" s="34">
        <v>93607</v>
      </c>
      <c r="R145" s="34">
        <v>101269</v>
      </c>
      <c r="S145" s="34">
        <v>99884</v>
      </c>
      <c r="T145" s="34">
        <v>72178</v>
      </c>
      <c r="V145" s="28" t="s">
        <v>59</v>
      </c>
      <c r="W145" s="799">
        <v>72943</v>
      </c>
    </row>
    <row r="146" spans="2:23" ht="16.5" thickBot="1">
      <c r="B146" s="35" t="s">
        <v>60</v>
      </c>
      <c r="C146" s="36">
        <v>235618</v>
      </c>
      <c r="D146" s="36">
        <v>228196</v>
      </c>
      <c r="E146" s="36">
        <v>231336</v>
      </c>
      <c r="F146" s="36">
        <v>270503</v>
      </c>
      <c r="G146" s="36">
        <v>255605</v>
      </c>
      <c r="H146" s="36">
        <v>231602</v>
      </c>
      <c r="I146" s="36">
        <v>255544</v>
      </c>
      <c r="J146" s="36">
        <v>257133</v>
      </c>
      <c r="K146" s="36">
        <v>270869</v>
      </c>
      <c r="L146" s="36">
        <v>252748</v>
      </c>
      <c r="M146" s="36">
        <v>280854</v>
      </c>
      <c r="N146" s="36">
        <v>280684</v>
      </c>
      <c r="O146" s="36">
        <v>272484</v>
      </c>
      <c r="P146" s="36">
        <v>272250</v>
      </c>
      <c r="Q146" s="36">
        <v>268569</v>
      </c>
      <c r="R146" s="36">
        <v>291119</v>
      </c>
      <c r="S146" s="36">
        <v>310702</v>
      </c>
      <c r="T146" s="36">
        <v>279987</v>
      </c>
      <c r="V146" s="35" t="s">
        <v>60</v>
      </c>
      <c r="W146" s="800">
        <v>296891</v>
      </c>
    </row>
    <row r="147" spans="2:23" ht="15.75" thickBot="1">
      <c r="B147" s="37"/>
      <c r="C147" s="38"/>
      <c r="D147" s="38"/>
      <c r="E147" s="38"/>
      <c r="F147" s="38"/>
      <c r="G147" s="38"/>
      <c r="H147" s="38"/>
      <c r="I147" s="38"/>
      <c r="J147" s="38"/>
      <c r="K147" s="38"/>
      <c r="L147" s="38"/>
      <c r="M147" s="38"/>
      <c r="N147" s="38"/>
      <c r="O147" s="38"/>
      <c r="P147" s="38" t="s">
        <v>963</v>
      </c>
      <c r="Q147" s="38" t="s">
        <v>963</v>
      </c>
      <c r="R147" s="38" t="s">
        <v>963</v>
      </c>
      <c r="S147" s="38">
        <v>0</v>
      </c>
      <c r="T147" s="38"/>
      <c r="V147" s="37"/>
      <c r="W147" s="744"/>
    </row>
    <row r="148" spans="2:23" ht="16.5" thickBot="1">
      <c r="B148" s="26" t="s">
        <v>61</v>
      </c>
      <c r="C148" s="39"/>
      <c r="D148" s="39"/>
      <c r="E148" s="39"/>
      <c r="F148" s="39"/>
      <c r="G148" s="39"/>
      <c r="H148" s="39"/>
      <c r="I148" s="39"/>
      <c r="J148" s="39"/>
      <c r="K148" s="39"/>
      <c r="L148" s="39"/>
      <c r="M148" s="39"/>
      <c r="N148" s="39"/>
      <c r="O148" s="39"/>
      <c r="P148" s="39" t="s">
        <v>963</v>
      </c>
      <c r="Q148" s="39" t="s">
        <v>963</v>
      </c>
      <c r="R148" s="39" t="s">
        <v>963</v>
      </c>
      <c r="S148" s="39">
        <v>0</v>
      </c>
      <c r="T148" s="39"/>
      <c r="V148" s="26" t="s">
        <v>61</v>
      </c>
      <c r="W148" s="801"/>
    </row>
    <row r="149" spans="2:23" ht="16.5" thickBot="1">
      <c r="B149" s="28" t="s">
        <v>62</v>
      </c>
      <c r="C149" s="40"/>
      <c r="D149" s="40"/>
      <c r="E149" s="40"/>
      <c r="F149" s="40"/>
      <c r="G149" s="40"/>
      <c r="H149" s="40"/>
      <c r="I149" s="40"/>
      <c r="J149" s="40"/>
      <c r="K149" s="40"/>
      <c r="L149" s="40"/>
      <c r="M149" s="40"/>
      <c r="N149" s="40"/>
      <c r="O149" s="40"/>
      <c r="P149" s="40" t="s">
        <v>963</v>
      </c>
      <c r="Q149" s="40" t="s">
        <v>963</v>
      </c>
      <c r="R149" s="40" t="s">
        <v>963</v>
      </c>
      <c r="S149" s="40">
        <v>0</v>
      </c>
      <c r="T149" s="40"/>
      <c r="V149" s="28" t="s">
        <v>62</v>
      </c>
      <c r="W149" s="802"/>
    </row>
    <row r="150" spans="2:23" ht="16.5" thickBot="1">
      <c r="B150" s="30" t="s">
        <v>64</v>
      </c>
      <c r="C150" s="31">
        <v>31679</v>
      </c>
      <c r="D150" s="31">
        <v>20442</v>
      </c>
      <c r="E150" s="31">
        <v>23518</v>
      </c>
      <c r="F150" s="31">
        <v>25769</v>
      </c>
      <c r="G150" s="31">
        <v>21703</v>
      </c>
      <c r="H150" s="31">
        <v>21030</v>
      </c>
      <c r="I150" s="31">
        <v>46399</v>
      </c>
      <c r="J150" s="31">
        <v>26194</v>
      </c>
      <c r="K150" s="31">
        <v>27597</v>
      </c>
      <c r="L150" s="31">
        <v>22333</v>
      </c>
      <c r="M150" s="31">
        <v>53624</v>
      </c>
      <c r="N150" s="31">
        <v>20513</v>
      </c>
      <c r="O150" s="31">
        <v>29850</v>
      </c>
      <c r="P150" s="31">
        <v>28093</v>
      </c>
      <c r="Q150" s="31">
        <v>49963</v>
      </c>
      <c r="R150" s="31">
        <v>28721</v>
      </c>
      <c r="S150" s="31">
        <v>30894</v>
      </c>
      <c r="T150" s="31">
        <v>29466</v>
      </c>
      <c r="V150" s="30" t="s">
        <v>64</v>
      </c>
      <c r="W150" s="794">
        <v>96477</v>
      </c>
    </row>
    <row r="151" spans="2:23" ht="16.5" thickBot="1">
      <c r="B151" s="30" t="s">
        <v>486</v>
      </c>
      <c r="C151" s="31">
        <v>38636</v>
      </c>
      <c r="D151" s="31">
        <v>23373</v>
      </c>
      <c r="E151" s="31">
        <v>39363</v>
      </c>
      <c r="F151" s="31">
        <v>51104</v>
      </c>
      <c r="G151" s="31">
        <v>19640</v>
      </c>
      <c r="H151" s="31">
        <v>10505</v>
      </c>
      <c r="I151" s="31">
        <v>29145</v>
      </c>
      <c r="J151" s="31">
        <v>29846</v>
      </c>
      <c r="K151" s="31">
        <v>21967</v>
      </c>
      <c r="L151" s="31">
        <v>14796</v>
      </c>
      <c r="M151" s="31">
        <v>34619</v>
      </c>
      <c r="N151" s="31">
        <v>45533</v>
      </c>
      <c r="O151" s="31">
        <v>6922</v>
      </c>
      <c r="P151" s="31">
        <v>13177</v>
      </c>
      <c r="Q151" s="31">
        <v>6913</v>
      </c>
      <c r="R151" s="31">
        <v>34539</v>
      </c>
      <c r="S151" s="31">
        <v>20268</v>
      </c>
      <c r="T151" s="31">
        <v>23085</v>
      </c>
      <c r="V151" s="30" t="s">
        <v>102</v>
      </c>
      <c r="W151" s="794">
        <v>0</v>
      </c>
    </row>
    <row r="152" spans="2:23" ht="16.5" thickBot="1">
      <c r="B152" s="30" t="s">
        <v>66</v>
      </c>
      <c r="C152" s="31">
        <v>13087</v>
      </c>
      <c r="D152" s="31">
        <v>15442</v>
      </c>
      <c r="E152" s="31">
        <v>13390</v>
      </c>
      <c r="F152" s="31">
        <v>14427</v>
      </c>
      <c r="G152" s="31">
        <v>17419</v>
      </c>
      <c r="H152" s="31">
        <v>13487</v>
      </c>
      <c r="I152" s="31">
        <v>12475</v>
      </c>
      <c r="J152" s="31">
        <v>11418</v>
      </c>
      <c r="K152" s="31">
        <v>17796</v>
      </c>
      <c r="L152" s="31">
        <v>14319</v>
      </c>
      <c r="M152" s="31">
        <v>13724</v>
      </c>
      <c r="N152" s="31">
        <v>13403</v>
      </c>
      <c r="O152" s="31">
        <v>20451</v>
      </c>
      <c r="P152" s="31">
        <v>16452</v>
      </c>
      <c r="Q152" s="31">
        <v>15289</v>
      </c>
      <c r="R152" s="31">
        <v>26311</v>
      </c>
      <c r="S152" s="31">
        <v>21779</v>
      </c>
      <c r="T152" s="31">
        <v>16634</v>
      </c>
      <c r="V152" s="30" t="s">
        <v>66</v>
      </c>
      <c r="W152" s="794">
        <v>16385</v>
      </c>
    </row>
    <row r="153" spans="2:23" ht="16.5" thickBot="1">
      <c r="B153" s="30" t="s">
        <v>41</v>
      </c>
      <c r="C153" s="31">
        <v>3984</v>
      </c>
      <c r="D153" s="31">
        <v>9715</v>
      </c>
      <c r="E153" s="31">
        <v>10498</v>
      </c>
      <c r="F153" s="31">
        <v>18237</v>
      </c>
      <c r="G153" s="31">
        <v>28810</v>
      </c>
      <c r="H153" s="31">
        <v>17153</v>
      </c>
      <c r="I153" s="31">
        <v>14144</v>
      </c>
      <c r="J153" s="31">
        <v>20369</v>
      </c>
      <c r="K153" s="31">
        <v>26364</v>
      </c>
      <c r="L153" s="31">
        <v>15482</v>
      </c>
      <c r="M153" s="31">
        <v>13211</v>
      </c>
      <c r="N153" s="31">
        <v>22241</v>
      </c>
      <c r="O153" s="31">
        <v>27678</v>
      </c>
      <c r="P153" s="31">
        <v>23501</v>
      </c>
      <c r="Q153" s="31">
        <v>22811</v>
      </c>
      <c r="R153" s="31">
        <v>22177</v>
      </c>
      <c r="S153" s="31">
        <v>28885</v>
      </c>
      <c r="T153" s="31">
        <v>24142</v>
      </c>
      <c r="V153" s="30" t="s">
        <v>41</v>
      </c>
      <c r="W153" s="794">
        <v>20445</v>
      </c>
    </row>
    <row r="154" spans="2:23" ht="16.5" thickBot="1">
      <c r="B154" s="30" t="s">
        <v>67</v>
      </c>
      <c r="C154" s="31">
        <v>135</v>
      </c>
      <c r="D154" s="31">
        <v>0</v>
      </c>
      <c r="E154" s="31">
        <v>0</v>
      </c>
      <c r="F154" s="31">
        <v>0</v>
      </c>
      <c r="G154" s="31">
        <v>0</v>
      </c>
      <c r="H154" s="31">
        <v>0</v>
      </c>
      <c r="I154" s="31">
        <v>26</v>
      </c>
      <c r="J154" s="31">
        <v>26</v>
      </c>
      <c r="K154" s="31">
        <v>0</v>
      </c>
      <c r="L154" s="31">
        <v>0</v>
      </c>
      <c r="M154" s="31">
        <v>0</v>
      </c>
      <c r="N154" s="31">
        <v>0</v>
      </c>
      <c r="O154" s="31">
        <v>0</v>
      </c>
      <c r="P154" s="31" t="s">
        <v>962</v>
      </c>
      <c r="Q154" s="31" t="s">
        <v>1031</v>
      </c>
      <c r="R154" s="31" t="s">
        <v>1031</v>
      </c>
      <c r="S154" s="31">
        <v>8</v>
      </c>
      <c r="T154" s="31" t="s">
        <v>1031</v>
      </c>
      <c r="V154" s="30" t="s">
        <v>67</v>
      </c>
      <c r="W154" s="803">
        <v>0</v>
      </c>
    </row>
    <row r="155" spans="2:23" ht="16.5" thickBot="1">
      <c r="B155" s="30" t="s">
        <v>68</v>
      </c>
      <c r="C155" s="31">
        <v>2208</v>
      </c>
      <c r="D155" s="31">
        <v>2503</v>
      </c>
      <c r="E155" s="31">
        <v>367</v>
      </c>
      <c r="F155" s="31">
        <v>6732</v>
      </c>
      <c r="G155" s="31">
        <v>4814</v>
      </c>
      <c r="H155" s="31">
        <v>2558</v>
      </c>
      <c r="I155" s="31">
        <v>225</v>
      </c>
      <c r="J155" s="31">
        <v>7139</v>
      </c>
      <c r="K155" s="31">
        <v>4705</v>
      </c>
      <c r="L155" s="31">
        <v>2616</v>
      </c>
      <c r="M155" s="31">
        <v>647</v>
      </c>
      <c r="N155" s="31">
        <v>7051</v>
      </c>
      <c r="O155" s="31">
        <v>4752</v>
      </c>
      <c r="P155" s="31">
        <v>2431</v>
      </c>
      <c r="Q155" s="31">
        <v>147</v>
      </c>
      <c r="R155" s="31">
        <v>6641</v>
      </c>
      <c r="S155" s="31">
        <v>6823</v>
      </c>
      <c r="T155" s="31">
        <v>2202</v>
      </c>
      <c r="V155" s="30" t="s">
        <v>68</v>
      </c>
      <c r="W155" s="794">
        <v>149</v>
      </c>
    </row>
    <row r="156" spans="2:23" ht="16.5" thickBot="1">
      <c r="B156" s="30" t="s">
        <v>63</v>
      </c>
      <c r="C156" s="31">
        <v>0</v>
      </c>
      <c r="D156" s="31">
        <v>0</v>
      </c>
      <c r="E156" s="31">
        <v>0</v>
      </c>
      <c r="F156" s="31">
        <v>0</v>
      </c>
      <c r="G156" s="31">
        <v>0</v>
      </c>
      <c r="H156" s="31">
        <v>0</v>
      </c>
      <c r="I156" s="31">
        <v>0</v>
      </c>
      <c r="J156" s="31">
        <v>0</v>
      </c>
      <c r="K156" s="31">
        <v>0</v>
      </c>
      <c r="L156" s="31">
        <v>0</v>
      </c>
      <c r="M156" s="31">
        <v>0</v>
      </c>
      <c r="N156" s="31">
        <v>0</v>
      </c>
      <c r="O156" s="31">
        <v>0</v>
      </c>
      <c r="P156" s="31" t="s">
        <v>962</v>
      </c>
      <c r="Q156" s="31" t="s">
        <v>1031</v>
      </c>
      <c r="R156" s="31" t="s">
        <v>1031</v>
      </c>
      <c r="S156" s="31" t="s">
        <v>1031</v>
      </c>
      <c r="T156" s="31" t="s">
        <v>1031</v>
      </c>
      <c r="V156" s="30" t="s">
        <v>63</v>
      </c>
      <c r="W156" s="803">
        <v>0</v>
      </c>
    </row>
    <row r="157" spans="2:23" ht="16.5" thickBot="1">
      <c r="B157" s="30" t="s">
        <v>96</v>
      </c>
      <c r="C157" s="31">
        <v>0</v>
      </c>
      <c r="D157" s="31">
        <v>0</v>
      </c>
      <c r="E157" s="31">
        <v>0</v>
      </c>
      <c r="F157" s="31">
        <v>0</v>
      </c>
      <c r="G157" s="31">
        <v>0</v>
      </c>
      <c r="H157" s="31">
        <v>0</v>
      </c>
      <c r="I157" s="31">
        <v>0</v>
      </c>
      <c r="J157" s="31">
        <v>0</v>
      </c>
      <c r="K157" s="31">
        <v>0</v>
      </c>
      <c r="L157" s="31">
        <v>0</v>
      </c>
      <c r="M157" s="31">
        <v>0</v>
      </c>
      <c r="N157" s="31">
        <v>0</v>
      </c>
      <c r="O157" s="31">
        <v>0</v>
      </c>
      <c r="P157" s="31" t="s">
        <v>962</v>
      </c>
      <c r="Q157" s="31" t="s">
        <v>1031</v>
      </c>
      <c r="R157" s="31" t="s">
        <v>1031</v>
      </c>
      <c r="S157" s="31" t="s">
        <v>1031</v>
      </c>
      <c r="T157" s="31" t="s">
        <v>1031</v>
      </c>
      <c r="V157" s="30" t="s">
        <v>96</v>
      </c>
      <c r="W157" s="803">
        <v>0</v>
      </c>
    </row>
    <row r="158" spans="2:23" ht="15.75" thickBot="1">
      <c r="B158" s="28" t="s">
        <v>70</v>
      </c>
      <c r="C158" s="34">
        <v>89729</v>
      </c>
      <c r="D158" s="34">
        <v>71475</v>
      </c>
      <c r="E158" s="34">
        <v>87136</v>
      </c>
      <c r="F158" s="34">
        <v>116269</v>
      </c>
      <c r="G158" s="34">
        <v>92386</v>
      </c>
      <c r="H158" s="34">
        <v>64733</v>
      </c>
      <c r="I158" s="34">
        <v>102414</v>
      </c>
      <c r="J158" s="34">
        <v>94992</v>
      </c>
      <c r="K158" s="34">
        <v>98429</v>
      </c>
      <c r="L158" s="34">
        <v>69546</v>
      </c>
      <c r="M158" s="34">
        <v>115825</v>
      </c>
      <c r="N158" s="34">
        <v>108741</v>
      </c>
      <c r="O158" s="34">
        <v>89653</v>
      </c>
      <c r="P158" s="34">
        <v>83654</v>
      </c>
      <c r="Q158" s="34">
        <v>95123</v>
      </c>
      <c r="R158" s="34">
        <v>118388</v>
      </c>
      <c r="S158" s="34">
        <v>108657</v>
      </c>
      <c r="T158" s="34">
        <v>95529</v>
      </c>
      <c r="V158" s="28" t="s">
        <v>70</v>
      </c>
      <c r="W158" s="275">
        <v>133456</v>
      </c>
    </row>
    <row r="159" spans="2:23" ht="15.75" thickBot="1">
      <c r="B159" s="41" t="s">
        <v>71</v>
      </c>
      <c r="C159" s="42"/>
      <c r="D159" s="42"/>
      <c r="E159" s="42"/>
      <c r="F159" s="42"/>
      <c r="G159" s="42"/>
      <c r="H159" s="42"/>
      <c r="I159" s="42"/>
      <c r="J159" s="42"/>
      <c r="K159" s="42"/>
      <c r="L159" s="42"/>
      <c r="M159" s="42"/>
      <c r="N159" s="42"/>
      <c r="O159" s="42"/>
      <c r="P159" s="42" t="s">
        <v>963</v>
      </c>
      <c r="Q159" s="42" t="s">
        <v>963</v>
      </c>
      <c r="R159" s="42" t="s">
        <v>963</v>
      </c>
      <c r="S159" s="42">
        <v>0</v>
      </c>
      <c r="T159" s="42"/>
      <c r="V159" s="41" t="s">
        <v>71</v>
      </c>
      <c r="W159" s="280"/>
    </row>
    <row r="160" spans="2:23" ht="16.5" thickBot="1">
      <c r="B160" s="30" t="s">
        <v>64</v>
      </c>
      <c r="C160" s="31">
        <v>0</v>
      </c>
      <c r="D160" s="31">
        <v>0</v>
      </c>
      <c r="E160" s="31">
        <v>1</v>
      </c>
      <c r="F160" s="31">
        <v>0</v>
      </c>
      <c r="G160" s="31">
        <v>0</v>
      </c>
      <c r="H160" s="31">
        <v>0</v>
      </c>
      <c r="I160" s="31">
        <v>0</v>
      </c>
      <c r="J160" s="31">
        <v>0</v>
      </c>
      <c r="K160" s="31">
        <v>0</v>
      </c>
      <c r="L160" s="31">
        <v>0</v>
      </c>
      <c r="M160" s="31">
        <v>646</v>
      </c>
      <c r="N160" s="31">
        <v>390</v>
      </c>
      <c r="O160" s="31">
        <v>327</v>
      </c>
      <c r="P160" s="31" t="s">
        <v>962</v>
      </c>
      <c r="Q160" s="31" t="s">
        <v>1031</v>
      </c>
      <c r="R160" s="31" t="s">
        <v>1031</v>
      </c>
      <c r="S160" s="31">
        <v>532</v>
      </c>
      <c r="T160" s="31">
        <v>605</v>
      </c>
      <c r="V160" s="30" t="s">
        <v>64</v>
      </c>
      <c r="W160" s="794">
        <v>11647</v>
      </c>
    </row>
    <row r="161" spans="2:23" ht="16.5" thickBot="1">
      <c r="B161" s="30" t="s">
        <v>102</v>
      </c>
      <c r="C161" s="31">
        <v>5551</v>
      </c>
      <c r="D161" s="31">
        <v>6942</v>
      </c>
      <c r="E161" s="31">
        <v>6960</v>
      </c>
      <c r="F161" s="31">
        <v>7140</v>
      </c>
      <c r="G161" s="31">
        <v>7364</v>
      </c>
      <c r="H161" s="31">
        <v>7364</v>
      </c>
      <c r="I161" s="31">
        <v>7775</v>
      </c>
      <c r="J161" s="31">
        <v>7775</v>
      </c>
      <c r="K161" s="31">
        <v>7775</v>
      </c>
      <c r="L161" s="31">
        <v>7906</v>
      </c>
      <c r="M161" s="31">
        <v>7906</v>
      </c>
      <c r="N161" s="31">
        <v>8213</v>
      </c>
      <c r="O161" s="31">
        <v>8538</v>
      </c>
      <c r="P161" s="31">
        <v>8556</v>
      </c>
      <c r="Q161" s="31">
        <v>8556</v>
      </c>
      <c r="R161" s="31">
        <v>8556</v>
      </c>
      <c r="S161" s="31">
        <v>9988</v>
      </c>
      <c r="T161" s="31">
        <v>11083</v>
      </c>
      <c r="V161" s="30" t="s">
        <v>102</v>
      </c>
      <c r="W161" s="794">
        <v>0</v>
      </c>
    </row>
    <row r="162" spans="2:23" ht="16.5" thickBot="1">
      <c r="B162" s="30" t="s">
        <v>66</v>
      </c>
      <c r="C162" s="31">
        <v>63512</v>
      </c>
      <c r="D162" s="31">
        <v>70741</v>
      </c>
      <c r="E162" s="31">
        <v>73476</v>
      </c>
      <c r="F162" s="31">
        <v>74769</v>
      </c>
      <c r="G162" s="31">
        <v>76780</v>
      </c>
      <c r="H162" s="31">
        <v>75296</v>
      </c>
      <c r="I162" s="31">
        <v>77406</v>
      </c>
      <c r="J162" s="31">
        <v>79515</v>
      </c>
      <c r="K162" s="31">
        <v>81623</v>
      </c>
      <c r="L162" s="31">
        <v>82959</v>
      </c>
      <c r="M162" s="31">
        <v>85214</v>
      </c>
      <c r="N162" s="31">
        <v>87469</v>
      </c>
      <c r="O162" s="31">
        <v>89721</v>
      </c>
      <c r="P162" s="461" t="s">
        <v>1038</v>
      </c>
      <c r="Q162" s="31">
        <v>94802</v>
      </c>
      <c r="R162" s="31">
        <v>85190</v>
      </c>
      <c r="S162" s="31">
        <v>98829</v>
      </c>
      <c r="T162" s="31">
        <v>79380</v>
      </c>
      <c r="V162" s="30" t="s">
        <v>66</v>
      </c>
      <c r="W162" s="794">
        <v>81382</v>
      </c>
    </row>
    <row r="163" spans="2:23" ht="16.5" thickBot="1">
      <c r="B163" s="30" t="s">
        <v>63</v>
      </c>
      <c r="C163" s="31">
        <v>0</v>
      </c>
      <c r="D163" s="31">
        <v>0</v>
      </c>
      <c r="E163" s="31">
        <v>0</v>
      </c>
      <c r="F163" s="31">
        <v>0</v>
      </c>
      <c r="G163" s="31">
        <v>0</v>
      </c>
      <c r="H163" s="31">
        <v>0</v>
      </c>
      <c r="I163" s="31">
        <v>0</v>
      </c>
      <c r="J163" s="31">
        <v>0</v>
      </c>
      <c r="K163" s="31">
        <v>0</v>
      </c>
      <c r="L163" s="31">
        <v>0</v>
      </c>
      <c r="M163" s="31">
        <v>0</v>
      </c>
      <c r="N163" s="31">
        <v>0</v>
      </c>
      <c r="O163" s="31">
        <v>0</v>
      </c>
      <c r="P163" s="31" t="s">
        <v>962</v>
      </c>
      <c r="Q163" s="31" t="s">
        <v>1031</v>
      </c>
      <c r="R163" s="31" t="s">
        <v>1031</v>
      </c>
      <c r="S163" s="31" t="s">
        <v>1031</v>
      </c>
      <c r="T163" s="31" t="s">
        <v>1031</v>
      </c>
      <c r="V163" s="30" t="s">
        <v>63</v>
      </c>
      <c r="W163" s="803">
        <v>0</v>
      </c>
    </row>
    <row r="164" spans="2:23" ht="16.5" thickBot="1">
      <c r="B164" s="30" t="s">
        <v>72</v>
      </c>
      <c r="C164" s="31">
        <v>0</v>
      </c>
      <c r="D164" s="31">
        <v>0</v>
      </c>
      <c r="E164" s="31">
        <v>0</v>
      </c>
      <c r="F164" s="31">
        <v>0</v>
      </c>
      <c r="G164" s="31">
        <v>0</v>
      </c>
      <c r="H164" s="31">
        <v>0</v>
      </c>
      <c r="I164" s="31">
        <v>0</v>
      </c>
      <c r="J164" s="31">
        <v>0</v>
      </c>
      <c r="K164" s="31">
        <v>0</v>
      </c>
      <c r="L164" s="31">
        <v>0</v>
      </c>
      <c r="M164" s="31">
        <v>0</v>
      </c>
      <c r="N164" s="31">
        <v>0</v>
      </c>
      <c r="O164" s="31">
        <v>0</v>
      </c>
      <c r="P164" s="31" t="s">
        <v>962</v>
      </c>
      <c r="Q164" s="31" t="s">
        <v>1031</v>
      </c>
      <c r="R164" s="31" t="s">
        <v>1031</v>
      </c>
      <c r="S164" s="31" t="s">
        <v>1031</v>
      </c>
      <c r="T164" s="31" t="s">
        <v>1031</v>
      </c>
      <c r="V164" s="30" t="s">
        <v>72</v>
      </c>
      <c r="W164" s="803">
        <v>0</v>
      </c>
    </row>
    <row r="165" spans="2:23" ht="16.5" thickBot="1">
      <c r="B165" s="30" t="s">
        <v>67</v>
      </c>
      <c r="C165" s="31">
        <v>0</v>
      </c>
      <c r="D165" s="31">
        <v>0</v>
      </c>
      <c r="E165" s="31">
        <v>0</v>
      </c>
      <c r="F165" s="31">
        <v>0</v>
      </c>
      <c r="G165" s="31">
        <v>0</v>
      </c>
      <c r="H165" s="31">
        <v>0</v>
      </c>
      <c r="I165" s="31">
        <v>0</v>
      </c>
      <c r="J165" s="31">
        <v>0</v>
      </c>
      <c r="K165" s="31">
        <v>0</v>
      </c>
      <c r="L165" s="31">
        <v>0</v>
      </c>
      <c r="M165" s="31">
        <v>0</v>
      </c>
      <c r="N165" s="31">
        <v>0</v>
      </c>
      <c r="O165" s="31">
        <v>0</v>
      </c>
      <c r="P165" s="31" t="s">
        <v>962</v>
      </c>
      <c r="Q165" s="31" t="s">
        <v>1031</v>
      </c>
      <c r="R165" s="31" t="s">
        <v>1031</v>
      </c>
      <c r="S165" s="31" t="s">
        <v>1031</v>
      </c>
      <c r="T165" s="31">
        <v>356</v>
      </c>
      <c r="V165" s="30" t="s">
        <v>67</v>
      </c>
      <c r="W165" s="794">
        <v>377</v>
      </c>
    </row>
    <row r="166" spans="2:23" ht="16.5" thickBot="1">
      <c r="B166" s="30" t="s">
        <v>68</v>
      </c>
      <c r="C166" s="31">
        <v>0</v>
      </c>
      <c r="D166" s="31">
        <v>0</v>
      </c>
      <c r="E166" s="31">
        <v>0</v>
      </c>
      <c r="F166" s="31">
        <v>0</v>
      </c>
      <c r="G166" s="31">
        <v>0</v>
      </c>
      <c r="H166" s="31">
        <v>0</v>
      </c>
      <c r="I166" s="31">
        <v>0</v>
      </c>
      <c r="J166" s="31">
        <v>0</v>
      </c>
      <c r="K166" s="31">
        <v>0</v>
      </c>
      <c r="L166" s="31">
        <v>0</v>
      </c>
      <c r="M166" s="31">
        <v>0</v>
      </c>
      <c r="N166" s="31">
        <v>0</v>
      </c>
      <c r="O166" s="31">
        <v>0</v>
      </c>
      <c r="P166" s="31" t="s">
        <v>962</v>
      </c>
      <c r="Q166" s="31" t="s">
        <v>1031</v>
      </c>
      <c r="R166" s="31" t="s">
        <v>1031</v>
      </c>
      <c r="S166" s="31" t="s">
        <v>1031</v>
      </c>
      <c r="T166" s="31" t="s">
        <v>1031</v>
      </c>
      <c r="V166" s="30" t="s">
        <v>68</v>
      </c>
      <c r="W166" s="803">
        <v>0</v>
      </c>
    </row>
    <row r="167" spans="2:23" ht="16.5" thickBot="1">
      <c r="B167" s="30" t="s">
        <v>97</v>
      </c>
      <c r="C167" s="31">
        <v>0</v>
      </c>
      <c r="D167" s="31">
        <v>0</v>
      </c>
      <c r="E167" s="31">
        <v>0</v>
      </c>
      <c r="F167" s="31">
        <v>0</v>
      </c>
      <c r="G167" s="31">
        <v>0</v>
      </c>
      <c r="H167" s="31">
        <v>0</v>
      </c>
      <c r="I167" s="31">
        <v>0</v>
      </c>
      <c r="J167" s="31">
        <v>0</v>
      </c>
      <c r="K167" s="31">
        <v>0</v>
      </c>
      <c r="L167" s="31">
        <v>0</v>
      </c>
      <c r="M167" s="31">
        <v>0</v>
      </c>
      <c r="N167" s="31">
        <v>0</v>
      </c>
      <c r="O167" s="31">
        <v>0</v>
      </c>
      <c r="P167" s="31" t="s">
        <v>962</v>
      </c>
      <c r="Q167" s="31" t="s">
        <v>1031</v>
      </c>
      <c r="R167" s="31" t="s">
        <v>1031</v>
      </c>
      <c r="S167" s="31" t="s">
        <v>1031</v>
      </c>
      <c r="T167" s="31" t="s">
        <v>1031</v>
      </c>
      <c r="V167" s="30" t="s">
        <v>97</v>
      </c>
      <c r="W167" s="803">
        <v>0</v>
      </c>
    </row>
    <row r="168" spans="2:23" ht="15.75" thickBot="1">
      <c r="B168" s="28" t="s">
        <v>73</v>
      </c>
      <c r="C168" s="34">
        <v>69063</v>
      </c>
      <c r="D168" s="34">
        <v>77683</v>
      </c>
      <c r="E168" s="34">
        <v>80437</v>
      </c>
      <c r="F168" s="34">
        <v>81909</v>
      </c>
      <c r="G168" s="34">
        <v>84144</v>
      </c>
      <c r="H168" s="34">
        <v>82660</v>
      </c>
      <c r="I168" s="34">
        <v>85181</v>
      </c>
      <c r="J168" s="34">
        <v>87290</v>
      </c>
      <c r="K168" s="34">
        <v>89398</v>
      </c>
      <c r="L168" s="34">
        <v>90865</v>
      </c>
      <c r="M168" s="34">
        <v>93766</v>
      </c>
      <c r="N168" s="34">
        <v>96072</v>
      </c>
      <c r="O168" s="34">
        <v>98586</v>
      </c>
      <c r="P168" s="34">
        <v>101096</v>
      </c>
      <c r="Q168" s="34">
        <v>103358</v>
      </c>
      <c r="R168" s="34">
        <v>93746</v>
      </c>
      <c r="S168" s="34">
        <v>109349</v>
      </c>
      <c r="T168" s="34">
        <v>91424</v>
      </c>
      <c r="V168" s="28" t="s">
        <v>73</v>
      </c>
      <c r="W168" s="275">
        <v>93406</v>
      </c>
    </row>
    <row r="169" spans="2:23" ht="15.75" thickBot="1">
      <c r="B169" s="35" t="s">
        <v>74</v>
      </c>
      <c r="C169" s="36">
        <v>158792</v>
      </c>
      <c r="D169" s="36">
        <v>149158</v>
      </c>
      <c r="E169" s="36">
        <v>167573</v>
      </c>
      <c r="F169" s="36">
        <v>198178</v>
      </c>
      <c r="G169" s="36">
        <v>176530</v>
      </c>
      <c r="H169" s="36">
        <v>147393</v>
      </c>
      <c r="I169" s="36">
        <v>187595</v>
      </c>
      <c r="J169" s="36">
        <v>182282</v>
      </c>
      <c r="K169" s="36">
        <v>187827</v>
      </c>
      <c r="L169" s="36">
        <v>160411</v>
      </c>
      <c r="M169" s="36">
        <v>209591</v>
      </c>
      <c r="N169" s="36">
        <v>204813</v>
      </c>
      <c r="O169" s="36">
        <v>188239</v>
      </c>
      <c r="P169" s="36">
        <v>184750</v>
      </c>
      <c r="Q169" s="36">
        <v>198481</v>
      </c>
      <c r="R169" s="36">
        <v>212134</v>
      </c>
      <c r="S169" s="36">
        <v>218006</v>
      </c>
      <c r="T169" s="36">
        <v>186953</v>
      </c>
      <c r="V169" s="35" t="s">
        <v>74</v>
      </c>
      <c r="W169" s="276">
        <v>226862</v>
      </c>
    </row>
    <row r="170" spans="2:23" ht="15.75" thickBot="1">
      <c r="B170" s="37"/>
      <c r="C170" s="38"/>
      <c r="D170" s="38"/>
      <c r="E170" s="38"/>
      <c r="F170" s="38"/>
      <c r="G170" s="38"/>
      <c r="H170" s="38"/>
      <c r="I170" s="38"/>
      <c r="J170" s="38"/>
      <c r="K170" s="38"/>
      <c r="L170" s="38"/>
      <c r="M170" s="38"/>
      <c r="N170" s="38"/>
      <c r="O170" s="38"/>
      <c r="P170" s="38" t="s">
        <v>963</v>
      </c>
      <c r="Q170" s="38" t="s">
        <v>963</v>
      </c>
      <c r="R170" s="38" t="s">
        <v>963</v>
      </c>
      <c r="S170" s="38">
        <v>0</v>
      </c>
      <c r="T170" s="38"/>
      <c r="V170" s="37"/>
      <c r="W170" s="744"/>
    </row>
    <row r="171" spans="2:23" ht="15.75" thickBot="1">
      <c r="B171" s="43" t="s">
        <v>75</v>
      </c>
      <c r="C171" s="42"/>
      <c r="D171" s="42"/>
      <c r="E171" s="42"/>
      <c r="F171" s="42"/>
      <c r="G171" s="42"/>
      <c r="H171" s="42"/>
      <c r="I171" s="42"/>
      <c r="J171" s="42"/>
      <c r="K171" s="42"/>
      <c r="L171" s="42"/>
      <c r="M171" s="42"/>
      <c r="N171" s="42"/>
      <c r="O171" s="42"/>
      <c r="P171" s="42" t="s">
        <v>963</v>
      </c>
      <c r="Q171" s="42" t="s">
        <v>963</v>
      </c>
      <c r="R171" s="42" t="s">
        <v>963</v>
      </c>
      <c r="S171" s="42">
        <v>0</v>
      </c>
      <c r="T171" s="42"/>
      <c r="V171" s="43" t="s">
        <v>75</v>
      </c>
      <c r="W171" s="280"/>
    </row>
    <row r="172" spans="2:23" ht="16.5" thickBot="1">
      <c r="B172" s="30" t="s">
        <v>76</v>
      </c>
      <c r="C172" s="31">
        <v>73050</v>
      </c>
      <c r="D172" s="31">
        <v>73050</v>
      </c>
      <c r="E172" s="31">
        <v>73050</v>
      </c>
      <c r="F172" s="31">
        <v>73050</v>
      </c>
      <c r="G172" s="31">
        <v>73050</v>
      </c>
      <c r="H172" s="31">
        <v>73050</v>
      </c>
      <c r="I172" s="31">
        <v>73050</v>
      </c>
      <c r="J172" s="31">
        <v>73050</v>
      </c>
      <c r="K172" s="31">
        <v>73050</v>
      </c>
      <c r="L172" s="31">
        <v>73050</v>
      </c>
      <c r="M172" s="31">
        <v>73050</v>
      </c>
      <c r="N172" s="31">
        <v>73050</v>
      </c>
      <c r="O172" s="31">
        <v>73050</v>
      </c>
      <c r="P172" s="461">
        <v>73050</v>
      </c>
      <c r="Q172" s="31">
        <v>73050</v>
      </c>
      <c r="R172" s="31">
        <v>73050</v>
      </c>
      <c r="S172" s="31">
        <v>73050</v>
      </c>
      <c r="T172" s="31">
        <v>73050</v>
      </c>
      <c r="V172" s="30" t="s">
        <v>76</v>
      </c>
      <c r="W172" s="794">
        <v>73050</v>
      </c>
    </row>
    <row r="173" spans="2:23" ht="16.5" thickBot="1">
      <c r="B173" s="30" t="s">
        <v>77</v>
      </c>
      <c r="C173" s="31">
        <v>0</v>
      </c>
      <c r="D173" s="31">
        <v>0</v>
      </c>
      <c r="E173" s="31">
        <v>0</v>
      </c>
      <c r="F173" s="31">
        <v>0</v>
      </c>
      <c r="G173" s="31">
        <v>0</v>
      </c>
      <c r="H173" s="31">
        <v>0</v>
      </c>
      <c r="I173" s="31">
        <v>0</v>
      </c>
      <c r="J173" s="31">
        <v>0</v>
      </c>
      <c r="K173" s="31">
        <v>0</v>
      </c>
      <c r="L173" s="31">
        <v>0</v>
      </c>
      <c r="M173" s="31">
        <v>0</v>
      </c>
      <c r="N173" s="31">
        <v>0</v>
      </c>
      <c r="O173" s="31">
        <v>0</v>
      </c>
      <c r="P173" s="31" t="s">
        <v>962</v>
      </c>
      <c r="Q173" s="31" t="s">
        <v>1031</v>
      </c>
      <c r="R173" s="31" t="s">
        <v>1031</v>
      </c>
      <c r="S173" s="31" t="s">
        <v>1031</v>
      </c>
      <c r="T173" s="31" t="s">
        <v>1031</v>
      </c>
      <c r="V173" s="30" t="s">
        <v>77</v>
      </c>
      <c r="W173" s="803">
        <v>0</v>
      </c>
    </row>
    <row r="174" spans="2:23" ht="16.5" thickBot="1">
      <c r="B174" s="30" t="s">
        <v>78</v>
      </c>
      <c r="C174" s="31">
        <v>4962</v>
      </c>
      <c r="D174" s="31">
        <v>7325</v>
      </c>
      <c r="E174" s="31">
        <v>9767</v>
      </c>
      <c r="F174" s="31">
        <v>9767</v>
      </c>
      <c r="G174" s="31">
        <v>9767</v>
      </c>
      <c r="H174" s="31">
        <v>9767</v>
      </c>
      <c r="I174" s="31">
        <v>12414</v>
      </c>
      <c r="J174" s="31">
        <v>12414</v>
      </c>
      <c r="K174" s="31">
        <v>12414</v>
      </c>
      <c r="L174" s="31">
        <v>12414</v>
      </c>
      <c r="M174" s="31">
        <v>15709</v>
      </c>
      <c r="N174" s="31">
        <v>15709</v>
      </c>
      <c r="O174" s="31">
        <v>15709</v>
      </c>
      <c r="P174" s="31">
        <v>15709</v>
      </c>
      <c r="Q174" s="31">
        <v>18651</v>
      </c>
      <c r="R174" s="31">
        <v>18651</v>
      </c>
      <c r="S174" s="31">
        <v>18651</v>
      </c>
      <c r="T174" s="31">
        <v>18651</v>
      </c>
      <c r="V174" s="30" t="s">
        <v>78</v>
      </c>
      <c r="W174" s="794">
        <v>22460</v>
      </c>
    </row>
    <row r="175" spans="2:23" ht="16.5" thickBot="1">
      <c r="B175" s="30" t="s">
        <v>79</v>
      </c>
      <c r="C175" s="31">
        <v>-21651</v>
      </c>
      <c r="D175" s="31">
        <v>-21651</v>
      </c>
      <c r="E175" s="31">
        <v>-21650</v>
      </c>
      <c r="F175" s="31">
        <v>-21650</v>
      </c>
      <c r="G175" s="31">
        <v>-21650</v>
      </c>
      <c r="H175" s="31">
        <v>-22095</v>
      </c>
      <c r="I175" s="31">
        <v>-22095</v>
      </c>
      <c r="J175" s="31">
        <v>-22095</v>
      </c>
      <c r="K175" s="31">
        <v>-22095</v>
      </c>
      <c r="L175" s="31">
        <v>-22095</v>
      </c>
      <c r="M175" s="31">
        <v>-22095</v>
      </c>
      <c r="N175" s="31">
        <v>-22095</v>
      </c>
      <c r="O175" s="31">
        <v>-22095</v>
      </c>
      <c r="P175" s="31">
        <v>-22095</v>
      </c>
      <c r="Q175" s="31">
        <v>-22095</v>
      </c>
      <c r="R175" s="31">
        <v>-22095</v>
      </c>
      <c r="S175" s="31">
        <v>-22081</v>
      </c>
      <c r="T175" s="31">
        <v>-22095</v>
      </c>
      <c r="V175" s="30" t="s">
        <v>79</v>
      </c>
      <c r="W175" s="794">
        <v>-44474</v>
      </c>
    </row>
    <row r="176" spans="2:23" ht="16.5" thickBot="1">
      <c r="B176" s="30" t="s">
        <v>80</v>
      </c>
      <c r="C176" s="31">
        <v>23629</v>
      </c>
      <c r="D176" s="31">
        <v>24422</v>
      </c>
      <c r="E176" s="31">
        <v>6704</v>
      </c>
      <c r="F176" s="31">
        <v>15266</v>
      </c>
      <c r="G176" s="31">
        <v>22018</v>
      </c>
      <c r="H176" s="31">
        <v>26478</v>
      </c>
      <c r="I176" s="31">
        <v>7572</v>
      </c>
      <c r="J176" s="31">
        <v>14473</v>
      </c>
      <c r="K176" s="31">
        <v>22662</v>
      </c>
      <c r="L176" s="31">
        <v>32943</v>
      </c>
      <c r="M176" s="31">
        <v>8574</v>
      </c>
      <c r="N176" s="31">
        <v>13182</v>
      </c>
      <c r="O176" s="31">
        <v>21555</v>
      </c>
      <c r="P176" s="31">
        <v>29424</v>
      </c>
      <c r="Q176" s="31">
        <v>9070</v>
      </c>
      <c r="R176" s="31">
        <v>17966</v>
      </c>
      <c r="S176" s="31">
        <v>31368</v>
      </c>
      <c r="T176" s="31">
        <v>15713</v>
      </c>
      <c r="V176" s="30" t="s">
        <v>80</v>
      </c>
      <c r="W176" s="794">
        <v>11279</v>
      </c>
    </row>
    <row r="177" spans="1:23" ht="16.5" thickBot="1">
      <c r="B177" s="30" t="s">
        <v>81</v>
      </c>
      <c r="C177" s="31">
        <v>-3164</v>
      </c>
      <c r="D177" s="31">
        <v>-4108</v>
      </c>
      <c r="E177" s="31">
        <v>-4108</v>
      </c>
      <c r="F177" s="31">
        <v>-4108</v>
      </c>
      <c r="G177" s="31">
        <v>-4110</v>
      </c>
      <c r="H177" s="31">
        <v>-2991</v>
      </c>
      <c r="I177" s="31">
        <v>-2992</v>
      </c>
      <c r="J177" s="31">
        <v>-2991</v>
      </c>
      <c r="K177" s="31">
        <v>-2989</v>
      </c>
      <c r="L177" s="31">
        <v>-3975</v>
      </c>
      <c r="M177" s="31">
        <v>-3975</v>
      </c>
      <c r="N177" s="31">
        <v>-3975</v>
      </c>
      <c r="O177" s="31">
        <v>-3974</v>
      </c>
      <c r="P177" s="31">
        <v>-8588</v>
      </c>
      <c r="Q177" s="31">
        <v>-8588</v>
      </c>
      <c r="R177" s="31">
        <v>-8588</v>
      </c>
      <c r="S177" s="31">
        <v>-8292</v>
      </c>
      <c r="T177" s="31">
        <v>7715</v>
      </c>
      <c r="V177" s="30" t="s">
        <v>81</v>
      </c>
      <c r="W177" s="794">
        <v>7714</v>
      </c>
    </row>
    <row r="178" spans="1:23" ht="15.75" thickBot="1">
      <c r="B178" s="28" t="s">
        <v>84</v>
      </c>
      <c r="C178" s="34">
        <v>76826</v>
      </c>
      <c r="D178" s="34">
        <v>79038</v>
      </c>
      <c r="E178" s="34">
        <v>63763</v>
      </c>
      <c r="F178" s="34">
        <v>72325</v>
      </c>
      <c r="G178" s="34">
        <v>79075</v>
      </c>
      <c r="H178" s="34">
        <v>84209</v>
      </c>
      <c r="I178" s="34">
        <v>67949</v>
      </c>
      <c r="J178" s="34">
        <v>74851</v>
      </c>
      <c r="K178" s="34">
        <v>83042</v>
      </c>
      <c r="L178" s="34">
        <v>92337</v>
      </c>
      <c r="M178" s="34">
        <v>71263</v>
      </c>
      <c r="N178" s="34">
        <v>75871</v>
      </c>
      <c r="O178" s="34">
        <v>84245</v>
      </c>
      <c r="P178" s="34">
        <v>87500</v>
      </c>
      <c r="Q178" s="34">
        <v>70088</v>
      </c>
      <c r="R178" s="34">
        <v>78985</v>
      </c>
      <c r="S178" s="34">
        <v>92696</v>
      </c>
      <c r="T178" s="34">
        <v>93034</v>
      </c>
      <c r="V178" s="28" t="s">
        <v>84</v>
      </c>
      <c r="W178" s="275">
        <v>70029</v>
      </c>
    </row>
    <row r="179" spans="1:23" ht="15.75" thickBot="1">
      <c r="B179" s="47" t="s">
        <v>85</v>
      </c>
      <c r="C179" s="36">
        <v>235618</v>
      </c>
      <c r="D179" s="36">
        <v>228196</v>
      </c>
      <c r="E179" s="36">
        <v>231336</v>
      </c>
      <c r="F179" s="36">
        <v>270503</v>
      </c>
      <c r="G179" s="36">
        <v>255605</v>
      </c>
      <c r="H179" s="36">
        <v>231602</v>
      </c>
      <c r="I179" s="36">
        <v>255544</v>
      </c>
      <c r="J179" s="36">
        <v>257133</v>
      </c>
      <c r="K179" s="36">
        <v>270869</v>
      </c>
      <c r="L179" s="36">
        <v>252748</v>
      </c>
      <c r="M179" s="36">
        <v>280854</v>
      </c>
      <c r="N179" s="36">
        <v>280684</v>
      </c>
      <c r="O179" s="36">
        <v>272484</v>
      </c>
      <c r="P179" s="36">
        <v>272250</v>
      </c>
      <c r="Q179" s="36">
        <v>268569</v>
      </c>
      <c r="R179" s="36">
        <v>291119</v>
      </c>
      <c r="S179" s="36">
        <v>310702</v>
      </c>
      <c r="T179" s="36">
        <v>279987</v>
      </c>
      <c r="V179" s="47" t="s">
        <v>85</v>
      </c>
      <c r="W179" s="276">
        <v>296891</v>
      </c>
    </row>
    <row r="180" spans="1:23" ht="15.75">
      <c r="B180" s="8"/>
      <c r="C180" s="48">
        <f>+C146-C169-C178</f>
        <v>0</v>
      </c>
      <c r="D180" s="48">
        <f t="shared" ref="D180:N180" si="34">+D146-D169-D178</f>
        <v>0</v>
      </c>
      <c r="E180" s="48">
        <f t="shared" si="34"/>
        <v>0</v>
      </c>
      <c r="F180" s="48">
        <f t="shared" si="34"/>
        <v>0</v>
      </c>
      <c r="G180" s="48">
        <f t="shared" si="34"/>
        <v>0</v>
      </c>
      <c r="H180" s="48">
        <f t="shared" si="34"/>
        <v>0</v>
      </c>
      <c r="I180" s="48">
        <f t="shared" si="34"/>
        <v>0</v>
      </c>
      <c r="J180" s="48">
        <f t="shared" si="34"/>
        <v>0</v>
      </c>
      <c r="K180" s="48">
        <f t="shared" si="34"/>
        <v>0</v>
      </c>
      <c r="L180" s="48">
        <f t="shared" si="34"/>
        <v>0</v>
      </c>
      <c r="M180" s="48">
        <f t="shared" si="34"/>
        <v>0</v>
      </c>
      <c r="N180" s="48">
        <f t="shared" si="34"/>
        <v>0</v>
      </c>
      <c r="O180" s="281">
        <v>0</v>
      </c>
      <c r="T180" s="744"/>
    </row>
    <row r="181" spans="1:23" ht="15.75">
      <c r="C181" s="101">
        <f>+C114-C176</f>
        <v>0</v>
      </c>
      <c r="D181" s="101">
        <f>+D114-D176</f>
        <v>0</v>
      </c>
      <c r="E181" s="101">
        <f>+E114-E176</f>
        <v>0</v>
      </c>
      <c r="F181" s="101">
        <f>+F114+E114-F176</f>
        <v>0</v>
      </c>
      <c r="G181" s="101">
        <f>+G114+F114+E114-G176</f>
        <v>0</v>
      </c>
      <c r="H181" s="101">
        <f>+H114+G114+F114+E114-H176</f>
        <v>0</v>
      </c>
      <c r="I181" s="101">
        <f>+I114-I176</f>
        <v>0</v>
      </c>
      <c r="J181" s="101">
        <f>+J114+I114-J176</f>
        <v>0</v>
      </c>
      <c r="K181" s="101">
        <f>+K114+J114+I114-K176</f>
        <v>0</v>
      </c>
      <c r="L181" s="101">
        <f>+L114+K114+J114+I114-L176</f>
        <v>0</v>
      </c>
      <c r="M181" s="101">
        <f>+M114-M176</f>
        <v>0</v>
      </c>
      <c r="N181" s="101">
        <f>+N114+M114-N176</f>
        <v>0</v>
      </c>
      <c r="O181" s="282">
        <v>0</v>
      </c>
      <c r="P181" s="101"/>
      <c r="T181" s="744"/>
    </row>
    <row r="182" spans="1:23" ht="15.75">
      <c r="C182" s="114"/>
      <c r="D182" s="114"/>
      <c r="E182" s="114"/>
      <c r="F182" s="114"/>
      <c r="G182" s="114"/>
      <c r="H182" s="114"/>
      <c r="I182" s="114"/>
      <c r="J182" s="114"/>
      <c r="K182" s="114"/>
      <c r="L182" s="114"/>
      <c r="M182" s="114"/>
      <c r="N182" s="114"/>
      <c r="O182" s="289"/>
      <c r="T182" s="744"/>
    </row>
    <row r="183" spans="1:23" ht="15.75">
      <c r="A183" s="155" t="s">
        <v>469</v>
      </c>
      <c r="B183" s="19" t="s">
        <v>103</v>
      </c>
      <c r="C183" s="6"/>
      <c r="D183" s="6"/>
      <c r="E183" s="7"/>
      <c r="F183" s="6"/>
      <c r="G183" s="6"/>
      <c r="H183" s="6"/>
      <c r="I183" s="7"/>
      <c r="J183" s="6"/>
      <c r="K183" s="6"/>
      <c r="L183" s="6"/>
      <c r="M183" s="7"/>
      <c r="N183" s="6"/>
      <c r="O183" s="6"/>
      <c r="T183" s="744"/>
    </row>
    <row r="184" spans="1:23" ht="15.75">
      <c r="B184" s="21" t="s">
        <v>2</v>
      </c>
      <c r="C184" s="8"/>
      <c r="D184" s="8"/>
      <c r="E184" s="8"/>
      <c r="F184" s="8"/>
      <c r="G184" s="8"/>
      <c r="H184" s="8"/>
      <c r="I184" s="8"/>
      <c r="J184" s="8"/>
      <c r="K184" s="8"/>
      <c r="L184" s="8"/>
      <c r="M184" s="8"/>
      <c r="N184" s="8"/>
      <c r="O184" s="284"/>
      <c r="T184" s="744"/>
    </row>
    <row r="185" spans="1:23" ht="15.75">
      <c r="B185" s="9"/>
      <c r="C185" s="9"/>
      <c r="D185" s="9"/>
      <c r="E185" s="9"/>
      <c r="F185" s="9"/>
      <c r="G185" s="9"/>
      <c r="H185" s="9"/>
      <c r="I185" s="9"/>
      <c r="J185" s="9"/>
      <c r="K185" s="9"/>
      <c r="L185" s="9"/>
      <c r="M185" s="9"/>
      <c r="N185" s="9"/>
      <c r="O185" s="9"/>
      <c r="T185" s="744"/>
    </row>
    <row r="186" spans="1:23" s="51" customFormat="1">
      <c r="B186" s="52"/>
      <c r="C186" s="49">
        <v>2016</v>
      </c>
      <c r="D186" s="49">
        <v>2017</v>
      </c>
      <c r="E186" s="49" t="s">
        <v>3</v>
      </c>
      <c r="F186" s="49" t="s">
        <v>4</v>
      </c>
      <c r="G186" s="49" t="s">
        <v>5</v>
      </c>
      <c r="H186" s="49" t="s">
        <v>6</v>
      </c>
      <c r="I186" s="49" t="s">
        <v>7</v>
      </c>
      <c r="J186" s="49" t="s">
        <v>8</v>
      </c>
      <c r="K186" s="49" t="s">
        <v>9</v>
      </c>
      <c r="L186" s="49" t="s">
        <v>10</v>
      </c>
      <c r="M186" s="49" t="s">
        <v>11</v>
      </c>
      <c r="N186" s="49" t="s">
        <v>12</v>
      </c>
      <c r="O186" s="266" t="s">
        <v>626</v>
      </c>
      <c r="P186" s="266" t="s">
        <v>958</v>
      </c>
      <c r="Q186" s="266" t="s">
        <v>1014</v>
      </c>
      <c r="R186" s="266" t="s">
        <v>1048</v>
      </c>
      <c r="S186" s="266" t="s">
        <v>1187</v>
      </c>
      <c r="T186" s="266" t="s">
        <v>1239</v>
      </c>
      <c r="U186" s="744"/>
      <c r="V186" s="52"/>
      <c r="W186" s="266" t="s">
        <v>1292</v>
      </c>
    </row>
    <row r="187" spans="1:23" ht="15.75">
      <c r="B187" s="10"/>
      <c r="C187" s="11"/>
      <c r="D187" s="11"/>
      <c r="E187" s="11"/>
      <c r="F187" s="11"/>
      <c r="G187" s="11"/>
      <c r="H187" s="11"/>
      <c r="I187" s="11"/>
      <c r="J187" s="11"/>
      <c r="K187" s="11"/>
      <c r="L187" s="11"/>
      <c r="M187" s="11"/>
      <c r="N187" s="11"/>
      <c r="O187" s="9"/>
      <c r="Q187" s="135"/>
      <c r="T187" s="744"/>
      <c r="V187" s="10"/>
    </row>
    <row r="188" spans="1:23" ht="15.75">
      <c r="B188" s="12" t="s">
        <v>88</v>
      </c>
      <c r="C188" s="13">
        <v>129114</v>
      </c>
      <c r="D188" s="13">
        <v>129681</v>
      </c>
      <c r="E188" s="13">
        <v>32993</v>
      </c>
      <c r="F188" s="13">
        <v>32961</v>
      </c>
      <c r="G188" s="13">
        <v>33349</v>
      </c>
      <c r="H188" s="13">
        <v>33847</v>
      </c>
      <c r="I188" s="13">
        <v>34073</v>
      </c>
      <c r="J188" s="13">
        <v>34509</v>
      </c>
      <c r="K188" s="13">
        <v>35213</v>
      </c>
      <c r="L188" s="13">
        <v>35723</v>
      </c>
      <c r="M188" s="13">
        <v>35290</v>
      </c>
      <c r="N188" s="13">
        <v>35995</v>
      </c>
      <c r="O188" s="13">
        <v>35693</v>
      </c>
      <c r="P188" s="13">
        <v>36252</v>
      </c>
      <c r="Q188" s="285">
        <v>36593</v>
      </c>
      <c r="R188" s="285">
        <v>38796</v>
      </c>
      <c r="S188" s="285">
        <v>40453</v>
      </c>
      <c r="T188" s="285">
        <v>41478</v>
      </c>
      <c r="V188" s="129" t="s">
        <v>1300</v>
      </c>
      <c r="W188" s="285">
        <v>44664</v>
      </c>
    </row>
    <row r="189" spans="1:23" ht="15.75">
      <c r="B189" s="12" t="s">
        <v>89</v>
      </c>
      <c r="C189" s="13">
        <v>105814</v>
      </c>
      <c r="D189" s="13">
        <v>105442</v>
      </c>
      <c r="E189" s="13">
        <v>26867</v>
      </c>
      <c r="F189" s="13">
        <v>27098</v>
      </c>
      <c r="G189" s="13">
        <v>27421</v>
      </c>
      <c r="H189" s="13">
        <v>29532</v>
      </c>
      <c r="I189" s="13">
        <v>28710</v>
      </c>
      <c r="J189" s="13">
        <v>29079</v>
      </c>
      <c r="K189" s="13">
        <v>29392</v>
      </c>
      <c r="L189" s="13">
        <v>30072</v>
      </c>
      <c r="M189" s="13">
        <v>29659</v>
      </c>
      <c r="N189" s="13">
        <v>29636</v>
      </c>
      <c r="O189" s="13">
        <v>29580</v>
      </c>
      <c r="P189" s="13">
        <v>30364</v>
      </c>
      <c r="Q189" s="285">
        <v>30656</v>
      </c>
      <c r="R189" s="285">
        <v>32697</v>
      </c>
      <c r="S189" s="285">
        <v>32684</v>
      </c>
      <c r="T189" s="285">
        <v>35783</v>
      </c>
      <c r="V189" s="129" t="s">
        <v>1301</v>
      </c>
      <c r="W189" s="285">
        <v>37512</v>
      </c>
    </row>
    <row r="190" spans="1:23" ht="15.75">
      <c r="B190" s="12" t="s">
        <v>104</v>
      </c>
      <c r="C190" s="13">
        <v>101</v>
      </c>
      <c r="D190" s="13">
        <v>75</v>
      </c>
      <c r="E190" s="13">
        <v>18</v>
      </c>
      <c r="F190" s="13">
        <v>18</v>
      </c>
      <c r="G190" s="13">
        <v>361</v>
      </c>
      <c r="H190" s="13">
        <v>-325</v>
      </c>
      <c r="I190" s="13">
        <v>18</v>
      </c>
      <c r="J190" s="13">
        <v>19</v>
      </c>
      <c r="K190" s="13">
        <v>19</v>
      </c>
      <c r="L190" s="13">
        <v>18</v>
      </c>
      <c r="M190" s="13">
        <v>19</v>
      </c>
      <c r="N190" s="13">
        <v>19</v>
      </c>
      <c r="O190" s="13">
        <v>19</v>
      </c>
      <c r="P190" s="13">
        <v>19</v>
      </c>
      <c r="Q190" s="285">
        <v>19</v>
      </c>
      <c r="R190" s="285">
        <v>20</v>
      </c>
      <c r="S190" s="285">
        <v>20</v>
      </c>
      <c r="T190" s="285">
        <v>20</v>
      </c>
      <c r="V190" s="129" t="s">
        <v>1312</v>
      </c>
      <c r="W190" s="285">
        <v>21</v>
      </c>
    </row>
    <row r="191" spans="1:23" ht="15.75">
      <c r="B191" s="12" t="s">
        <v>22</v>
      </c>
      <c r="C191" s="13">
        <v>8443</v>
      </c>
      <c r="D191" s="13">
        <v>8866</v>
      </c>
      <c r="E191" s="13">
        <v>2525</v>
      </c>
      <c r="F191" s="13">
        <v>2019</v>
      </c>
      <c r="G191" s="13">
        <v>1974</v>
      </c>
      <c r="H191" s="13">
        <v>2702</v>
      </c>
      <c r="I191" s="13">
        <v>1370</v>
      </c>
      <c r="J191" s="13">
        <v>2975</v>
      </c>
      <c r="K191" s="13">
        <v>2660</v>
      </c>
      <c r="L191" s="13">
        <v>3527</v>
      </c>
      <c r="M191" s="13">
        <v>1913</v>
      </c>
      <c r="N191" s="13">
        <v>2026</v>
      </c>
      <c r="O191" s="13">
        <v>2111</v>
      </c>
      <c r="P191" s="13">
        <v>2841</v>
      </c>
      <c r="Q191" s="285">
        <v>2890</v>
      </c>
      <c r="R191" s="285">
        <v>1956</v>
      </c>
      <c r="S191" s="285">
        <v>2014</v>
      </c>
      <c r="T191" s="285">
        <v>2319</v>
      </c>
      <c r="V191" s="129" t="s">
        <v>1304</v>
      </c>
      <c r="W191" s="285">
        <v>1544</v>
      </c>
    </row>
    <row r="192" spans="1:23" ht="15.75">
      <c r="B192" s="12" t="s">
        <v>23</v>
      </c>
      <c r="C192" s="13">
        <v>78240</v>
      </c>
      <c r="D192" s="13">
        <v>80724</v>
      </c>
      <c r="E192" s="13">
        <v>19907</v>
      </c>
      <c r="F192" s="13">
        <v>19822</v>
      </c>
      <c r="G192" s="13">
        <v>20044</v>
      </c>
      <c r="H192" s="13">
        <v>23718</v>
      </c>
      <c r="I192" s="13">
        <v>19579</v>
      </c>
      <c r="J192" s="13">
        <v>20953</v>
      </c>
      <c r="K192" s="13">
        <v>20303</v>
      </c>
      <c r="L192" s="13">
        <v>25693</v>
      </c>
      <c r="M192" s="13">
        <v>21797</v>
      </c>
      <c r="N192" s="13">
        <v>20844</v>
      </c>
      <c r="O192" s="13">
        <v>20757</v>
      </c>
      <c r="P192" s="13">
        <v>27753</v>
      </c>
      <c r="Q192" s="285">
        <v>21118</v>
      </c>
      <c r="R192" s="285">
        <v>22352</v>
      </c>
      <c r="S192" s="285">
        <v>21376</v>
      </c>
      <c r="T192" s="285">
        <v>30333</v>
      </c>
      <c r="V192" s="129" t="s">
        <v>1305</v>
      </c>
      <c r="W192" s="285">
        <v>23627</v>
      </c>
    </row>
    <row r="193" spans="1:23" ht="15.75">
      <c r="B193" s="16" t="s">
        <v>92</v>
      </c>
      <c r="C193" s="252">
        <f>+C188+C189+C190+C191-C192</f>
        <v>165232</v>
      </c>
      <c r="D193" s="252">
        <f t="shared" ref="D193:P193" si="35">+D188+D189+D190+D191-D192</f>
        <v>163340</v>
      </c>
      <c r="E193" s="252">
        <f t="shared" si="35"/>
        <v>42496</v>
      </c>
      <c r="F193" s="252">
        <f t="shared" si="35"/>
        <v>42274</v>
      </c>
      <c r="G193" s="252">
        <f t="shared" si="35"/>
        <v>43061</v>
      </c>
      <c r="H193" s="252">
        <f t="shared" si="35"/>
        <v>42038</v>
      </c>
      <c r="I193" s="252">
        <f t="shared" si="35"/>
        <v>44592</v>
      </c>
      <c r="J193" s="252">
        <f t="shared" si="35"/>
        <v>45629</v>
      </c>
      <c r="K193" s="252">
        <f t="shared" si="35"/>
        <v>46981</v>
      </c>
      <c r="L193" s="252">
        <f t="shared" si="35"/>
        <v>43647</v>
      </c>
      <c r="M193" s="252">
        <f t="shared" si="35"/>
        <v>45084</v>
      </c>
      <c r="N193" s="252">
        <f t="shared" si="35"/>
        <v>46832</v>
      </c>
      <c r="O193" s="252">
        <f t="shared" si="35"/>
        <v>46646</v>
      </c>
      <c r="P193" s="252">
        <f t="shared" si="35"/>
        <v>41723</v>
      </c>
      <c r="Q193" s="286">
        <v>49040</v>
      </c>
      <c r="R193" s="286">
        <v>51117</v>
      </c>
      <c r="S193" s="286">
        <v>53795</v>
      </c>
      <c r="T193" s="286">
        <v>49267</v>
      </c>
      <c r="V193" s="129" t="s">
        <v>1032</v>
      </c>
      <c r="W193" s="285">
        <v>9325</v>
      </c>
    </row>
    <row r="194" spans="1:23" ht="15.75">
      <c r="B194" s="10"/>
      <c r="C194" s="131"/>
      <c r="D194" s="131"/>
      <c r="E194" s="131"/>
      <c r="F194" s="131"/>
      <c r="G194" s="131"/>
      <c r="H194" s="131"/>
      <c r="I194" s="131"/>
      <c r="J194" s="131"/>
      <c r="K194" s="131"/>
      <c r="L194" s="131"/>
      <c r="M194" s="131"/>
      <c r="N194" s="131"/>
      <c r="O194" s="131"/>
      <c r="P194" s="131"/>
      <c r="Q194" s="9"/>
      <c r="R194" s="9"/>
      <c r="S194" s="9"/>
      <c r="T194" s="745"/>
      <c r="V194" s="227" t="s">
        <v>1298</v>
      </c>
      <c r="W194" s="286">
        <v>50789</v>
      </c>
    </row>
    <row r="195" spans="1:23" ht="15.75">
      <c r="B195" s="12" t="s">
        <v>1032</v>
      </c>
      <c r="C195" s="13">
        <v>60663</v>
      </c>
      <c r="D195" s="13">
        <v>43503</v>
      </c>
      <c r="E195" s="13">
        <v>10214</v>
      </c>
      <c r="F195" s="13">
        <v>10258</v>
      </c>
      <c r="G195" s="13">
        <v>10298</v>
      </c>
      <c r="H195" s="13">
        <v>11049</v>
      </c>
      <c r="I195" s="13">
        <v>10283</v>
      </c>
      <c r="J195" s="13">
        <v>10361</v>
      </c>
      <c r="K195" s="13">
        <v>10605</v>
      </c>
      <c r="L195" s="13">
        <v>10757</v>
      </c>
      <c r="M195" s="13">
        <v>9941</v>
      </c>
      <c r="N195" s="13">
        <v>9884</v>
      </c>
      <c r="O195" s="13">
        <v>8528</v>
      </c>
      <c r="P195" s="13">
        <v>18333</v>
      </c>
      <c r="Q195" s="285">
        <v>9479</v>
      </c>
      <c r="R195" s="285">
        <v>9503</v>
      </c>
      <c r="S195" s="285">
        <v>9536</v>
      </c>
      <c r="T195" s="285">
        <v>5798</v>
      </c>
      <c r="V195" s="790"/>
      <c r="W195" s="285"/>
    </row>
    <row r="196" spans="1:23" ht="15.75">
      <c r="B196" s="12" t="s">
        <v>27</v>
      </c>
      <c r="C196" s="13">
        <v>51858</v>
      </c>
      <c r="D196" s="13">
        <v>50752</v>
      </c>
      <c r="E196" s="13">
        <v>14600</v>
      </c>
      <c r="F196" s="13">
        <v>15412</v>
      </c>
      <c r="G196" s="13">
        <v>16495</v>
      </c>
      <c r="H196" s="13">
        <v>23021</v>
      </c>
      <c r="I196" s="13">
        <v>19715</v>
      </c>
      <c r="J196" s="13">
        <v>20515</v>
      </c>
      <c r="K196" s="13">
        <v>21108</v>
      </c>
      <c r="L196" s="13">
        <v>39996</v>
      </c>
      <c r="M196" s="13">
        <v>21539</v>
      </c>
      <c r="N196" s="13">
        <v>24125</v>
      </c>
      <c r="O196" s="13">
        <v>21737</v>
      </c>
      <c r="P196" s="13">
        <v>20279</v>
      </c>
      <c r="Q196" s="285">
        <v>22231</v>
      </c>
      <c r="R196" s="285">
        <v>22250</v>
      </c>
      <c r="S196" s="285">
        <v>24412</v>
      </c>
      <c r="T196" s="285">
        <v>24154</v>
      </c>
      <c r="V196" s="129" t="s">
        <v>27</v>
      </c>
      <c r="W196" s="285">
        <v>17689</v>
      </c>
    </row>
    <row r="197" spans="1:23" ht="15.75">
      <c r="B197" s="12" t="s">
        <v>1033</v>
      </c>
      <c r="C197" s="13">
        <v>1526</v>
      </c>
      <c r="D197" s="13">
        <v>5283</v>
      </c>
      <c r="E197" s="13">
        <v>1214</v>
      </c>
      <c r="F197" s="13">
        <v>1912</v>
      </c>
      <c r="G197" s="13">
        <v>-2580</v>
      </c>
      <c r="H197" s="13">
        <v>-2984</v>
      </c>
      <c r="I197" s="13">
        <v>-41</v>
      </c>
      <c r="J197" s="13">
        <v>-782</v>
      </c>
      <c r="K197" s="13">
        <v>-1807</v>
      </c>
      <c r="L197" s="13">
        <v>-6778</v>
      </c>
      <c r="M197" s="13">
        <v>563</v>
      </c>
      <c r="N197" s="13">
        <v>169</v>
      </c>
      <c r="O197" s="13">
        <v>-3330</v>
      </c>
      <c r="P197" s="13">
        <v>-4923</v>
      </c>
      <c r="Q197" s="285">
        <v>438</v>
      </c>
      <c r="R197" s="285">
        <v>-296</v>
      </c>
      <c r="S197" s="285">
        <v>-2400</v>
      </c>
      <c r="T197" s="285">
        <v>-3070</v>
      </c>
      <c r="V197" s="129" t="s">
        <v>1033</v>
      </c>
      <c r="W197" s="285">
        <v>828</v>
      </c>
    </row>
    <row r="198" spans="1:23" ht="15.75">
      <c r="B198" s="16" t="s">
        <v>29</v>
      </c>
      <c r="C198" s="253">
        <f>+C193-C195+C196+C197</f>
        <v>157953</v>
      </c>
      <c r="D198" s="253">
        <f>+D193-D195+D196+D197</f>
        <v>175872</v>
      </c>
      <c r="E198" s="253">
        <f t="shared" ref="E198:O198" si="36">+E193-E195+E196+E197</f>
        <v>48096</v>
      </c>
      <c r="F198" s="253">
        <f t="shared" si="36"/>
        <v>49340</v>
      </c>
      <c r="G198" s="253">
        <f t="shared" si="36"/>
        <v>46678</v>
      </c>
      <c r="H198" s="253">
        <f t="shared" si="36"/>
        <v>51026</v>
      </c>
      <c r="I198" s="253">
        <f t="shared" si="36"/>
        <v>53983</v>
      </c>
      <c r="J198" s="253">
        <f t="shared" si="36"/>
        <v>55001</v>
      </c>
      <c r="K198" s="253">
        <f t="shared" si="36"/>
        <v>55677</v>
      </c>
      <c r="L198" s="253">
        <f t="shared" si="36"/>
        <v>66108</v>
      </c>
      <c r="M198" s="253">
        <f t="shared" si="36"/>
        <v>57245</v>
      </c>
      <c r="N198" s="253">
        <f t="shared" si="36"/>
        <v>61242</v>
      </c>
      <c r="O198" s="253">
        <f t="shared" si="36"/>
        <v>56525</v>
      </c>
      <c r="P198" s="253">
        <f>+P193-P195+P196+P197</f>
        <v>38746</v>
      </c>
      <c r="Q198" s="287">
        <v>62230</v>
      </c>
      <c r="R198" s="287">
        <v>63568</v>
      </c>
      <c r="S198" s="287">
        <v>66271</v>
      </c>
      <c r="T198" s="287">
        <v>64553</v>
      </c>
      <c r="V198" s="130" t="s">
        <v>29</v>
      </c>
      <c r="W198" s="287">
        <v>69306</v>
      </c>
    </row>
    <row r="199" spans="1:23" ht="15.75">
      <c r="B199" s="12"/>
      <c r="C199" s="13"/>
      <c r="D199" s="13"/>
      <c r="E199" s="13"/>
      <c r="F199" s="13"/>
      <c r="G199" s="13"/>
      <c r="H199" s="13"/>
      <c r="I199" s="13"/>
      <c r="J199" s="13"/>
      <c r="K199" s="13"/>
      <c r="L199" s="13"/>
      <c r="M199" s="13"/>
      <c r="N199" s="13"/>
      <c r="O199" s="13"/>
      <c r="P199" s="13"/>
      <c r="Q199" s="285"/>
      <c r="R199" s="285"/>
      <c r="S199" s="285">
        <v>0</v>
      </c>
      <c r="T199" s="285"/>
      <c r="V199" s="129"/>
      <c r="W199" s="285"/>
    </row>
    <row r="200" spans="1:23" ht="15.75">
      <c r="B200" s="12" t="s">
        <v>30</v>
      </c>
      <c r="C200" s="13">
        <v>-43180</v>
      </c>
      <c r="D200" s="13">
        <v>-29658</v>
      </c>
      <c r="E200" s="13">
        <v>-7224</v>
      </c>
      <c r="F200" s="13">
        <v>-6370</v>
      </c>
      <c r="G200" s="13">
        <v>-6374</v>
      </c>
      <c r="H200" s="13">
        <v>-5931</v>
      </c>
      <c r="I200" s="13">
        <v>-4724</v>
      </c>
      <c r="J200" s="13">
        <v>-5948</v>
      </c>
      <c r="K200" s="13">
        <v>-7235</v>
      </c>
      <c r="L200" s="13">
        <v>-6974</v>
      </c>
      <c r="M200" s="13">
        <v>-6659</v>
      </c>
      <c r="N200" s="13">
        <v>-9103</v>
      </c>
      <c r="O200" s="13">
        <v>-6593</v>
      </c>
      <c r="P200" s="13">
        <v>-5477</v>
      </c>
      <c r="Q200" s="285">
        <v>-4138</v>
      </c>
      <c r="R200" s="285">
        <v>-7181</v>
      </c>
      <c r="S200" s="285">
        <v>-7986</v>
      </c>
      <c r="T200" s="285">
        <v>-8830</v>
      </c>
      <c r="V200" s="129" t="s">
        <v>30</v>
      </c>
      <c r="W200" s="285">
        <v>-9013</v>
      </c>
    </row>
    <row r="201" spans="1:23" ht="15.75">
      <c r="B201" s="16" t="s">
        <v>31</v>
      </c>
      <c r="C201" s="253">
        <f>+C198+C200</f>
        <v>114773</v>
      </c>
      <c r="D201" s="253">
        <f t="shared" ref="D201:O201" si="37">+D198+D200</f>
        <v>146214</v>
      </c>
      <c r="E201" s="253">
        <f t="shared" si="37"/>
        <v>40872</v>
      </c>
      <c r="F201" s="253">
        <f t="shared" si="37"/>
        <v>42970</v>
      </c>
      <c r="G201" s="253">
        <f t="shared" si="37"/>
        <v>40304</v>
      </c>
      <c r="H201" s="253">
        <f t="shared" si="37"/>
        <v>45095</v>
      </c>
      <c r="I201" s="253">
        <f t="shared" si="37"/>
        <v>49259</v>
      </c>
      <c r="J201" s="253">
        <f t="shared" si="37"/>
        <v>49053</v>
      </c>
      <c r="K201" s="253">
        <f t="shared" si="37"/>
        <v>48442</v>
      </c>
      <c r="L201" s="253">
        <f t="shared" si="37"/>
        <v>59134</v>
      </c>
      <c r="M201" s="253">
        <f t="shared" si="37"/>
        <v>50586</v>
      </c>
      <c r="N201" s="253">
        <f t="shared" si="37"/>
        <v>52139</v>
      </c>
      <c r="O201" s="253">
        <f t="shared" si="37"/>
        <v>49932</v>
      </c>
      <c r="P201" s="253">
        <f>+P198+P200</f>
        <v>33269</v>
      </c>
      <c r="Q201" s="287">
        <v>58092</v>
      </c>
      <c r="R201" s="287">
        <v>56387</v>
      </c>
      <c r="S201" s="287">
        <v>58285</v>
      </c>
      <c r="T201" s="287">
        <v>55723</v>
      </c>
      <c r="V201" s="130" t="s">
        <v>31</v>
      </c>
      <c r="W201" s="287">
        <v>60293</v>
      </c>
    </row>
    <row r="202" spans="1:23" ht="15.75">
      <c r="B202" s="10"/>
      <c r="C202" s="131"/>
      <c r="D202" s="131"/>
      <c r="E202" s="131"/>
      <c r="F202" s="131"/>
      <c r="G202" s="131"/>
      <c r="H202" s="131"/>
      <c r="I202" s="131"/>
      <c r="J202" s="131"/>
      <c r="K202" s="131"/>
      <c r="L202" s="131"/>
      <c r="M202" s="131"/>
      <c r="N202" s="131"/>
      <c r="O202" s="131"/>
      <c r="P202" s="131"/>
      <c r="Q202" s="9"/>
      <c r="R202" s="9"/>
      <c r="S202" s="9"/>
      <c r="T202" s="745"/>
      <c r="V202" s="10"/>
      <c r="W202" s="745"/>
    </row>
    <row r="203" spans="1:23" ht="15.75">
      <c r="B203" s="12" t="s">
        <v>32</v>
      </c>
      <c r="C203" s="13">
        <v>26011</v>
      </c>
      <c r="D203" s="13">
        <v>38236</v>
      </c>
      <c r="E203" s="13">
        <v>9756</v>
      </c>
      <c r="F203" s="13">
        <v>10072</v>
      </c>
      <c r="G203" s="13">
        <v>8319</v>
      </c>
      <c r="H203" s="13">
        <v>5310</v>
      </c>
      <c r="I203" s="13">
        <v>9609</v>
      </c>
      <c r="J203" s="13">
        <v>10092</v>
      </c>
      <c r="K203" s="13">
        <v>8936</v>
      </c>
      <c r="L203" s="13">
        <v>6632</v>
      </c>
      <c r="M203" s="13">
        <v>10350</v>
      </c>
      <c r="N203" s="13">
        <v>11503</v>
      </c>
      <c r="O203" s="13">
        <v>11416</v>
      </c>
      <c r="P203" s="13">
        <v>5842</v>
      </c>
      <c r="Q203" s="285">
        <v>11489</v>
      </c>
      <c r="R203" s="285">
        <v>11191</v>
      </c>
      <c r="S203" s="285">
        <v>11138</v>
      </c>
      <c r="T203" s="285">
        <v>10645</v>
      </c>
      <c r="V203" s="129" t="s">
        <v>32</v>
      </c>
      <c r="W203" s="285">
        <v>-14488</v>
      </c>
    </row>
    <row r="204" spans="1:23" ht="15.75">
      <c r="B204" s="16" t="s">
        <v>35</v>
      </c>
      <c r="C204" s="253">
        <f>+C201-C203</f>
        <v>88762</v>
      </c>
      <c r="D204" s="253">
        <f t="shared" ref="D204:O204" si="38">+D201-D203</f>
        <v>107978</v>
      </c>
      <c r="E204" s="253">
        <f t="shared" si="38"/>
        <v>31116</v>
      </c>
      <c r="F204" s="253">
        <f t="shared" si="38"/>
        <v>32898</v>
      </c>
      <c r="G204" s="253">
        <f t="shared" si="38"/>
        <v>31985</v>
      </c>
      <c r="H204" s="253">
        <f t="shared" si="38"/>
        <v>39785</v>
      </c>
      <c r="I204" s="253">
        <f t="shared" si="38"/>
        <v>39650</v>
      </c>
      <c r="J204" s="253">
        <f t="shared" si="38"/>
        <v>38961</v>
      </c>
      <c r="K204" s="253">
        <f t="shared" si="38"/>
        <v>39506</v>
      </c>
      <c r="L204" s="253">
        <f t="shared" si="38"/>
        <v>52502</v>
      </c>
      <c r="M204" s="253">
        <f>+M201-M203</f>
        <v>40236</v>
      </c>
      <c r="N204" s="253">
        <f t="shared" si="38"/>
        <v>40636</v>
      </c>
      <c r="O204" s="253">
        <f t="shared" si="38"/>
        <v>38516</v>
      </c>
      <c r="P204" s="253">
        <f>+P201-P203</f>
        <v>27427</v>
      </c>
      <c r="Q204" s="287">
        <v>46603</v>
      </c>
      <c r="R204" s="287">
        <v>45196</v>
      </c>
      <c r="S204" s="287">
        <v>47147</v>
      </c>
      <c r="T204" s="287">
        <v>45078</v>
      </c>
      <c r="V204" s="130" t="s">
        <v>35</v>
      </c>
      <c r="W204" s="287">
        <v>45805</v>
      </c>
    </row>
    <row r="205" spans="1:23" ht="15.75">
      <c r="O205" s="265"/>
      <c r="Q205" s="135"/>
      <c r="T205" s="744"/>
      <c r="V205" s="790"/>
      <c r="W205" s="744"/>
    </row>
    <row r="206" spans="1:23" s="1" customFormat="1" ht="15.75">
      <c r="O206" s="265"/>
      <c r="Q206" s="135"/>
      <c r="R206" s="135"/>
      <c r="S206" s="135"/>
      <c r="T206" s="744"/>
      <c r="U206" s="744"/>
      <c r="V206" s="791" t="s">
        <v>1299</v>
      </c>
      <c r="W206" s="287">
        <v>81127</v>
      </c>
    </row>
    <row r="207" spans="1:23" s="1" customFormat="1" ht="15.75">
      <c r="A207" s="155" t="s">
        <v>469</v>
      </c>
      <c r="B207" s="19" t="s">
        <v>105</v>
      </c>
      <c r="O207" s="265"/>
      <c r="Q207" s="135"/>
      <c r="R207" s="135"/>
      <c r="S207" s="135"/>
      <c r="T207" s="744"/>
      <c r="U207" s="744"/>
    </row>
    <row r="208" spans="1:23" ht="15.75">
      <c r="B208" s="21" t="s">
        <v>2</v>
      </c>
      <c r="C208" s="1"/>
      <c r="D208" s="1"/>
      <c r="E208" s="1"/>
      <c r="F208" s="1"/>
      <c r="G208" s="1"/>
      <c r="H208" s="1"/>
      <c r="I208" s="1"/>
      <c r="J208" s="1"/>
      <c r="K208" s="1"/>
      <c r="L208" s="1"/>
      <c r="M208" s="1"/>
      <c r="N208" s="1"/>
      <c r="O208" s="265"/>
      <c r="Q208" s="135"/>
      <c r="T208" s="744"/>
    </row>
    <row r="209" spans="2:23" ht="15.75">
      <c r="O209" s="265"/>
      <c r="Q209" s="135"/>
      <c r="T209" s="744"/>
    </row>
    <row r="210" spans="2:23" ht="15.75" thickBot="1">
      <c r="B210" s="54"/>
      <c r="C210" s="55"/>
      <c r="D210" s="55"/>
      <c r="E210" s="55"/>
      <c r="F210" s="55"/>
      <c r="G210" s="55"/>
      <c r="H210" s="55"/>
      <c r="I210" s="55"/>
      <c r="J210" s="55"/>
      <c r="K210" s="55"/>
      <c r="L210" s="55"/>
      <c r="M210" s="55"/>
      <c r="N210" s="55"/>
      <c r="O210" s="290"/>
      <c r="P210" s="290"/>
      <c r="Q210" s="290"/>
      <c r="R210" s="290"/>
      <c r="S210" s="290"/>
      <c r="T210" s="290"/>
      <c r="V210" s="54"/>
      <c r="W210" s="804" t="s">
        <v>1292</v>
      </c>
    </row>
    <row r="211" spans="2:23" ht="15.75" thickBot="1">
      <c r="B211" s="56" t="s">
        <v>37</v>
      </c>
      <c r="C211" s="57"/>
      <c r="D211" s="57"/>
      <c r="E211" s="57"/>
      <c r="F211" s="57"/>
      <c r="G211" s="57"/>
      <c r="H211" s="57"/>
      <c r="I211" s="57"/>
      <c r="J211" s="57"/>
      <c r="K211" s="57"/>
      <c r="L211" s="57"/>
      <c r="M211" s="56"/>
      <c r="N211" s="56"/>
      <c r="O211" s="291"/>
      <c r="P211" s="291"/>
      <c r="Q211" s="291"/>
      <c r="R211" s="291"/>
      <c r="S211" s="291"/>
      <c r="T211" s="291"/>
      <c r="V211" s="56" t="s">
        <v>37</v>
      </c>
      <c r="W211" s="291"/>
    </row>
    <row r="212" spans="2:23" ht="15.75" thickBot="1">
      <c r="B212" s="58" t="s">
        <v>38</v>
      </c>
      <c r="C212" s="59"/>
      <c r="D212" s="59"/>
      <c r="E212" s="59"/>
      <c r="F212" s="59"/>
      <c r="G212" s="59"/>
      <c r="H212" s="59"/>
      <c r="I212" s="59"/>
      <c r="J212" s="59"/>
      <c r="K212" s="59"/>
      <c r="L212" s="59"/>
      <c r="M212" s="59"/>
      <c r="N212" s="59"/>
      <c r="O212" s="292"/>
      <c r="P212" s="292"/>
      <c r="Q212" s="292"/>
      <c r="R212" s="292"/>
      <c r="S212" s="292"/>
      <c r="T212" s="746"/>
      <c r="V212" s="58" t="s">
        <v>38</v>
      </c>
      <c r="W212" s="746"/>
    </row>
    <row r="213" spans="2:23" ht="16.5" thickBot="1">
      <c r="B213" s="60" t="s">
        <v>39</v>
      </c>
      <c r="C213" s="61">
        <v>42610</v>
      </c>
      <c r="D213" s="61">
        <v>37156</v>
      </c>
      <c r="E213" s="61">
        <v>25585</v>
      </c>
      <c r="F213" s="61">
        <v>22251</v>
      </c>
      <c r="G213" s="61">
        <v>31573</v>
      </c>
      <c r="H213" s="61">
        <v>47764</v>
      </c>
      <c r="I213" s="61">
        <v>24298</v>
      </c>
      <c r="J213" s="61">
        <v>10663</v>
      </c>
      <c r="K213" s="61">
        <v>25334</v>
      </c>
      <c r="L213" s="61">
        <v>31863</v>
      </c>
      <c r="M213" s="61">
        <v>37743</v>
      </c>
      <c r="N213" s="61">
        <v>59893</v>
      </c>
      <c r="O213" s="283">
        <v>63820</v>
      </c>
      <c r="P213" s="283">
        <v>70596</v>
      </c>
      <c r="Q213" s="273">
        <v>53444</v>
      </c>
      <c r="R213" s="273">
        <v>119605</v>
      </c>
      <c r="S213" s="273">
        <v>134798</v>
      </c>
      <c r="T213" s="273">
        <v>97288</v>
      </c>
      <c r="V213" s="60" t="s">
        <v>39</v>
      </c>
      <c r="W213" s="273">
        <v>51602</v>
      </c>
    </row>
    <row r="214" spans="2:23" ht="16.5" thickBot="1">
      <c r="B214" s="60" t="s">
        <v>40</v>
      </c>
      <c r="C214" s="61">
        <v>29125</v>
      </c>
      <c r="D214" s="61">
        <v>31485</v>
      </c>
      <c r="E214" s="61">
        <v>70841</v>
      </c>
      <c r="F214" s="61">
        <v>30922</v>
      </c>
      <c r="G214" s="61">
        <v>32474</v>
      </c>
      <c r="H214" s="61">
        <v>29773</v>
      </c>
      <c r="I214" s="61">
        <v>108812</v>
      </c>
      <c r="J214" s="61">
        <v>31981</v>
      </c>
      <c r="K214" s="61">
        <v>32713</v>
      </c>
      <c r="L214" s="61">
        <f>34215+32941</f>
        <v>67156</v>
      </c>
      <c r="M214" s="61">
        <v>36460</v>
      </c>
      <c r="N214" s="61">
        <v>34033</v>
      </c>
      <c r="O214" s="283">
        <v>33819</v>
      </c>
      <c r="P214" s="283">
        <v>36713</v>
      </c>
      <c r="Q214" s="273">
        <v>88174</v>
      </c>
      <c r="R214" s="273">
        <v>37783</v>
      </c>
      <c r="S214" s="273">
        <v>36873</v>
      </c>
      <c r="T214" s="273">
        <v>38110</v>
      </c>
      <c r="V214" s="60" t="s">
        <v>40</v>
      </c>
      <c r="W214" s="273">
        <v>92248</v>
      </c>
    </row>
    <row r="215" spans="2:23" ht="16.5" thickBot="1">
      <c r="B215" s="60" t="s">
        <v>41</v>
      </c>
      <c r="C215" s="61">
        <v>3681</v>
      </c>
      <c r="D215" s="61">
        <v>4512</v>
      </c>
      <c r="E215" s="61">
        <v>10043</v>
      </c>
      <c r="F215" s="61">
        <v>20683</v>
      </c>
      <c r="G215" s="61">
        <v>24653</v>
      </c>
      <c r="H215" s="61">
        <v>5384</v>
      </c>
      <c r="I215" s="61">
        <v>12396</v>
      </c>
      <c r="J215" s="61">
        <v>23934</v>
      </c>
      <c r="K215" s="61">
        <v>28732</v>
      </c>
      <c r="L215" s="61">
        <v>7665</v>
      </c>
      <c r="M215" s="61">
        <v>15716</v>
      </c>
      <c r="N215" s="61">
        <v>25840</v>
      </c>
      <c r="O215" s="283">
        <v>30090</v>
      </c>
      <c r="P215" s="283">
        <v>8649</v>
      </c>
      <c r="Q215" s="273">
        <v>15185</v>
      </c>
      <c r="R215" s="273">
        <v>25709</v>
      </c>
      <c r="S215" s="273">
        <v>30120</v>
      </c>
      <c r="T215" s="273">
        <v>8272</v>
      </c>
      <c r="V215" s="60" t="s">
        <v>41</v>
      </c>
      <c r="W215" s="273">
        <v>8978</v>
      </c>
    </row>
    <row r="216" spans="2:23" s="135" customFormat="1" ht="16.5" thickBot="1">
      <c r="B216" s="60" t="s">
        <v>695</v>
      </c>
      <c r="C216" s="61"/>
      <c r="D216" s="61"/>
      <c r="E216" s="61"/>
      <c r="F216" s="61"/>
      <c r="G216" s="61"/>
      <c r="H216" s="61"/>
      <c r="I216" s="61"/>
      <c r="J216" s="61"/>
      <c r="K216" s="61"/>
      <c r="L216" s="61"/>
      <c r="M216" s="61"/>
      <c r="N216" s="61"/>
      <c r="O216" s="283"/>
      <c r="P216" s="283"/>
      <c r="Q216" s="273"/>
      <c r="R216" s="273"/>
      <c r="S216" s="273"/>
      <c r="T216" s="273">
        <v>2743</v>
      </c>
      <c r="U216" s="744"/>
      <c r="V216" s="60" t="s">
        <v>695</v>
      </c>
      <c r="W216" s="273">
        <v>2743</v>
      </c>
    </row>
    <row r="217" spans="2:23" ht="16.5" thickBot="1">
      <c r="B217" s="60" t="s">
        <v>43</v>
      </c>
      <c r="C217" s="61">
        <v>3480</v>
      </c>
      <c r="D217" s="61">
        <v>2318</v>
      </c>
      <c r="E217" s="61">
        <v>950</v>
      </c>
      <c r="F217" s="61">
        <v>332</v>
      </c>
      <c r="G217" s="61">
        <v>3435</v>
      </c>
      <c r="H217" s="61">
        <v>2759</v>
      </c>
      <c r="I217" s="61">
        <v>3245</v>
      </c>
      <c r="J217" s="61">
        <v>3389</v>
      </c>
      <c r="K217" s="61">
        <v>2381</v>
      </c>
      <c r="L217" s="61">
        <v>1654</v>
      </c>
      <c r="M217" s="61">
        <v>4461</v>
      </c>
      <c r="N217" s="61">
        <v>3550</v>
      </c>
      <c r="O217" s="283">
        <v>2747</v>
      </c>
      <c r="P217" s="283">
        <v>3933</v>
      </c>
      <c r="Q217" s="273">
        <v>3430</v>
      </c>
      <c r="R217" s="273">
        <v>2204</v>
      </c>
      <c r="S217" s="273">
        <v>8347</v>
      </c>
      <c r="T217" s="273">
        <v>7649</v>
      </c>
      <c r="V217" s="60" t="s">
        <v>43</v>
      </c>
      <c r="W217" s="273">
        <v>7310</v>
      </c>
    </row>
    <row r="218" spans="2:23" ht="16.5" thickBot="1">
      <c r="B218" s="60" t="s">
        <v>44</v>
      </c>
      <c r="C218" s="61">
        <v>777</v>
      </c>
      <c r="D218" s="61">
        <v>805</v>
      </c>
      <c r="E218" s="61">
        <v>-244886</v>
      </c>
      <c r="F218" s="61">
        <v>-244886</v>
      </c>
      <c r="G218" s="61">
        <v>0</v>
      </c>
      <c r="H218" s="61">
        <v>1790</v>
      </c>
      <c r="I218" s="61">
        <v>0</v>
      </c>
      <c r="J218" s="61">
        <v>0</v>
      </c>
      <c r="K218" s="61">
        <v>0</v>
      </c>
      <c r="L218" s="61">
        <v>1088</v>
      </c>
      <c r="M218" s="61">
        <v>0</v>
      </c>
      <c r="N218" s="61">
        <v>0</v>
      </c>
      <c r="O218" s="283">
        <v>0</v>
      </c>
      <c r="P218" s="283"/>
      <c r="Q218" s="273"/>
      <c r="R218" s="273"/>
      <c r="S218" s="273">
        <v>0</v>
      </c>
      <c r="T218" s="273">
        <v>60798</v>
      </c>
      <c r="V218" s="60" t="s">
        <v>44</v>
      </c>
      <c r="W218" s="273">
        <v>85321</v>
      </c>
    </row>
    <row r="219" spans="2:23" ht="15.75" thickBot="1">
      <c r="B219" s="62" t="s">
        <v>45</v>
      </c>
      <c r="C219" s="63">
        <f t="shared" ref="C219:N219" si="39">SUM(C213:C218)</f>
        <v>79673</v>
      </c>
      <c r="D219" s="63">
        <f t="shared" si="39"/>
        <v>76276</v>
      </c>
      <c r="E219" s="63">
        <f t="shared" si="39"/>
        <v>-137467</v>
      </c>
      <c r="F219" s="63">
        <f t="shared" si="39"/>
        <v>-170698</v>
      </c>
      <c r="G219" s="63">
        <f t="shared" si="39"/>
        <v>92135</v>
      </c>
      <c r="H219" s="63">
        <f t="shared" si="39"/>
        <v>87470</v>
      </c>
      <c r="I219" s="63">
        <f t="shared" si="39"/>
        <v>148751</v>
      </c>
      <c r="J219" s="63">
        <f t="shared" si="39"/>
        <v>69967</v>
      </c>
      <c r="K219" s="63">
        <f t="shared" si="39"/>
        <v>89160</v>
      </c>
      <c r="L219" s="63">
        <f t="shared" si="39"/>
        <v>109426</v>
      </c>
      <c r="M219" s="63">
        <f t="shared" si="39"/>
        <v>94380</v>
      </c>
      <c r="N219" s="63">
        <f t="shared" si="39"/>
        <v>123316</v>
      </c>
      <c r="O219" s="293">
        <v>130476</v>
      </c>
      <c r="P219" s="293">
        <v>119891</v>
      </c>
      <c r="Q219" s="274">
        <v>160233</v>
      </c>
      <c r="R219" s="274">
        <v>185301</v>
      </c>
      <c r="S219" s="274">
        <v>210138</v>
      </c>
      <c r="T219" s="274">
        <v>214860</v>
      </c>
      <c r="V219" s="62" t="s">
        <v>45</v>
      </c>
      <c r="W219" s="293">
        <f>SUM(W213:W218)</f>
        <v>248202</v>
      </c>
    </row>
    <row r="220" spans="2:23" ht="15.75" thickBot="1">
      <c r="B220" s="58" t="s">
        <v>46</v>
      </c>
      <c r="C220" s="59"/>
      <c r="D220" s="59"/>
      <c r="E220" s="59"/>
      <c r="F220" s="59"/>
      <c r="G220" s="59"/>
      <c r="H220" s="59"/>
      <c r="I220" s="59"/>
      <c r="J220" s="59"/>
      <c r="K220" s="59"/>
      <c r="L220" s="59"/>
      <c r="M220" s="59"/>
      <c r="N220" s="59"/>
      <c r="O220" s="292"/>
      <c r="P220" s="292"/>
      <c r="Q220" s="272"/>
      <c r="R220" s="272"/>
      <c r="S220" s="272"/>
      <c r="T220" s="272"/>
      <c r="V220" s="58" t="s">
        <v>46</v>
      </c>
      <c r="W220" s="805"/>
    </row>
    <row r="221" spans="2:23" ht="16.5" thickBot="1">
      <c r="B221" s="60" t="s">
        <v>47</v>
      </c>
      <c r="C221" s="61">
        <v>35</v>
      </c>
      <c r="D221" s="61">
        <v>35</v>
      </c>
      <c r="E221" s="61">
        <v>35</v>
      </c>
      <c r="F221" s="61">
        <v>35</v>
      </c>
      <c r="G221" s="61">
        <v>35</v>
      </c>
      <c r="H221" s="61">
        <v>35</v>
      </c>
      <c r="I221" s="61">
        <v>35</v>
      </c>
      <c r="J221" s="61">
        <v>35</v>
      </c>
      <c r="K221" s="61">
        <v>35</v>
      </c>
      <c r="L221" s="61">
        <v>35</v>
      </c>
      <c r="M221" s="61">
        <v>35</v>
      </c>
      <c r="N221" s="61">
        <v>35</v>
      </c>
      <c r="O221" s="283">
        <v>35</v>
      </c>
      <c r="P221" s="283">
        <v>35</v>
      </c>
      <c r="Q221" s="273">
        <v>35</v>
      </c>
      <c r="R221" s="273">
        <v>35</v>
      </c>
      <c r="S221" s="273">
        <v>35</v>
      </c>
      <c r="T221" s="273">
        <v>35</v>
      </c>
      <c r="V221" s="60" t="s">
        <v>47</v>
      </c>
      <c r="W221" s="273">
        <v>35</v>
      </c>
    </row>
    <row r="222" spans="2:23" ht="16.5" thickBot="1">
      <c r="B222" s="60" t="s">
        <v>48</v>
      </c>
      <c r="C222" s="61">
        <v>0</v>
      </c>
      <c r="D222" s="61">
        <v>0</v>
      </c>
      <c r="E222" s="61">
        <v>149</v>
      </c>
      <c r="F222" s="61">
        <v>229</v>
      </c>
      <c r="G222" s="61">
        <v>0</v>
      </c>
      <c r="H222" s="61">
        <v>0</v>
      </c>
      <c r="I222" s="61">
        <v>0</v>
      </c>
      <c r="J222" s="61">
        <v>0</v>
      </c>
      <c r="K222" s="61">
        <v>0</v>
      </c>
      <c r="L222" s="61">
        <v>0</v>
      </c>
      <c r="M222" s="61">
        <v>0</v>
      </c>
      <c r="N222" s="61">
        <v>0</v>
      </c>
      <c r="O222" s="283">
        <v>0</v>
      </c>
      <c r="P222" s="283"/>
      <c r="Q222" s="273"/>
      <c r="R222" s="273"/>
      <c r="S222" s="273">
        <v>0</v>
      </c>
      <c r="T222" s="273"/>
      <c r="V222" s="60" t="s">
        <v>48</v>
      </c>
      <c r="W222" s="283"/>
    </row>
    <row r="223" spans="2:23" ht="16.5" thickBot="1">
      <c r="B223" s="60" t="s">
        <v>106</v>
      </c>
      <c r="C223" s="61">
        <v>280143</v>
      </c>
      <c r="D223" s="61">
        <v>280139</v>
      </c>
      <c r="E223" s="61">
        <v>226598</v>
      </c>
      <c r="F223" s="61">
        <v>255055</v>
      </c>
      <c r="G223" s="61">
        <v>275379</v>
      </c>
      <c r="H223" s="61">
        <v>309078</v>
      </c>
      <c r="I223" s="61">
        <v>243120</v>
      </c>
      <c r="J223" s="61">
        <v>265428</v>
      </c>
      <c r="K223" s="61">
        <v>309217</v>
      </c>
      <c r="L223" s="61">
        <v>299686</v>
      </c>
      <c r="M223" s="61">
        <v>382551</v>
      </c>
      <c r="N223" s="61">
        <v>278218</v>
      </c>
      <c r="O223" s="283">
        <v>310373</v>
      </c>
      <c r="P223" s="283">
        <v>294143</v>
      </c>
      <c r="Q223" s="273">
        <v>282145</v>
      </c>
      <c r="R223" s="273">
        <v>306974</v>
      </c>
      <c r="S223" s="273">
        <v>308253</v>
      </c>
      <c r="T223" s="273">
        <v>314562</v>
      </c>
      <c r="V223" s="60" t="s">
        <v>106</v>
      </c>
      <c r="W223" s="273">
        <v>258997</v>
      </c>
    </row>
    <row r="224" spans="2:23" ht="16.5" thickBot="1">
      <c r="B224" s="60" t="s">
        <v>95</v>
      </c>
      <c r="C224" s="61">
        <v>0</v>
      </c>
      <c r="D224" s="61">
        <v>0</v>
      </c>
      <c r="E224" s="61">
        <v>0</v>
      </c>
      <c r="F224" s="61">
        <v>0</v>
      </c>
      <c r="G224" s="61">
        <v>0</v>
      </c>
      <c r="H224" s="61">
        <v>0</v>
      </c>
      <c r="I224" s="61">
        <v>0</v>
      </c>
      <c r="J224" s="61">
        <v>0</v>
      </c>
      <c r="K224" s="61">
        <v>0</v>
      </c>
      <c r="L224" s="61">
        <v>0</v>
      </c>
      <c r="M224" s="61">
        <v>0</v>
      </c>
      <c r="N224" s="61">
        <v>0</v>
      </c>
      <c r="O224" s="283">
        <v>0</v>
      </c>
      <c r="P224" s="283"/>
      <c r="Q224" s="273"/>
      <c r="R224" s="273"/>
      <c r="S224" s="273">
        <v>0</v>
      </c>
      <c r="T224" s="273"/>
      <c r="V224" s="60" t="s">
        <v>95</v>
      </c>
      <c r="W224" s="273"/>
    </row>
    <row r="225" spans="2:23" ht="16.5" thickBot="1">
      <c r="B225" s="60" t="s">
        <v>40</v>
      </c>
      <c r="C225" s="61">
        <v>5133</v>
      </c>
      <c r="D225" s="61">
        <v>4625</v>
      </c>
      <c r="E225" s="61">
        <v>62908</v>
      </c>
      <c r="F225" s="61">
        <v>65236</v>
      </c>
      <c r="G225" s="61">
        <v>67390</v>
      </c>
      <c r="H225" s="61">
        <v>4269</v>
      </c>
      <c r="I225" s="61">
        <v>72405</v>
      </c>
      <c r="J225" s="61">
        <v>74865</v>
      </c>
      <c r="K225" s="61">
        <v>77275</v>
      </c>
      <c r="L225" s="61">
        <v>3475</v>
      </c>
      <c r="M225" s="61">
        <v>82551</v>
      </c>
      <c r="N225" s="61">
        <v>84812</v>
      </c>
      <c r="O225" s="283">
        <v>86806</v>
      </c>
      <c r="P225" s="283">
        <v>88413</v>
      </c>
      <c r="Q225" s="273">
        <v>90468</v>
      </c>
      <c r="R225" s="273">
        <v>4845</v>
      </c>
      <c r="S225" s="273">
        <v>5193</v>
      </c>
      <c r="T225" s="273">
        <v>5315</v>
      </c>
      <c r="V225" s="60" t="s">
        <v>40</v>
      </c>
      <c r="W225" s="273">
        <v>5462</v>
      </c>
    </row>
    <row r="226" spans="2:23" ht="16.5" thickBot="1">
      <c r="B226" s="60" t="s">
        <v>42</v>
      </c>
      <c r="C226" s="61">
        <v>7925</v>
      </c>
      <c r="D226" s="61">
        <v>8121</v>
      </c>
      <c r="E226" s="61">
        <v>8388</v>
      </c>
      <c r="F226" s="61">
        <v>8997</v>
      </c>
      <c r="G226" s="61">
        <v>9117</v>
      </c>
      <c r="H226" s="61">
        <v>8162</v>
      </c>
      <c r="I226" s="61">
        <v>8307</v>
      </c>
      <c r="J226" s="61">
        <v>8224</v>
      </c>
      <c r="K226" s="61">
        <v>8267</v>
      </c>
      <c r="L226" s="61">
        <v>7979</v>
      </c>
      <c r="M226" s="61">
        <v>7411</v>
      </c>
      <c r="N226" s="61">
        <v>7455</v>
      </c>
      <c r="O226" s="283">
        <v>7450</v>
      </c>
      <c r="P226" s="283">
        <v>6900</v>
      </c>
      <c r="Q226" s="273">
        <v>6885</v>
      </c>
      <c r="R226" s="273">
        <v>7384</v>
      </c>
      <c r="S226" s="273">
        <v>7267</v>
      </c>
      <c r="T226" s="273">
        <v>4584</v>
      </c>
      <c r="V226" s="60" t="s">
        <v>42</v>
      </c>
      <c r="W226" s="273">
        <v>4533</v>
      </c>
    </row>
    <row r="227" spans="2:23" ht="16.5" thickBot="1">
      <c r="B227" s="60" t="s">
        <v>1035</v>
      </c>
      <c r="C227" s="61">
        <v>689893</v>
      </c>
      <c r="D227" s="61">
        <v>671689</v>
      </c>
      <c r="E227" s="61">
        <v>669300</v>
      </c>
      <c r="F227" s="61">
        <v>666224</v>
      </c>
      <c r="G227" s="61">
        <v>661293</v>
      </c>
      <c r="H227" s="61">
        <v>658200</v>
      </c>
      <c r="I227" s="61">
        <v>666854</v>
      </c>
      <c r="J227" s="61">
        <v>667232</v>
      </c>
      <c r="K227" s="61">
        <v>666296</v>
      </c>
      <c r="L227" s="61">
        <v>651255</v>
      </c>
      <c r="M227" s="61">
        <v>660784</v>
      </c>
      <c r="N227" s="61">
        <v>657478</v>
      </c>
      <c r="O227" s="283">
        <v>654846</v>
      </c>
      <c r="P227" s="283">
        <v>644132</v>
      </c>
      <c r="Q227" s="273">
        <v>652964</v>
      </c>
      <c r="R227" s="273">
        <v>652076</v>
      </c>
      <c r="S227" s="273">
        <v>655882</v>
      </c>
      <c r="T227" s="273">
        <v>677840</v>
      </c>
      <c r="V227" s="60" t="s">
        <v>1035</v>
      </c>
      <c r="W227" s="273">
        <v>688237</v>
      </c>
    </row>
    <row r="228" spans="2:23" ht="16.5" thickBot="1">
      <c r="B228" s="60" t="s">
        <v>53</v>
      </c>
      <c r="C228" s="61">
        <v>0</v>
      </c>
      <c r="D228" s="61">
        <v>0</v>
      </c>
      <c r="E228" s="61">
        <v>0</v>
      </c>
      <c r="F228" s="61">
        <v>0</v>
      </c>
      <c r="G228" s="61">
        <v>0</v>
      </c>
      <c r="H228" s="61">
        <v>0</v>
      </c>
      <c r="I228" s="61">
        <v>0</v>
      </c>
      <c r="J228" s="61">
        <v>0</v>
      </c>
      <c r="K228" s="61">
        <v>0</v>
      </c>
      <c r="L228" s="61">
        <v>0</v>
      </c>
      <c r="M228" s="61">
        <v>0</v>
      </c>
      <c r="N228" s="61">
        <v>0</v>
      </c>
      <c r="O228" s="283">
        <v>0</v>
      </c>
      <c r="P228" s="283"/>
      <c r="Q228" s="273"/>
      <c r="R228" s="273"/>
      <c r="S228" s="273">
        <v>0</v>
      </c>
      <c r="T228" s="273"/>
      <c r="V228" s="60" t="s">
        <v>53</v>
      </c>
      <c r="W228" s="273"/>
    </row>
    <row r="229" spans="2:23" ht="16.5" thickBot="1">
      <c r="B229" s="60" t="s">
        <v>55</v>
      </c>
      <c r="C229" s="61">
        <v>10973</v>
      </c>
      <c r="D229" s="61">
        <v>11103</v>
      </c>
      <c r="E229" s="61">
        <v>10974</v>
      </c>
      <c r="F229" s="61">
        <v>10889</v>
      </c>
      <c r="G229" s="61">
        <v>10813</v>
      </c>
      <c r="H229" s="61">
        <v>10856</v>
      </c>
      <c r="I229" s="61">
        <v>12995</v>
      </c>
      <c r="J229" s="61">
        <v>12858</v>
      </c>
      <c r="K229" s="61">
        <v>14363</v>
      </c>
      <c r="L229" s="61">
        <v>11187</v>
      </c>
      <c r="M229" s="61">
        <v>13338</v>
      </c>
      <c r="N229" s="61">
        <v>11816</v>
      </c>
      <c r="O229" s="283">
        <v>12407</v>
      </c>
      <c r="P229" s="283">
        <v>11880</v>
      </c>
      <c r="Q229" s="273">
        <v>11814</v>
      </c>
      <c r="R229" s="273">
        <v>13864</v>
      </c>
      <c r="S229" s="273">
        <v>12575</v>
      </c>
      <c r="T229" s="273">
        <v>15257</v>
      </c>
      <c r="V229" s="60" t="s">
        <v>55</v>
      </c>
      <c r="W229" s="273">
        <v>15047</v>
      </c>
    </row>
    <row r="230" spans="2:23" ht="16.5" thickBot="1">
      <c r="B230" s="60" t="s">
        <v>43</v>
      </c>
      <c r="C230" s="61">
        <v>0</v>
      </c>
      <c r="D230" s="61">
        <v>0</v>
      </c>
      <c r="E230" s="61">
        <v>0</v>
      </c>
      <c r="F230" s="61">
        <v>0</v>
      </c>
      <c r="G230" s="61">
        <v>0</v>
      </c>
      <c r="H230" s="61">
        <v>0</v>
      </c>
      <c r="I230" s="61">
        <v>0</v>
      </c>
      <c r="J230" s="61">
        <v>0</v>
      </c>
      <c r="K230" s="61">
        <v>0</v>
      </c>
      <c r="L230" s="61">
        <v>0</v>
      </c>
      <c r="M230" s="61">
        <v>0</v>
      </c>
      <c r="N230" s="61">
        <v>0</v>
      </c>
      <c r="O230" s="283">
        <v>0</v>
      </c>
      <c r="P230" s="283"/>
      <c r="Q230" s="273"/>
      <c r="R230" s="273"/>
      <c r="S230" s="273">
        <v>0</v>
      </c>
      <c r="T230" s="273"/>
      <c r="V230" s="60" t="s">
        <v>43</v>
      </c>
      <c r="W230" s="273"/>
    </row>
    <row r="231" spans="2:23" ht="16.5" thickBot="1">
      <c r="B231" s="60" t="s">
        <v>56</v>
      </c>
      <c r="C231" s="61">
        <v>33958</v>
      </c>
      <c r="D231" s="61">
        <v>36061</v>
      </c>
      <c r="E231" s="61">
        <v>36310</v>
      </c>
      <c r="F231" s="61">
        <v>35583</v>
      </c>
      <c r="G231" s="61">
        <v>35543</v>
      </c>
      <c r="H231" s="61">
        <v>35252</v>
      </c>
      <c r="I231" s="61">
        <v>35002</v>
      </c>
      <c r="J231" s="61">
        <v>34590</v>
      </c>
      <c r="K231" s="61">
        <v>34115</v>
      </c>
      <c r="L231" s="61">
        <v>33100</v>
      </c>
      <c r="M231" s="61">
        <v>33094</v>
      </c>
      <c r="N231" s="61">
        <v>31937</v>
      </c>
      <c r="O231" s="283">
        <v>31447</v>
      </c>
      <c r="P231" s="283">
        <v>31875</v>
      </c>
      <c r="Q231" s="273">
        <v>32097</v>
      </c>
      <c r="R231" s="273">
        <v>32213</v>
      </c>
      <c r="S231" s="273">
        <v>37440</v>
      </c>
      <c r="T231" s="273"/>
      <c r="V231" s="60" t="s">
        <v>56</v>
      </c>
      <c r="W231" s="273"/>
    </row>
    <row r="232" spans="2:23" ht="16.5" thickBot="1">
      <c r="B232" s="60" t="s">
        <v>57</v>
      </c>
      <c r="C232" s="61">
        <v>748</v>
      </c>
      <c r="D232" s="61">
        <v>492</v>
      </c>
      <c r="E232" s="61">
        <v>427</v>
      </c>
      <c r="F232" s="61">
        <v>363</v>
      </c>
      <c r="G232" s="61">
        <v>299</v>
      </c>
      <c r="H232" s="61">
        <v>12936</v>
      </c>
      <c r="I232" s="61">
        <v>171</v>
      </c>
      <c r="J232" s="61">
        <v>103</v>
      </c>
      <c r="K232" s="61">
        <v>41</v>
      </c>
      <c r="L232" s="61">
        <v>13464</v>
      </c>
      <c r="M232" s="61">
        <v>436</v>
      </c>
      <c r="N232" s="61">
        <v>1211</v>
      </c>
      <c r="O232" s="283">
        <v>1813</v>
      </c>
      <c r="P232" s="283">
        <v>14102</v>
      </c>
      <c r="Q232" s="273">
        <v>1545</v>
      </c>
      <c r="R232" s="273">
        <v>0</v>
      </c>
      <c r="S232" s="273">
        <v>0</v>
      </c>
      <c r="T232" s="273"/>
      <c r="V232" s="60" t="s">
        <v>57</v>
      </c>
      <c r="W232" s="273"/>
    </row>
    <row r="233" spans="2:23" ht="16.5" thickBot="1">
      <c r="B233" s="60" t="s">
        <v>107</v>
      </c>
      <c r="C233" s="61">
        <v>0</v>
      </c>
      <c r="D233" s="61">
        <v>0</v>
      </c>
      <c r="E233" s="61">
        <v>0</v>
      </c>
      <c r="F233" s="61">
        <v>0</v>
      </c>
      <c r="G233" s="61">
        <v>0</v>
      </c>
      <c r="H233" s="61">
        <v>0</v>
      </c>
      <c r="I233" s="61">
        <v>0</v>
      </c>
      <c r="J233" s="61">
        <v>0</v>
      </c>
      <c r="K233" s="61">
        <v>0</v>
      </c>
      <c r="L233" s="61">
        <v>1390</v>
      </c>
      <c r="M233" s="61">
        <v>0</v>
      </c>
      <c r="N233" s="61">
        <v>1781</v>
      </c>
      <c r="O233" s="283">
        <v>410</v>
      </c>
      <c r="P233" s="283">
        <v>402</v>
      </c>
      <c r="Q233" s="273">
        <v>379</v>
      </c>
      <c r="R233" s="273">
        <v>0</v>
      </c>
      <c r="S233" s="273">
        <v>0</v>
      </c>
      <c r="T233" s="273"/>
      <c r="V233" s="60" t="s">
        <v>107</v>
      </c>
      <c r="W233" s="273"/>
    </row>
    <row r="234" spans="2:23" ht="16.5" thickBot="1">
      <c r="B234" s="60" t="s">
        <v>44</v>
      </c>
      <c r="C234" s="61">
        <v>288769</v>
      </c>
      <c r="D234" s="61">
        <v>300348</v>
      </c>
      <c r="E234" s="61">
        <v>489773</v>
      </c>
      <c r="F234" s="61">
        <v>489773</v>
      </c>
      <c r="G234" s="61">
        <v>244886</v>
      </c>
      <c r="H234" s="61">
        <v>310677</v>
      </c>
      <c r="I234" s="61">
        <v>244886</v>
      </c>
      <c r="J234" s="61">
        <v>244886</v>
      </c>
      <c r="K234" s="61">
        <v>244886</v>
      </c>
      <c r="L234" s="61">
        <v>321301</v>
      </c>
      <c r="M234" s="61">
        <v>244886</v>
      </c>
      <c r="N234" s="61">
        <v>244886</v>
      </c>
      <c r="O234" s="283">
        <v>244886</v>
      </c>
      <c r="P234" s="283">
        <v>244886</v>
      </c>
      <c r="Q234" s="273">
        <v>244886</v>
      </c>
      <c r="R234" s="273">
        <v>332442</v>
      </c>
      <c r="S234" s="273">
        <v>334004</v>
      </c>
      <c r="T234" s="273">
        <v>275163</v>
      </c>
      <c r="V234" s="60" t="s">
        <v>44</v>
      </c>
      <c r="W234" s="273">
        <v>253107</v>
      </c>
    </row>
    <row r="235" spans="2:23" ht="15.75" thickBot="1">
      <c r="B235" s="58" t="s">
        <v>59</v>
      </c>
      <c r="C235" s="64">
        <f t="shared" ref="C235:N235" si="40">SUM(C221:C234)</f>
        <v>1317577</v>
      </c>
      <c r="D235" s="64">
        <f t="shared" si="40"/>
        <v>1312613</v>
      </c>
      <c r="E235" s="64">
        <f t="shared" si="40"/>
        <v>1504862</v>
      </c>
      <c r="F235" s="64">
        <f t="shared" si="40"/>
        <v>1532384</v>
      </c>
      <c r="G235" s="64">
        <f t="shared" si="40"/>
        <v>1304755</v>
      </c>
      <c r="H235" s="64">
        <f t="shared" si="40"/>
        <v>1349465</v>
      </c>
      <c r="I235" s="64">
        <f t="shared" si="40"/>
        <v>1283775</v>
      </c>
      <c r="J235" s="64">
        <f t="shared" si="40"/>
        <v>1308221</v>
      </c>
      <c r="K235" s="64">
        <f t="shared" si="40"/>
        <v>1354495</v>
      </c>
      <c r="L235" s="64">
        <f t="shared" si="40"/>
        <v>1342872</v>
      </c>
      <c r="M235" s="64">
        <f t="shared" si="40"/>
        <v>1425086</v>
      </c>
      <c r="N235" s="64">
        <f t="shared" si="40"/>
        <v>1319629</v>
      </c>
      <c r="O235" s="294">
        <v>1350473</v>
      </c>
      <c r="P235" s="294">
        <v>1336768</v>
      </c>
      <c r="Q235" s="275">
        <v>1323218</v>
      </c>
      <c r="R235" s="275">
        <v>1349833</v>
      </c>
      <c r="S235" s="275">
        <v>1360649</v>
      </c>
      <c r="T235" s="275">
        <v>1292756</v>
      </c>
      <c r="V235" s="58" t="s">
        <v>59</v>
      </c>
      <c r="W235" s="294">
        <f t="shared" ref="W235" si="41">SUM(W221:W234)</f>
        <v>1225418</v>
      </c>
    </row>
    <row r="236" spans="2:23" ht="15.75" thickBot="1">
      <c r="B236" s="65" t="s">
        <v>60</v>
      </c>
      <c r="C236" s="66">
        <f t="shared" ref="C236:N236" si="42">+C219+C235</f>
        <v>1397250</v>
      </c>
      <c r="D236" s="66">
        <f t="shared" si="42"/>
        <v>1388889</v>
      </c>
      <c r="E236" s="66">
        <f t="shared" si="42"/>
        <v>1367395</v>
      </c>
      <c r="F236" s="66">
        <f t="shared" si="42"/>
        <v>1361686</v>
      </c>
      <c r="G236" s="66">
        <f t="shared" si="42"/>
        <v>1396890</v>
      </c>
      <c r="H236" s="66">
        <f t="shared" si="42"/>
        <v>1436935</v>
      </c>
      <c r="I236" s="66">
        <f t="shared" si="42"/>
        <v>1432526</v>
      </c>
      <c r="J236" s="66">
        <f t="shared" si="42"/>
        <v>1378188</v>
      </c>
      <c r="K236" s="66">
        <f t="shared" si="42"/>
        <v>1443655</v>
      </c>
      <c r="L236" s="66">
        <f t="shared" si="42"/>
        <v>1452298</v>
      </c>
      <c r="M236" s="66">
        <f t="shared" si="42"/>
        <v>1519466</v>
      </c>
      <c r="N236" s="66">
        <f t="shared" si="42"/>
        <v>1442945</v>
      </c>
      <c r="O236" s="295">
        <v>1480949</v>
      </c>
      <c r="P236" s="295">
        <v>1456659</v>
      </c>
      <c r="Q236" s="276">
        <v>1483451</v>
      </c>
      <c r="R236" s="276">
        <v>1535134</v>
      </c>
      <c r="S236" s="276">
        <v>1570787</v>
      </c>
      <c r="T236" s="276">
        <v>1507616</v>
      </c>
      <c r="V236" s="65" t="s">
        <v>60</v>
      </c>
      <c r="W236" s="295">
        <f t="shared" ref="W236" si="43">+W219+W235</f>
        <v>1473620</v>
      </c>
    </row>
    <row r="237" spans="2:23" ht="15.75" thickBot="1">
      <c r="B237" s="67"/>
      <c r="C237" s="68"/>
      <c r="D237" s="68"/>
      <c r="E237" s="68"/>
      <c r="F237" s="68"/>
      <c r="G237" s="68"/>
      <c r="H237" s="68"/>
      <c r="I237" s="68"/>
      <c r="J237" s="68"/>
      <c r="K237" s="68"/>
      <c r="L237" s="68"/>
      <c r="M237" s="68"/>
      <c r="N237" s="68"/>
      <c r="O237" s="296"/>
      <c r="P237" s="296"/>
      <c r="Q237" s="277"/>
      <c r="R237" s="277"/>
      <c r="S237" s="277">
        <v>0</v>
      </c>
      <c r="T237" s="277"/>
      <c r="V237" s="67"/>
      <c r="W237" s="749"/>
    </row>
    <row r="238" spans="2:23" ht="15.75" thickBot="1">
      <c r="B238" s="56" t="s">
        <v>61</v>
      </c>
      <c r="C238" s="69"/>
      <c r="D238" s="69"/>
      <c r="E238" s="69"/>
      <c r="F238" s="69"/>
      <c r="G238" s="69"/>
      <c r="H238" s="69"/>
      <c r="I238" s="69"/>
      <c r="J238" s="69"/>
      <c r="K238" s="69"/>
      <c r="L238" s="69"/>
      <c r="M238" s="69"/>
      <c r="N238" s="69"/>
      <c r="O238" s="297"/>
      <c r="P238" s="297"/>
      <c r="Q238" s="278"/>
      <c r="R238" s="278"/>
      <c r="S238" s="278"/>
      <c r="T238" s="278"/>
      <c r="V238" s="56" t="s">
        <v>61</v>
      </c>
      <c r="W238" s="751"/>
    </row>
    <row r="239" spans="2:23" ht="15.75" thickBot="1">
      <c r="B239" s="58" t="s">
        <v>62</v>
      </c>
      <c r="C239" s="70"/>
      <c r="D239" s="70"/>
      <c r="E239" s="70"/>
      <c r="F239" s="70"/>
      <c r="G239" s="70"/>
      <c r="H239" s="70"/>
      <c r="I239" s="70"/>
      <c r="J239" s="70"/>
      <c r="K239" s="70"/>
      <c r="L239" s="70"/>
      <c r="M239" s="70"/>
      <c r="N239" s="70"/>
      <c r="O239" s="298"/>
      <c r="P239" s="298"/>
      <c r="Q239" s="279"/>
      <c r="R239" s="279"/>
      <c r="S239" s="279"/>
      <c r="T239" s="279"/>
      <c r="V239" s="58" t="s">
        <v>62</v>
      </c>
      <c r="W239" s="752"/>
    </row>
    <row r="240" spans="2:23" ht="16.5" thickBot="1">
      <c r="B240" s="60" t="s">
        <v>63</v>
      </c>
      <c r="C240" s="61">
        <f>3192+32107+241</f>
        <v>35540</v>
      </c>
      <c r="D240" s="61">
        <f>3326+16174+247</f>
        <v>19747</v>
      </c>
      <c r="E240" s="61">
        <v>32331</v>
      </c>
      <c r="F240" s="61">
        <v>45412</v>
      </c>
      <c r="G240" s="61">
        <v>67809</v>
      </c>
      <c r="H240" s="61">
        <f>3124+68966+61</f>
        <v>72151</v>
      </c>
      <c r="I240" s="61">
        <v>4273</v>
      </c>
      <c r="J240" s="61">
        <v>4409</v>
      </c>
      <c r="K240" s="61">
        <v>10704</v>
      </c>
      <c r="L240" s="61">
        <f>3211+1500+607</f>
        <v>5318</v>
      </c>
      <c r="M240" s="61">
        <v>4502</v>
      </c>
      <c r="N240" s="61">
        <v>4095</v>
      </c>
      <c r="O240" s="283">
        <v>3568</v>
      </c>
      <c r="P240" s="283">
        <v>83349</v>
      </c>
      <c r="Q240" s="273">
        <v>83178</v>
      </c>
      <c r="R240" s="273">
        <v>90929</v>
      </c>
      <c r="S240" s="273">
        <v>101938</v>
      </c>
      <c r="T240" s="273">
        <v>5226</v>
      </c>
      <c r="V240" s="60" t="s">
        <v>63</v>
      </c>
      <c r="W240" s="283">
        <v>6648</v>
      </c>
    </row>
    <row r="241" spans="2:23" ht="16.5" thickBot="1">
      <c r="B241" s="60" t="s">
        <v>64</v>
      </c>
      <c r="C241" s="61">
        <v>21909</v>
      </c>
      <c r="D241" s="61">
        <v>13740</v>
      </c>
      <c r="E241" s="61">
        <v>76147</v>
      </c>
      <c r="F241" s="61">
        <v>35426</v>
      </c>
      <c r="G241" s="61">
        <v>19747</v>
      </c>
      <c r="H241" s="61">
        <v>29019</v>
      </c>
      <c r="I241" s="61">
        <v>123689</v>
      </c>
      <c r="J241" s="61">
        <v>34403</v>
      </c>
      <c r="K241" s="61">
        <v>20460</v>
      </c>
      <c r="L241" s="61">
        <v>17462</v>
      </c>
      <c r="M241" s="61">
        <v>136328</v>
      </c>
      <c r="N241" s="61">
        <v>46998</v>
      </c>
      <c r="O241" s="283">
        <v>21094</v>
      </c>
      <c r="P241" s="283">
        <v>18522</v>
      </c>
      <c r="Q241" s="273">
        <v>113466</v>
      </c>
      <c r="R241" s="273">
        <v>116715</v>
      </c>
      <c r="S241" s="273">
        <v>50494</v>
      </c>
      <c r="T241" s="273">
        <v>34062</v>
      </c>
      <c r="V241" s="60" t="s">
        <v>64</v>
      </c>
      <c r="W241" s="283">
        <v>154188</v>
      </c>
    </row>
    <row r="242" spans="2:23" ht="16.5" thickBot="1">
      <c r="B242" s="60" t="s">
        <v>108</v>
      </c>
      <c r="C242" s="61">
        <v>0</v>
      </c>
      <c r="D242" s="61">
        <v>915</v>
      </c>
      <c r="E242" s="61"/>
      <c r="F242" s="61"/>
      <c r="G242" s="61"/>
      <c r="H242" s="61">
        <v>1158</v>
      </c>
      <c r="I242" s="61"/>
      <c r="J242" s="61"/>
      <c r="K242" s="61"/>
      <c r="L242" s="61">
        <v>893</v>
      </c>
      <c r="M242" s="61"/>
      <c r="N242" s="61"/>
      <c r="O242" s="283"/>
      <c r="P242" s="283"/>
      <c r="Q242" s="273"/>
      <c r="R242" s="273"/>
      <c r="S242" s="273">
        <v>0</v>
      </c>
      <c r="T242" s="273"/>
      <c r="V242" s="60" t="s">
        <v>108</v>
      </c>
      <c r="W242" s="283"/>
    </row>
    <row r="243" spans="2:23" ht="16.5" thickBot="1">
      <c r="B243" s="60" t="s">
        <v>66</v>
      </c>
      <c r="C243" s="61">
        <v>15675</v>
      </c>
      <c r="D243" s="61">
        <v>15904</v>
      </c>
      <c r="E243" s="61">
        <v>15554</v>
      </c>
      <c r="F243" s="61">
        <v>15575</v>
      </c>
      <c r="G243" s="61">
        <v>16199</v>
      </c>
      <c r="H243" s="61">
        <v>15646</v>
      </c>
      <c r="I243" s="61">
        <v>15518</v>
      </c>
      <c r="J243" s="61">
        <v>15388</v>
      </c>
      <c r="K243" s="61">
        <v>16122</v>
      </c>
      <c r="L243" s="61">
        <v>15932</v>
      </c>
      <c r="M243" s="61">
        <v>15810</v>
      </c>
      <c r="N243" s="61">
        <v>15713</v>
      </c>
      <c r="O243" s="283">
        <v>16774</v>
      </c>
      <c r="P243" s="283">
        <v>16244</v>
      </c>
      <c r="Q243" s="273">
        <v>15884</v>
      </c>
      <c r="R243" s="273">
        <v>15930</v>
      </c>
      <c r="S243" s="273">
        <v>16599</v>
      </c>
      <c r="T243" s="273">
        <v>16243</v>
      </c>
      <c r="V243" s="60" t="s">
        <v>66</v>
      </c>
      <c r="W243" s="283">
        <v>15689</v>
      </c>
    </row>
    <row r="244" spans="2:23" ht="16.5" thickBot="1">
      <c r="B244" s="60" t="s">
        <v>41</v>
      </c>
      <c r="C244" s="61">
        <v>16894</v>
      </c>
      <c r="D244" s="61">
        <v>21544</v>
      </c>
      <c r="E244" s="61">
        <v>29275</v>
      </c>
      <c r="F244" s="61">
        <v>24037</v>
      </c>
      <c r="G244" s="61">
        <v>34650</v>
      </c>
      <c r="H244" s="61">
        <v>22000</v>
      </c>
      <c r="I244" s="61">
        <v>28396</v>
      </c>
      <c r="J244" s="61">
        <v>23836</v>
      </c>
      <c r="K244" s="61">
        <v>34338</v>
      </c>
      <c r="L244" s="61">
        <v>18324</v>
      </c>
      <c r="M244" s="61">
        <v>26322</v>
      </c>
      <c r="N244" s="61">
        <v>24365</v>
      </c>
      <c r="O244" s="283">
        <v>35394</v>
      </c>
      <c r="P244" s="283">
        <v>17628</v>
      </c>
      <c r="Q244" s="273">
        <v>25755</v>
      </c>
      <c r="R244" s="273">
        <v>26489</v>
      </c>
      <c r="S244" s="273">
        <v>37444</v>
      </c>
      <c r="T244" s="273">
        <v>23559</v>
      </c>
      <c r="V244" s="60" t="s">
        <v>41</v>
      </c>
      <c r="W244" s="283">
        <v>27518</v>
      </c>
    </row>
    <row r="245" spans="2:23" ht="16.5" thickBot="1">
      <c r="B245" s="60" t="s">
        <v>67</v>
      </c>
      <c r="C245" s="61">
        <v>0</v>
      </c>
      <c r="D245" s="61">
        <v>0</v>
      </c>
      <c r="E245" s="61">
        <v>0</v>
      </c>
      <c r="F245" s="61">
        <v>0</v>
      </c>
      <c r="G245" s="61">
        <v>0</v>
      </c>
      <c r="H245" s="61">
        <v>0</v>
      </c>
      <c r="I245" s="61">
        <v>0</v>
      </c>
      <c r="J245" s="61">
        <v>0</v>
      </c>
      <c r="K245" s="61">
        <v>24</v>
      </c>
      <c r="L245" s="61">
        <v>0</v>
      </c>
      <c r="M245" s="61">
        <v>24</v>
      </c>
      <c r="N245" s="61">
        <v>24</v>
      </c>
      <c r="O245" s="283">
        <v>24</v>
      </c>
      <c r="P245" s="283">
        <v>8714</v>
      </c>
      <c r="Q245" s="273">
        <v>8713</v>
      </c>
      <c r="R245" s="273">
        <v>8714</v>
      </c>
      <c r="S245" s="273">
        <v>8714</v>
      </c>
      <c r="T245" s="273">
        <v>8714</v>
      </c>
      <c r="V245" s="60" t="s">
        <v>67</v>
      </c>
      <c r="W245" s="283">
        <v>8714</v>
      </c>
    </row>
    <row r="246" spans="2:23" ht="16.5" thickBot="1">
      <c r="B246" s="60" t="s">
        <v>68</v>
      </c>
      <c r="C246" s="61">
        <v>0</v>
      </c>
      <c r="D246" s="61">
        <v>0</v>
      </c>
      <c r="E246" s="61">
        <v>49</v>
      </c>
      <c r="F246" s="61">
        <v>49</v>
      </c>
      <c r="G246" s="61">
        <v>47</v>
      </c>
      <c r="H246" s="61">
        <v>0</v>
      </c>
      <c r="I246" s="61">
        <v>45</v>
      </c>
      <c r="J246" s="61">
        <v>45</v>
      </c>
      <c r="K246" s="61">
        <v>45</v>
      </c>
      <c r="L246" s="61">
        <v>0</v>
      </c>
      <c r="M246" s="61">
        <v>46</v>
      </c>
      <c r="N246" s="61">
        <v>2</v>
      </c>
      <c r="O246" s="283">
        <v>2</v>
      </c>
      <c r="P246" s="283">
        <v>2</v>
      </c>
      <c r="Q246" s="273">
        <v>4</v>
      </c>
      <c r="R246" s="273">
        <v>4</v>
      </c>
      <c r="S246" s="273">
        <v>4</v>
      </c>
      <c r="T246" s="273">
        <v>39</v>
      </c>
      <c r="V246" s="60" t="s">
        <v>68</v>
      </c>
      <c r="W246" s="283">
        <v>95</v>
      </c>
    </row>
    <row r="247" spans="2:23" ht="16.5" thickBot="1">
      <c r="B247" s="60" t="s">
        <v>96</v>
      </c>
      <c r="C247" s="50">
        <v>0</v>
      </c>
      <c r="D247" s="50">
        <v>0</v>
      </c>
      <c r="E247" s="50">
        <v>0</v>
      </c>
      <c r="F247" s="50">
        <v>0</v>
      </c>
      <c r="G247" s="50">
        <v>0</v>
      </c>
      <c r="H247" s="50">
        <v>0</v>
      </c>
      <c r="I247" s="50">
        <v>0</v>
      </c>
      <c r="J247" s="50">
        <v>0</v>
      </c>
      <c r="K247" s="50">
        <v>0</v>
      </c>
      <c r="L247" s="50">
        <v>0</v>
      </c>
      <c r="M247" s="50">
        <v>0</v>
      </c>
      <c r="N247" s="50">
        <v>0</v>
      </c>
      <c r="O247" s="299">
        <v>0</v>
      </c>
      <c r="P247" s="299"/>
      <c r="Q247" s="299"/>
      <c r="R247" s="299"/>
      <c r="S247" s="299">
        <v>0</v>
      </c>
      <c r="T247" s="299"/>
      <c r="V247" s="60" t="s">
        <v>96</v>
      </c>
      <c r="W247" s="299"/>
    </row>
    <row r="248" spans="2:23" ht="15.75" thickBot="1">
      <c r="B248" s="58" t="s">
        <v>70</v>
      </c>
      <c r="C248" s="64">
        <f t="shared" ref="C248:N248" si="44">SUM(C240:C247)</f>
        <v>90018</v>
      </c>
      <c r="D248" s="64">
        <f t="shared" si="44"/>
        <v>71850</v>
      </c>
      <c r="E248" s="64">
        <f t="shared" si="44"/>
        <v>153356</v>
      </c>
      <c r="F248" s="64">
        <f t="shared" si="44"/>
        <v>120499</v>
      </c>
      <c r="G248" s="64">
        <f t="shared" si="44"/>
        <v>138452</v>
      </c>
      <c r="H248" s="64">
        <f t="shared" si="44"/>
        <v>139974</v>
      </c>
      <c r="I248" s="64">
        <f t="shared" si="44"/>
        <v>171921</v>
      </c>
      <c r="J248" s="64">
        <f t="shared" si="44"/>
        <v>78081</v>
      </c>
      <c r="K248" s="64">
        <f t="shared" si="44"/>
        <v>81693</v>
      </c>
      <c r="L248" s="64">
        <f t="shared" si="44"/>
        <v>57929</v>
      </c>
      <c r="M248" s="64">
        <f t="shared" si="44"/>
        <v>183032</v>
      </c>
      <c r="N248" s="64">
        <f t="shared" si="44"/>
        <v>91197</v>
      </c>
      <c r="O248" s="294">
        <v>76856</v>
      </c>
      <c r="P248" s="294">
        <v>144459</v>
      </c>
      <c r="Q248" s="275">
        <v>247000</v>
      </c>
      <c r="R248" s="275">
        <v>258781</v>
      </c>
      <c r="S248" s="275">
        <v>215193</v>
      </c>
      <c r="T248" s="275">
        <v>87843</v>
      </c>
      <c r="V248" s="58" t="s">
        <v>70</v>
      </c>
      <c r="W248" s="294">
        <f t="shared" ref="W248" si="45">SUM(W240:W247)</f>
        <v>212852</v>
      </c>
    </row>
    <row r="249" spans="2:23" ht="15.75" thickBot="1">
      <c r="B249" s="71" t="s">
        <v>71</v>
      </c>
      <c r="C249" s="72"/>
      <c r="D249" s="72"/>
      <c r="E249" s="72"/>
      <c r="F249" s="72"/>
      <c r="G249" s="72"/>
      <c r="H249" s="72"/>
      <c r="I249" s="72"/>
      <c r="J249" s="72"/>
      <c r="K249" s="72"/>
      <c r="L249" s="72"/>
      <c r="M249" s="72"/>
      <c r="N249" s="72"/>
      <c r="O249" s="300"/>
      <c r="P249" s="300"/>
      <c r="Q249" s="280"/>
      <c r="R249" s="280"/>
      <c r="S249" s="280"/>
      <c r="T249" s="280"/>
      <c r="V249" s="71" t="s">
        <v>71</v>
      </c>
      <c r="W249" s="753"/>
    </row>
    <row r="250" spans="2:23" ht="16.5" thickBot="1">
      <c r="B250" s="60" t="s">
        <v>63</v>
      </c>
      <c r="C250" s="61">
        <f>180000+174250+1</f>
        <v>354251</v>
      </c>
      <c r="D250" s="61">
        <f>180000+159250</f>
        <v>339250</v>
      </c>
      <c r="E250" s="61">
        <v>322250</v>
      </c>
      <c r="F250" s="61">
        <v>305250</v>
      </c>
      <c r="G250" s="61">
        <v>288250</v>
      </c>
      <c r="H250" s="61">
        <f>180000+91250</f>
        <v>271250</v>
      </c>
      <c r="I250" s="61">
        <v>338050</v>
      </c>
      <c r="J250" s="61">
        <v>338050</v>
      </c>
      <c r="K250" s="61">
        <v>338050</v>
      </c>
      <c r="L250" s="61">
        <f>180000+158050</f>
        <v>338050</v>
      </c>
      <c r="M250" s="61">
        <v>338050</v>
      </c>
      <c r="N250" s="61">
        <v>338050</v>
      </c>
      <c r="O250" s="283">
        <v>338050</v>
      </c>
      <c r="P250" s="283">
        <v>258050</v>
      </c>
      <c r="Q250" s="273">
        <v>258050</v>
      </c>
      <c r="R250" s="273">
        <v>250862</v>
      </c>
      <c r="S250" s="273">
        <v>240825</v>
      </c>
      <c r="T250" s="273">
        <v>328550</v>
      </c>
      <c r="V250" s="60" t="s">
        <v>63</v>
      </c>
      <c r="W250" s="283">
        <v>328550</v>
      </c>
    </row>
    <row r="251" spans="2:23" ht="16.5" thickBot="1">
      <c r="B251" s="60" t="s">
        <v>64</v>
      </c>
      <c r="C251" s="61">
        <v>12196</v>
      </c>
      <c r="D251" s="61">
        <v>12120</v>
      </c>
      <c r="E251" s="61">
        <v>12408</v>
      </c>
      <c r="F251" s="61">
        <v>12397</v>
      </c>
      <c r="G251" s="61">
        <v>12333</v>
      </c>
      <c r="H251" s="61">
        <v>12260</v>
      </c>
      <c r="I251" s="61">
        <v>14127</v>
      </c>
      <c r="J251" s="61">
        <v>14159</v>
      </c>
      <c r="K251" s="61">
        <v>14989</v>
      </c>
      <c r="L251" s="61">
        <v>14150</v>
      </c>
      <c r="M251" s="61">
        <v>13976</v>
      </c>
      <c r="N251" s="61">
        <v>14015</v>
      </c>
      <c r="O251" s="283">
        <v>14257</v>
      </c>
      <c r="P251" s="283">
        <v>14073</v>
      </c>
      <c r="Q251" s="273">
        <v>13901</v>
      </c>
      <c r="R251" s="273">
        <v>13788</v>
      </c>
      <c r="S251" s="273">
        <v>13774</v>
      </c>
      <c r="T251" s="273">
        <v>2056</v>
      </c>
      <c r="V251" s="60" t="s">
        <v>64</v>
      </c>
      <c r="W251" s="283">
        <v>2403</v>
      </c>
    </row>
    <row r="252" spans="2:23" ht="16.5" thickBot="1">
      <c r="B252" s="60" t="s">
        <v>72</v>
      </c>
      <c r="C252" s="61">
        <v>0</v>
      </c>
      <c r="D252" s="61">
        <v>0</v>
      </c>
      <c r="E252" s="61">
        <v>0</v>
      </c>
      <c r="F252" s="61">
        <v>0</v>
      </c>
      <c r="G252" s="61">
        <v>0</v>
      </c>
      <c r="H252" s="61">
        <v>0</v>
      </c>
      <c r="I252" s="61">
        <v>0</v>
      </c>
      <c r="J252" s="61">
        <v>0</v>
      </c>
      <c r="K252" s="61">
        <v>0</v>
      </c>
      <c r="L252" s="61">
        <v>0</v>
      </c>
      <c r="M252" s="61">
        <v>0</v>
      </c>
      <c r="N252" s="61">
        <v>0</v>
      </c>
      <c r="O252" s="283">
        <v>0</v>
      </c>
      <c r="P252" s="283"/>
      <c r="Q252" s="273"/>
      <c r="R252" s="273"/>
      <c r="S252" s="273">
        <v>0</v>
      </c>
      <c r="T252" s="273"/>
      <c r="V252" s="60" t="s">
        <v>72</v>
      </c>
      <c r="W252" s="283"/>
    </row>
    <row r="253" spans="2:23" ht="16.5" thickBot="1">
      <c r="B253" s="60" t="s">
        <v>66</v>
      </c>
      <c r="C253" s="61">
        <v>147734</v>
      </c>
      <c r="D253" s="61">
        <v>158229</v>
      </c>
      <c r="E253" s="61">
        <v>160161</v>
      </c>
      <c r="F253" s="61">
        <v>161147</v>
      </c>
      <c r="G253" s="61">
        <v>162872</v>
      </c>
      <c r="H253" s="61">
        <v>157153</v>
      </c>
      <c r="I253" s="61">
        <v>158917</v>
      </c>
      <c r="J253" s="61">
        <v>160321</v>
      </c>
      <c r="K253" s="61">
        <v>162128</v>
      </c>
      <c r="L253" s="61">
        <v>162337</v>
      </c>
      <c r="M253" s="61">
        <v>164224</v>
      </c>
      <c r="N253" s="61">
        <v>165858</v>
      </c>
      <c r="O253" s="283">
        <v>168320</v>
      </c>
      <c r="P253" s="283">
        <v>168734</v>
      </c>
      <c r="Q253" s="273">
        <v>170998</v>
      </c>
      <c r="R253" s="273">
        <v>172715</v>
      </c>
      <c r="S253" s="273">
        <v>174087</v>
      </c>
      <c r="T253" s="273">
        <v>131802</v>
      </c>
      <c r="V253" s="60" t="s">
        <v>66</v>
      </c>
      <c r="W253" s="283">
        <v>134302</v>
      </c>
    </row>
    <row r="254" spans="2:23" ht="16.5" thickBot="1">
      <c r="B254" s="60" t="s">
        <v>67</v>
      </c>
      <c r="C254" s="61">
        <v>0</v>
      </c>
      <c r="D254" s="61">
        <v>0</v>
      </c>
      <c r="E254" s="61">
        <v>0</v>
      </c>
      <c r="F254" s="61">
        <v>0</v>
      </c>
      <c r="G254" s="61">
        <v>0</v>
      </c>
      <c r="H254" s="61">
        <v>0</v>
      </c>
      <c r="I254" s="61">
        <v>0</v>
      </c>
      <c r="J254" s="61">
        <v>0</v>
      </c>
      <c r="K254" s="61">
        <v>0</v>
      </c>
      <c r="L254" s="61">
        <v>0</v>
      </c>
      <c r="M254" s="61">
        <v>0</v>
      </c>
      <c r="N254" s="61">
        <v>0</v>
      </c>
      <c r="O254" s="283">
        <v>0</v>
      </c>
      <c r="P254" s="283"/>
      <c r="Q254" s="273"/>
      <c r="R254" s="273"/>
      <c r="S254" s="273">
        <v>0</v>
      </c>
      <c r="T254" s="273"/>
      <c r="V254" s="60" t="s">
        <v>67</v>
      </c>
      <c r="W254" s="283"/>
    </row>
    <row r="255" spans="2:23" ht="16.5" thickBot="1">
      <c r="B255" s="60" t="s">
        <v>68</v>
      </c>
      <c r="C255" s="61">
        <v>5611</v>
      </c>
      <c r="D255" s="61">
        <v>5224</v>
      </c>
      <c r="E255" s="61">
        <v>5127</v>
      </c>
      <c r="F255" s="61">
        <v>5030</v>
      </c>
      <c r="G255" s="61">
        <f>4933-3</f>
        <v>4930</v>
      </c>
      <c r="H255" s="61">
        <v>4836</v>
      </c>
      <c r="I255" s="61">
        <v>4739</v>
      </c>
      <c r="J255" s="61">
        <f>4643-3</f>
        <v>4640</v>
      </c>
      <c r="K255" s="61">
        <f>4546-2</f>
        <v>4544</v>
      </c>
      <c r="L255" s="61">
        <f>4449-1</f>
        <v>4448</v>
      </c>
      <c r="M255" s="61">
        <v>4352</v>
      </c>
      <c r="N255" s="61">
        <v>4255</v>
      </c>
      <c r="O255" s="283">
        <v>6280</v>
      </c>
      <c r="P255" s="283">
        <v>6160</v>
      </c>
      <c r="Q255" s="273">
        <v>6045</v>
      </c>
      <c r="R255" s="273">
        <v>5931</v>
      </c>
      <c r="S255" s="273">
        <v>6283</v>
      </c>
      <c r="T255" s="273">
        <v>6168</v>
      </c>
      <c r="V255" s="60" t="s">
        <v>68</v>
      </c>
      <c r="W255" s="283">
        <v>6054</v>
      </c>
    </row>
    <row r="256" spans="2:23" ht="16.5" thickBot="1">
      <c r="B256" s="60" t="s">
        <v>97</v>
      </c>
      <c r="C256" s="61">
        <v>76835</v>
      </c>
      <c r="D256" s="61">
        <v>69535</v>
      </c>
      <c r="E256" s="61">
        <f>68306-2</f>
        <v>68304</v>
      </c>
      <c r="F256" s="61">
        <v>67062</v>
      </c>
      <c r="G256" s="61">
        <v>65392</v>
      </c>
      <c r="H256" s="61">
        <v>59169</v>
      </c>
      <c r="I256" s="61">
        <v>58152</v>
      </c>
      <c r="J256" s="61">
        <v>56908</v>
      </c>
      <c r="K256" s="61">
        <v>55380</v>
      </c>
      <c r="L256" s="61">
        <v>52257</v>
      </c>
      <c r="M256" s="61">
        <v>50120</v>
      </c>
      <c r="N256" s="61">
        <f>50116-2</f>
        <v>50114</v>
      </c>
      <c r="O256" s="283">
        <v>50310</v>
      </c>
      <c r="P256" s="283">
        <v>49074</v>
      </c>
      <c r="Q256" s="273">
        <v>48273</v>
      </c>
      <c r="R256" s="273">
        <v>47477</v>
      </c>
      <c r="S256" s="273">
        <v>53309</v>
      </c>
      <c r="T256" s="273">
        <v>23615</v>
      </c>
      <c r="V256" s="60" t="s">
        <v>97</v>
      </c>
      <c r="W256" s="283">
        <v>22337</v>
      </c>
    </row>
    <row r="257" spans="1:23" ht="15.75" thickBot="1">
      <c r="B257" s="58" t="s">
        <v>73</v>
      </c>
      <c r="C257" s="64">
        <f t="shared" ref="C257:N257" si="46">SUM(C250:C256)</f>
        <v>596627</v>
      </c>
      <c r="D257" s="64">
        <f t="shared" si="46"/>
        <v>584358</v>
      </c>
      <c r="E257" s="64">
        <f t="shared" si="46"/>
        <v>568250</v>
      </c>
      <c r="F257" s="64">
        <f t="shared" si="46"/>
        <v>550886</v>
      </c>
      <c r="G257" s="64">
        <f t="shared" si="46"/>
        <v>533777</v>
      </c>
      <c r="H257" s="64">
        <f t="shared" si="46"/>
        <v>504668</v>
      </c>
      <c r="I257" s="64">
        <f t="shared" si="46"/>
        <v>573985</v>
      </c>
      <c r="J257" s="64">
        <f t="shared" si="46"/>
        <v>574078</v>
      </c>
      <c r="K257" s="64">
        <f t="shared" si="46"/>
        <v>575091</v>
      </c>
      <c r="L257" s="64">
        <f t="shared" si="46"/>
        <v>571242</v>
      </c>
      <c r="M257" s="64">
        <f t="shared" si="46"/>
        <v>570722</v>
      </c>
      <c r="N257" s="64">
        <f t="shared" si="46"/>
        <v>572292</v>
      </c>
      <c r="O257" s="294">
        <v>577217</v>
      </c>
      <c r="P257" s="294">
        <v>496091</v>
      </c>
      <c r="Q257" s="275">
        <v>497267</v>
      </c>
      <c r="R257" s="275">
        <v>490773</v>
      </c>
      <c r="S257" s="275">
        <v>488278</v>
      </c>
      <c r="T257" s="275">
        <v>492191</v>
      </c>
      <c r="V257" s="58" t="s">
        <v>73</v>
      </c>
      <c r="W257" s="294">
        <f t="shared" ref="W257" si="47">SUM(W250:W256)</f>
        <v>493646</v>
      </c>
    </row>
    <row r="258" spans="1:23" ht="15.75" thickBot="1">
      <c r="B258" s="65" t="s">
        <v>74</v>
      </c>
      <c r="C258" s="66">
        <f t="shared" ref="C258:N258" si="48">+C248+C257</f>
        <v>686645</v>
      </c>
      <c r="D258" s="66">
        <f t="shared" si="48"/>
        <v>656208</v>
      </c>
      <c r="E258" s="66">
        <f t="shared" si="48"/>
        <v>721606</v>
      </c>
      <c r="F258" s="66">
        <f t="shared" si="48"/>
        <v>671385</v>
      </c>
      <c r="G258" s="66">
        <f t="shared" si="48"/>
        <v>672229</v>
      </c>
      <c r="H258" s="66">
        <f t="shared" si="48"/>
        <v>644642</v>
      </c>
      <c r="I258" s="66">
        <f t="shared" si="48"/>
        <v>745906</v>
      </c>
      <c r="J258" s="66">
        <f t="shared" si="48"/>
        <v>652159</v>
      </c>
      <c r="K258" s="66">
        <f t="shared" si="48"/>
        <v>656784</v>
      </c>
      <c r="L258" s="66">
        <f t="shared" si="48"/>
        <v>629171</v>
      </c>
      <c r="M258" s="66">
        <f t="shared" si="48"/>
        <v>753754</v>
      </c>
      <c r="N258" s="66">
        <f t="shared" si="48"/>
        <v>663489</v>
      </c>
      <c r="O258" s="295">
        <v>654073</v>
      </c>
      <c r="P258" s="295">
        <v>640550</v>
      </c>
      <c r="Q258" s="276">
        <v>744267</v>
      </c>
      <c r="R258" s="276">
        <v>749554</v>
      </c>
      <c r="S258" s="276">
        <v>703471</v>
      </c>
      <c r="T258" s="276">
        <v>580034</v>
      </c>
      <c r="V258" s="65" t="s">
        <v>74</v>
      </c>
      <c r="W258" s="295">
        <f t="shared" ref="W258" si="49">+W248+W257</f>
        <v>706498</v>
      </c>
    </row>
    <row r="259" spans="1:23" ht="15.75" thickBot="1">
      <c r="B259" s="67"/>
      <c r="C259" s="68"/>
      <c r="D259" s="68"/>
      <c r="E259" s="68"/>
      <c r="F259" s="68"/>
      <c r="G259" s="68"/>
      <c r="H259" s="68"/>
      <c r="I259" s="68"/>
      <c r="J259" s="68"/>
      <c r="K259" s="68"/>
      <c r="L259" s="68"/>
      <c r="M259" s="68"/>
      <c r="N259" s="68"/>
      <c r="O259" s="296"/>
      <c r="P259" s="296"/>
      <c r="Q259" s="277"/>
      <c r="R259" s="277"/>
      <c r="S259" s="277">
        <v>0</v>
      </c>
      <c r="T259" s="277"/>
      <c r="V259" s="67"/>
      <c r="W259" s="749"/>
    </row>
    <row r="260" spans="1:23" ht="15.75" thickBot="1">
      <c r="B260" s="73" t="s">
        <v>75</v>
      </c>
      <c r="C260" s="72"/>
      <c r="D260" s="72"/>
      <c r="E260" s="72"/>
      <c r="F260" s="72"/>
      <c r="G260" s="72"/>
      <c r="H260" s="72"/>
      <c r="I260" s="72"/>
      <c r="J260" s="72"/>
      <c r="K260" s="72"/>
      <c r="L260" s="72"/>
      <c r="M260" s="72"/>
      <c r="N260" s="72"/>
      <c r="O260" s="300"/>
      <c r="P260" s="300"/>
      <c r="Q260" s="280"/>
      <c r="R260" s="280"/>
      <c r="S260" s="280">
        <v>0</v>
      </c>
      <c r="T260" s="280"/>
      <c r="V260" s="73" t="s">
        <v>75</v>
      </c>
      <c r="W260" s="753"/>
    </row>
    <row r="261" spans="1:23" ht="16.5" thickBot="1">
      <c r="B261" s="60" t="s">
        <v>76</v>
      </c>
      <c r="C261" s="61">
        <v>180974</v>
      </c>
      <c r="D261" s="61">
        <v>180974</v>
      </c>
      <c r="E261" s="61">
        <v>180974</v>
      </c>
      <c r="F261" s="61">
        <v>180974</v>
      </c>
      <c r="G261" s="61">
        <v>180974</v>
      </c>
      <c r="H261" s="61">
        <v>180974</v>
      </c>
      <c r="I261" s="61">
        <v>180974</v>
      </c>
      <c r="J261" s="61">
        <v>180974</v>
      </c>
      <c r="K261" s="61">
        <v>180974</v>
      </c>
      <c r="L261" s="61">
        <v>180974</v>
      </c>
      <c r="M261" s="61">
        <v>180974</v>
      </c>
      <c r="N261" s="61">
        <v>180974</v>
      </c>
      <c r="O261" s="283">
        <v>180974</v>
      </c>
      <c r="P261" s="283">
        <v>180974</v>
      </c>
      <c r="Q261" s="273">
        <v>180974</v>
      </c>
      <c r="R261" s="273">
        <v>180974</v>
      </c>
      <c r="S261" s="273">
        <v>180974</v>
      </c>
      <c r="T261" s="273">
        <v>180974</v>
      </c>
      <c r="V261" s="60" t="s">
        <v>76</v>
      </c>
      <c r="W261" s="283">
        <v>180974</v>
      </c>
    </row>
    <row r="262" spans="1:23" ht="16.5" thickBot="1">
      <c r="B262" s="60" t="s">
        <v>77</v>
      </c>
      <c r="C262" s="61">
        <v>0</v>
      </c>
      <c r="D262" s="61">
        <v>0</v>
      </c>
      <c r="E262" s="61">
        <v>0</v>
      </c>
      <c r="F262" s="61">
        <v>0</v>
      </c>
      <c r="G262" s="61">
        <v>0</v>
      </c>
      <c r="H262" s="61">
        <v>0</v>
      </c>
      <c r="I262" s="61">
        <v>0</v>
      </c>
      <c r="J262" s="61">
        <v>0</v>
      </c>
      <c r="K262" s="61">
        <v>0</v>
      </c>
      <c r="L262" s="61">
        <v>0</v>
      </c>
      <c r="M262" s="61">
        <v>0</v>
      </c>
      <c r="N262" s="61">
        <v>0</v>
      </c>
      <c r="O262" s="283">
        <v>0</v>
      </c>
      <c r="P262" s="283"/>
      <c r="Q262" s="273"/>
      <c r="R262" s="273"/>
      <c r="S262" s="273">
        <v>0</v>
      </c>
      <c r="T262" s="273"/>
      <c r="V262" s="60" t="s">
        <v>77</v>
      </c>
      <c r="W262" s="283">
        <v>0</v>
      </c>
    </row>
    <row r="263" spans="1:23" ht="16.5" thickBot="1">
      <c r="B263" s="60" t="s">
        <v>78</v>
      </c>
      <c r="C263" s="61">
        <v>77575</v>
      </c>
      <c r="D263" s="61">
        <v>87483</v>
      </c>
      <c r="E263" s="61">
        <v>96404</v>
      </c>
      <c r="F263" s="61">
        <v>96404</v>
      </c>
      <c r="G263" s="61">
        <v>96404</v>
      </c>
      <c r="H263" s="61">
        <v>96404</v>
      </c>
      <c r="I263" s="61">
        <v>96404</v>
      </c>
      <c r="J263" s="61">
        <v>96404</v>
      </c>
      <c r="K263" s="61">
        <v>96404</v>
      </c>
      <c r="L263" s="61">
        <v>96404</v>
      </c>
      <c r="M263" s="61">
        <v>96404</v>
      </c>
      <c r="N263" s="61">
        <v>96404</v>
      </c>
      <c r="O263" s="283">
        <v>96404</v>
      </c>
      <c r="P263" s="283">
        <v>96404</v>
      </c>
      <c r="Q263" s="273">
        <v>96404</v>
      </c>
      <c r="R263" s="273">
        <v>96404</v>
      </c>
      <c r="S263" s="273">
        <v>96404</v>
      </c>
      <c r="T263" s="273">
        <v>96404</v>
      </c>
      <c r="V263" s="60" t="s">
        <v>78</v>
      </c>
      <c r="W263" s="283">
        <v>96404</v>
      </c>
    </row>
    <row r="264" spans="1:23" ht="16.5" thickBot="1">
      <c r="B264" s="60" t="s">
        <v>79</v>
      </c>
      <c r="C264" s="61">
        <v>281371</v>
      </c>
      <c r="D264" s="61">
        <v>281371</v>
      </c>
      <c r="E264" s="61">
        <v>281371</v>
      </c>
      <c r="F264" s="61">
        <v>281371</v>
      </c>
      <c r="G264" s="61">
        <v>281371</v>
      </c>
      <c r="H264" s="61">
        <v>278777</v>
      </c>
      <c r="I264" s="61">
        <v>278777</v>
      </c>
      <c r="J264" s="61">
        <v>278777</v>
      </c>
      <c r="K264" s="61">
        <v>278777</v>
      </c>
      <c r="L264" s="61">
        <v>278777</v>
      </c>
      <c r="M264" s="61">
        <v>278777</v>
      </c>
      <c r="N264" s="61">
        <v>278777</v>
      </c>
      <c r="O264" s="283">
        <v>278777</v>
      </c>
      <c r="P264" s="283">
        <v>278777</v>
      </c>
      <c r="Q264" s="273">
        <v>278777</v>
      </c>
      <c r="R264" s="273">
        <v>278775</v>
      </c>
      <c r="S264" s="273">
        <v>278775</v>
      </c>
      <c r="T264" s="273">
        <v>278775</v>
      </c>
      <c r="V264" s="60" t="s">
        <v>79</v>
      </c>
      <c r="W264" s="283">
        <v>278774</v>
      </c>
    </row>
    <row r="265" spans="1:23" ht="16.5" thickBot="1">
      <c r="B265" s="60" t="s">
        <v>80</v>
      </c>
      <c r="C265" s="61">
        <v>88762</v>
      </c>
      <c r="D265" s="61">
        <v>107978</v>
      </c>
      <c r="E265" s="61">
        <v>31116</v>
      </c>
      <c r="F265" s="61">
        <v>64014</v>
      </c>
      <c r="G265" s="61">
        <v>95999</v>
      </c>
      <c r="H265" s="61">
        <v>135784</v>
      </c>
      <c r="I265" s="61">
        <v>39650</v>
      </c>
      <c r="J265" s="61">
        <v>78611</v>
      </c>
      <c r="K265" s="61">
        <v>118117</v>
      </c>
      <c r="L265" s="61">
        <v>170619</v>
      </c>
      <c r="M265" s="61">
        <v>40236</v>
      </c>
      <c r="N265" s="61">
        <v>80872</v>
      </c>
      <c r="O265" s="283">
        <v>119388</v>
      </c>
      <c r="P265" s="283">
        <v>146814</v>
      </c>
      <c r="Q265" s="273">
        <v>46603</v>
      </c>
      <c r="R265" s="273">
        <v>91799</v>
      </c>
      <c r="S265" s="273">
        <v>138946</v>
      </c>
      <c r="T265" s="273">
        <v>184024</v>
      </c>
      <c r="V265" s="60" t="s">
        <v>80</v>
      </c>
      <c r="W265" s="283">
        <v>45805</v>
      </c>
    </row>
    <row r="266" spans="1:23" ht="16.5" thickBot="1">
      <c r="B266" s="60" t="s">
        <v>81</v>
      </c>
      <c r="C266" s="61">
        <v>81923</v>
      </c>
      <c r="D266" s="61">
        <v>74875</v>
      </c>
      <c r="E266" s="61">
        <v>55924</v>
      </c>
      <c r="F266" s="61">
        <v>67538</v>
      </c>
      <c r="G266" s="61">
        <v>69913</v>
      </c>
      <c r="H266" s="61">
        <v>100354</v>
      </c>
      <c r="I266" s="61">
        <v>90815</v>
      </c>
      <c r="J266" s="61">
        <v>91263</v>
      </c>
      <c r="K266" s="61">
        <v>112599</v>
      </c>
      <c r="L266" s="61">
        <v>96353</v>
      </c>
      <c r="M266" s="61">
        <v>169321</v>
      </c>
      <c r="N266" s="61">
        <v>142429</v>
      </c>
      <c r="O266" s="283">
        <v>151333</v>
      </c>
      <c r="P266" s="283">
        <v>113140</v>
      </c>
      <c r="Q266" s="273">
        <v>136426</v>
      </c>
      <c r="R266" s="273">
        <v>137628</v>
      </c>
      <c r="S266" s="273">
        <v>172217</v>
      </c>
      <c r="T266" s="273">
        <v>187405</v>
      </c>
      <c r="V266" s="60" t="s">
        <v>81</v>
      </c>
      <c r="W266" s="283">
        <v>165165</v>
      </c>
    </row>
    <row r="267" spans="1:23" ht="15.75" thickBot="1">
      <c r="B267" s="58" t="s">
        <v>84</v>
      </c>
      <c r="C267" s="64">
        <f t="shared" ref="C267:N267" si="50">SUM(C261:C266)</f>
        <v>710605</v>
      </c>
      <c r="D267" s="64">
        <f t="shared" si="50"/>
        <v>732681</v>
      </c>
      <c r="E267" s="64">
        <f t="shared" si="50"/>
        <v>645789</v>
      </c>
      <c r="F267" s="64">
        <f t="shared" si="50"/>
        <v>690301</v>
      </c>
      <c r="G267" s="64">
        <f t="shared" si="50"/>
        <v>724661</v>
      </c>
      <c r="H267" s="64">
        <f t="shared" si="50"/>
        <v>792293</v>
      </c>
      <c r="I267" s="64">
        <f t="shared" si="50"/>
        <v>686620</v>
      </c>
      <c r="J267" s="64">
        <f t="shared" si="50"/>
        <v>726029</v>
      </c>
      <c r="K267" s="64">
        <f t="shared" si="50"/>
        <v>786871</v>
      </c>
      <c r="L267" s="64">
        <f t="shared" si="50"/>
        <v>823127</v>
      </c>
      <c r="M267" s="64">
        <f t="shared" si="50"/>
        <v>765712</v>
      </c>
      <c r="N267" s="64">
        <f t="shared" si="50"/>
        <v>779456</v>
      </c>
      <c r="O267" s="294">
        <v>826876</v>
      </c>
      <c r="P267" s="294">
        <v>816109</v>
      </c>
      <c r="Q267" s="275">
        <v>739184</v>
      </c>
      <c r="R267" s="275">
        <v>785580</v>
      </c>
      <c r="S267" s="275">
        <v>867316</v>
      </c>
      <c r="T267" s="275">
        <v>927582</v>
      </c>
      <c r="V267" s="58" t="s">
        <v>84</v>
      </c>
      <c r="W267" s="294">
        <f t="shared" ref="W267" si="51">SUM(W261:W266)</f>
        <v>767122</v>
      </c>
    </row>
    <row r="268" spans="1:23" ht="15.75" thickBot="1">
      <c r="A268" s="155" t="s">
        <v>469</v>
      </c>
      <c r="B268" s="74" t="s">
        <v>85</v>
      </c>
      <c r="C268" s="66">
        <f t="shared" ref="C268:N268" si="52">+C258+C267</f>
        <v>1397250</v>
      </c>
      <c r="D268" s="66">
        <f t="shared" si="52"/>
        <v>1388889</v>
      </c>
      <c r="E268" s="66">
        <f t="shared" si="52"/>
        <v>1367395</v>
      </c>
      <c r="F268" s="66">
        <f t="shared" si="52"/>
        <v>1361686</v>
      </c>
      <c r="G268" s="66">
        <f t="shared" si="52"/>
        <v>1396890</v>
      </c>
      <c r="H268" s="66">
        <f t="shared" si="52"/>
        <v>1436935</v>
      </c>
      <c r="I268" s="66">
        <f t="shared" si="52"/>
        <v>1432526</v>
      </c>
      <c r="J268" s="66">
        <f t="shared" si="52"/>
        <v>1378188</v>
      </c>
      <c r="K268" s="66">
        <f t="shared" si="52"/>
        <v>1443655</v>
      </c>
      <c r="L268" s="66">
        <f t="shared" si="52"/>
        <v>1452298</v>
      </c>
      <c r="M268" s="66">
        <f t="shared" si="52"/>
        <v>1519466</v>
      </c>
      <c r="N268" s="66">
        <f t="shared" si="52"/>
        <v>1442945</v>
      </c>
      <c r="O268" s="295">
        <v>1480949</v>
      </c>
      <c r="P268" s="295">
        <v>1456659</v>
      </c>
      <c r="Q268" s="276">
        <v>1483451</v>
      </c>
      <c r="R268" s="276">
        <v>1535134</v>
      </c>
      <c r="S268" s="276">
        <v>1570787</v>
      </c>
      <c r="T268" s="276">
        <v>1507616</v>
      </c>
      <c r="V268" s="74" t="s">
        <v>85</v>
      </c>
      <c r="W268" s="295">
        <f t="shared" ref="W268" si="53">+W258+W267</f>
        <v>1473620</v>
      </c>
    </row>
    <row r="269" spans="1:23">
      <c r="C269" s="114">
        <f>+C236-C258-C267</f>
        <v>0</v>
      </c>
      <c r="D269" s="114">
        <f t="shared" ref="D269:N269" si="54">+D236-D258-D267</f>
        <v>0</v>
      </c>
      <c r="E269" s="114">
        <f t="shared" si="54"/>
        <v>0</v>
      </c>
      <c r="F269" s="114">
        <f t="shared" si="54"/>
        <v>0</v>
      </c>
      <c r="G269" s="114">
        <f t="shared" si="54"/>
        <v>0</v>
      </c>
      <c r="H269" s="114">
        <f t="shared" si="54"/>
        <v>0</v>
      </c>
      <c r="I269" s="114">
        <f t="shared" si="54"/>
        <v>0</v>
      </c>
      <c r="J269" s="114">
        <f t="shared" si="54"/>
        <v>0</v>
      </c>
      <c r="K269" s="114">
        <f t="shared" si="54"/>
        <v>0</v>
      </c>
      <c r="L269" s="114">
        <f t="shared" si="54"/>
        <v>0</v>
      </c>
      <c r="M269" s="114">
        <f t="shared" si="54"/>
        <v>0</v>
      </c>
      <c r="N269" s="114">
        <f t="shared" si="54"/>
        <v>0</v>
      </c>
    </row>
    <row r="270" spans="1:23">
      <c r="C270" s="101">
        <f>+C204-C265</f>
        <v>0</v>
      </c>
      <c r="D270" s="101">
        <f t="shared" ref="D270:E270" si="55">+D204-D265</f>
        <v>0</v>
      </c>
      <c r="E270" s="101">
        <f t="shared" si="55"/>
        <v>0</v>
      </c>
      <c r="F270" s="101">
        <f>+F204+E204-F265</f>
        <v>0</v>
      </c>
      <c r="G270" s="101">
        <f>+G204+F204+E204-G265</f>
        <v>0</v>
      </c>
      <c r="H270" s="101">
        <f>+H204+G204+F204+E204-H265</f>
        <v>0</v>
      </c>
      <c r="I270" s="101">
        <f t="shared" ref="I270" si="56">+I204-I265</f>
        <v>0</v>
      </c>
      <c r="J270" s="101">
        <f>+J204+I204-J265</f>
        <v>0</v>
      </c>
      <c r="K270" s="101">
        <f>+K204+J204+I204-K265</f>
        <v>0</v>
      </c>
      <c r="L270" s="101">
        <f>+L204+K204+J204+I204-L265</f>
        <v>0</v>
      </c>
      <c r="M270" s="101">
        <f t="shared" ref="M270" si="57">+M204-M265</f>
        <v>0</v>
      </c>
      <c r="N270" s="101">
        <f>+N204+M204-N265</f>
        <v>0</v>
      </c>
      <c r="O270" s="101"/>
      <c r="P270" s="101"/>
    </row>
  </sheetData>
  <phoneticPr fontId="175" type="noConversion"/>
  <hyperlinks>
    <hyperlink ref="A1" location="'Table of Contents'!A1" display="Return to Table of Contents" xr:uid="{00000000-0004-0000-0300-000000000000}"/>
  </hyperlinks>
  <pageMargins left="0.7" right="0.7" top="0.75" bottom="0.75" header="0.3" footer="0.3"/>
  <pageSetup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5D4E6-13F1-42AB-B393-C6F0293B50C0}">
  <dimension ref="A1:AA257"/>
  <sheetViews>
    <sheetView showGridLines="0" zoomScaleNormal="100" workbookViewId="0">
      <pane xSplit="2" ySplit="7" topLeftCell="R32" activePane="bottomRight" state="frozen"/>
      <selection pane="topRight" activeCell="C1" sqref="C1"/>
      <selection pane="bottomLeft" activeCell="A8" sqref="A8"/>
      <selection pane="bottomRight" activeCell="S37" sqref="S37:T37"/>
    </sheetView>
  </sheetViews>
  <sheetFormatPr baseColWidth="10" defaultColWidth="11.42578125" defaultRowHeight="15"/>
  <cols>
    <col min="1" max="1" width="5.42578125" style="135" customWidth="1"/>
    <col min="2" max="2" width="66.85546875" style="135" customWidth="1"/>
    <col min="3" max="3" width="19" style="135" customWidth="1"/>
    <col min="4" max="4" width="17.5703125" style="135" customWidth="1"/>
    <col min="5" max="6" width="15.140625" style="135" customWidth="1"/>
    <col min="7" max="7" width="17.5703125" style="135" customWidth="1"/>
    <col min="8" max="8" width="17.140625" style="135" customWidth="1"/>
    <col min="9" max="9" width="15.140625" style="135" customWidth="1"/>
    <col min="10" max="10" width="17.140625" style="135" customWidth="1"/>
    <col min="11" max="11" width="16" style="135" customWidth="1"/>
    <col min="12" max="12" width="17.85546875" style="135" customWidth="1"/>
    <col min="13" max="13" width="16" style="135" customWidth="1"/>
    <col min="14" max="14" width="18.140625" style="135" customWidth="1"/>
    <col min="15" max="15" width="18.85546875" style="135" customWidth="1"/>
    <col min="16" max="18" width="17.140625" style="221" bestFit="1" customWidth="1"/>
    <col min="19" max="19" width="17.42578125" style="221" bestFit="1" customWidth="1"/>
    <col min="20" max="21" width="17.140625" style="221" bestFit="1" customWidth="1"/>
    <col min="22" max="27" width="11.42578125" style="221"/>
    <col min="28" max="16384" width="11.42578125" style="135"/>
  </cols>
  <sheetData>
    <row r="1" spans="1:26">
      <c r="A1" s="3" t="s">
        <v>627</v>
      </c>
    </row>
    <row r="3" spans="1:26">
      <c r="B3" s="149" t="s">
        <v>970</v>
      </c>
      <c r="P3" s="368"/>
      <c r="Q3" s="368"/>
      <c r="R3" s="368"/>
      <c r="S3" s="368"/>
      <c r="T3" s="368"/>
      <c r="U3" s="368"/>
      <c r="V3" s="368"/>
      <c r="W3" s="368"/>
      <c r="X3" s="368"/>
      <c r="Y3" s="368"/>
      <c r="Z3" s="368"/>
    </row>
    <row r="4" spans="1:26">
      <c r="B4" s="21" t="s">
        <v>487</v>
      </c>
    </row>
    <row r="6" spans="1:26">
      <c r="B6" s="833"/>
      <c r="C6" s="369" t="s">
        <v>649</v>
      </c>
      <c r="D6" s="369"/>
      <c r="E6" s="369"/>
      <c r="F6" s="369"/>
      <c r="G6" s="369"/>
      <c r="H6" s="369"/>
      <c r="I6" s="369"/>
      <c r="J6" s="369"/>
      <c r="K6" s="369"/>
      <c r="L6" s="621"/>
      <c r="M6" s="369"/>
      <c r="N6" s="369"/>
      <c r="O6" s="369"/>
      <c r="P6" s="622"/>
      <c r="Q6" s="622"/>
      <c r="R6" s="622"/>
      <c r="S6" s="622"/>
      <c r="T6" s="622"/>
      <c r="U6" s="622"/>
    </row>
    <row r="7" spans="1:26">
      <c r="B7" s="833"/>
      <c r="C7" s="225">
        <v>2016</v>
      </c>
      <c r="D7" s="226">
        <v>2017</v>
      </c>
      <c r="E7" s="226" t="s">
        <v>650</v>
      </c>
      <c r="F7" s="226" t="s">
        <v>651</v>
      </c>
      <c r="G7" s="226" t="s">
        <v>652</v>
      </c>
      <c r="H7" s="226" t="s">
        <v>653</v>
      </c>
      <c r="I7" s="226" t="s">
        <v>654</v>
      </c>
      <c r="J7" s="226" t="s">
        <v>655</v>
      </c>
      <c r="K7" s="226" t="s">
        <v>656</v>
      </c>
      <c r="L7" s="623" t="s">
        <v>657</v>
      </c>
      <c r="M7" s="226" t="s">
        <v>658</v>
      </c>
      <c r="N7" s="226" t="s">
        <v>659</v>
      </c>
      <c r="O7" s="226" t="s">
        <v>626</v>
      </c>
      <c r="P7" s="438" t="s">
        <v>958</v>
      </c>
      <c r="Q7" s="438" t="s">
        <v>1014</v>
      </c>
      <c r="R7" s="438" t="s">
        <v>1048</v>
      </c>
      <c r="S7" s="438" t="s">
        <v>1187</v>
      </c>
      <c r="T7" s="438" t="s">
        <v>1239</v>
      </c>
      <c r="U7" s="438" t="s">
        <v>1292</v>
      </c>
    </row>
    <row r="8" spans="1:26">
      <c r="B8" s="129" t="s">
        <v>660</v>
      </c>
      <c r="C8" s="156">
        <v>8774335.9359499998</v>
      </c>
      <c r="D8" s="156">
        <v>3050501.9190743743</v>
      </c>
      <c r="E8" s="156">
        <v>627253</v>
      </c>
      <c r="F8" s="156">
        <v>665797</v>
      </c>
      <c r="G8" s="156">
        <v>1290219</v>
      </c>
      <c r="H8" s="156">
        <v>1108302</v>
      </c>
      <c r="I8" s="156">
        <v>846080</v>
      </c>
      <c r="J8" s="156">
        <v>1094524</v>
      </c>
      <c r="K8" s="156">
        <f t="shared" ref="K8:Q8" si="0">SUM(K9:K13)</f>
        <v>855963</v>
      </c>
      <c r="L8" s="370">
        <f t="shared" si="0"/>
        <v>1018898</v>
      </c>
      <c r="M8" s="156">
        <f t="shared" si="0"/>
        <v>979128</v>
      </c>
      <c r="N8" s="156">
        <f t="shared" si="0"/>
        <v>1723910</v>
      </c>
      <c r="O8" s="156">
        <f t="shared" si="0"/>
        <v>1204440</v>
      </c>
      <c r="P8" s="371">
        <f t="shared" si="0"/>
        <v>382214</v>
      </c>
      <c r="Q8" s="371">
        <f t="shared" si="0"/>
        <v>1260391</v>
      </c>
      <c r="R8" s="371">
        <v>1703349.0489999999</v>
      </c>
      <c r="S8" s="242">
        <f t="shared" ref="S8" si="1">SUM(S9:S13)</f>
        <v>1708800.3470000001</v>
      </c>
      <c r="T8" s="242">
        <f t="shared" ref="T8" si="2">SUM(T9:T13)</f>
        <v>1663140.7660000003</v>
      </c>
      <c r="U8" s="242">
        <v>1537177</v>
      </c>
    </row>
    <row r="9" spans="1:26">
      <c r="B9" s="129" t="s">
        <v>661</v>
      </c>
      <c r="C9" s="156">
        <v>171901.93595000001</v>
      </c>
      <c r="D9" s="156">
        <v>247126</v>
      </c>
      <c r="E9" s="156">
        <v>80136</v>
      </c>
      <c r="F9" s="156">
        <v>113491</v>
      </c>
      <c r="G9" s="156">
        <v>80464</v>
      </c>
      <c r="H9" s="156">
        <v>113024</v>
      </c>
      <c r="I9" s="156">
        <v>72374</v>
      </c>
      <c r="J9" s="156">
        <v>145664</v>
      </c>
      <c r="K9" s="156">
        <v>178632</v>
      </c>
      <c r="L9" s="370">
        <v>411855</v>
      </c>
      <c r="M9" s="156">
        <v>193571</v>
      </c>
      <c r="N9" s="156">
        <v>198081</v>
      </c>
      <c r="O9" s="156">
        <v>207091</v>
      </c>
      <c r="P9" s="371">
        <v>583719</v>
      </c>
      <c r="Q9" s="371">
        <v>235645</v>
      </c>
      <c r="R9" s="371">
        <v>262225</v>
      </c>
      <c r="S9" s="242">
        <v>340255</v>
      </c>
      <c r="T9" s="242">
        <v>312113</v>
      </c>
      <c r="U9" s="242">
        <v>397080</v>
      </c>
    </row>
    <row r="10" spans="1:26">
      <c r="B10" s="129" t="s">
        <v>662</v>
      </c>
      <c r="C10" s="156">
        <v>835786</v>
      </c>
      <c r="D10" s="156">
        <v>880901</v>
      </c>
      <c r="E10" s="156">
        <v>235019</v>
      </c>
      <c r="F10" s="156">
        <v>242854</v>
      </c>
      <c r="G10" s="156">
        <v>276953</v>
      </c>
      <c r="H10" s="156">
        <v>287708</v>
      </c>
      <c r="I10" s="156">
        <v>282515</v>
      </c>
      <c r="J10" s="156">
        <v>277434</v>
      </c>
      <c r="K10" s="156">
        <v>250903</v>
      </c>
      <c r="L10" s="370">
        <v>297668</v>
      </c>
      <c r="M10" s="156">
        <v>297169</v>
      </c>
      <c r="N10" s="156">
        <v>170126</v>
      </c>
      <c r="O10" s="156">
        <v>271689</v>
      </c>
      <c r="P10" s="371">
        <v>332142</v>
      </c>
      <c r="Q10" s="371">
        <v>318120</v>
      </c>
      <c r="R10" s="371">
        <v>172417.00099999999</v>
      </c>
      <c r="S10" s="242">
        <v>358544.696</v>
      </c>
      <c r="T10" s="242">
        <v>280957.07999999996</v>
      </c>
      <c r="U10" s="242">
        <v>293705</v>
      </c>
    </row>
    <row r="11" spans="1:26">
      <c r="B11" s="129" t="s">
        <v>964</v>
      </c>
      <c r="C11" s="156"/>
      <c r="D11" s="156"/>
      <c r="E11" s="156"/>
      <c r="F11" s="156"/>
      <c r="G11" s="156"/>
      <c r="H11" s="156"/>
      <c r="I11" s="156"/>
      <c r="J11" s="156"/>
      <c r="K11" s="156"/>
      <c r="L11" s="370">
        <v>464490</v>
      </c>
      <c r="M11" s="156"/>
      <c r="N11" s="156"/>
      <c r="O11" s="156"/>
      <c r="P11" s="371">
        <v>152998</v>
      </c>
      <c r="Q11" s="371">
        <v>20922</v>
      </c>
      <c r="R11" s="371">
        <v>62233</v>
      </c>
      <c r="S11" s="242">
        <v>21169</v>
      </c>
      <c r="T11" s="242">
        <v>37862</v>
      </c>
      <c r="U11" s="242">
        <v>3914</v>
      </c>
    </row>
    <row r="12" spans="1:26">
      <c r="B12" s="129" t="s">
        <v>1061</v>
      </c>
      <c r="C12" s="156">
        <v>7743248</v>
      </c>
      <c r="D12" s="156">
        <v>1896406</v>
      </c>
      <c r="E12" s="156">
        <v>305366</v>
      </c>
      <c r="F12" s="156">
        <v>302657</v>
      </c>
      <c r="G12" s="156">
        <v>926265</v>
      </c>
      <c r="H12" s="156">
        <v>700729</v>
      </c>
      <c r="I12" s="156">
        <v>484169</v>
      </c>
      <c r="J12" s="156">
        <v>664271</v>
      </c>
      <c r="K12" s="156">
        <v>416548</v>
      </c>
      <c r="L12" s="370">
        <v>-162906</v>
      </c>
      <c r="M12" s="156">
        <v>480688</v>
      </c>
      <c r="N12" s="156">
        <v>1348221</v>
      </c>
      <c r="O12" s="156">
        <v>713957</v>
      </c>
      <c r="P12" s="371">
        <v>-694981</v>
      </c>
      <c r="Q12" s="371">
        <v>679010</v>
      </c>
      <c r="R12" s="371">
        <v>1187403.048</v>
      </c>
      <c r="S12" s="242">
        <v>977017.65099999995</v>
      </c>
      <c r="T12" s="242">
        <v>1024225.6860000002</v>
      </c>
      <c r="U12" s="242">
        <v>839064</v>
      </c>
    </row>
    <row r="13" spans="1:26">
      <c r="B13" s="129" t="s">
        <v>1062</v>
      </c>
      <c r="C13" s="156">
        <v>23400</v>
      </c>
      <c r="D13" s="156">
        <v>26068</v>
      </c>
      <c r="E13" s="156">
        <v>6732</v>
      </c>
      <c r="F13" s="156">
        <v>6795</v>
      </c>
      <c r="G13" s="156">
        <v>6537</v>
      </c>
      <c r="H13" s="156">
        <v>6841</v>
      </c>
      <c r="I13" s="156">
        <v>7022</v>
      </c>
      <c r="J13" s="156">
        <v>7155</v>
      </c>
      <c r="K13" s="156">
        <v>9880</v>
      </c>
      <c r="L13" s="370">
        <v>7791</v>
      </c>
      <c r="M13" s="156">
        <v>7700</v>
      </c>
      <c r="N13" s="156">
        <v>7482</v>
      </c>
      <c r="O13" s="156">
        <v>11703</v>
      </c>
      <c r="P13" s="371">
        <v>8336</v>
      </c>
      <c r="Q13" s="371">
        <v>6694</v>
      </c>
      <c r="R13" s="371">
        <v>19071</v>
      </c>
      <c r="S13" s="242">
        <v>11814</v>
      </c>
      <c r="T13" s="242">
        <v>7983</v>
      </c>
      <c r="U13" s="242">
        <v>3414</v>
      </c>
    </row>
    <row r="14" spans="1:26">
      <c r="B14" s="132" t="s">
        <v>664</v>
      </c>
      <c r="C14" s="156">
        <v>-988720</v>
      </c>
      <c r="D14" s="156">
        <v>-349308</v>
      </c>
      <c r="E14" s="156">
        <v>-80646</v>
      </c>
      <c r="F14" s="156">
        <v>-85196</v>
      </c>
      <c r="G14" s="156">
        <v>-154868</v>
      </c>
      <c r="H14" s="156">
        <v>-136874</v>
      </c>
      <c r="I14" s="156">
        <v>-113784</v>
      </c>
      <c r="J14" s="156">
        <v>-134732</v>
      </c>
      <c r="K14" s="156">
        <v>-119137</v>
      </c>
      <c r="L14" s="370">
        <v>-115950</v>
      </c>
      <c r="M14" s="371">
        <v>-127001</v>
      </c>
      <c r="N14" s="156">
        <v>-205839</v>
      </c>
      <c r="O14" s="156">
        <v>-132865</v>
      </c>
      <c r="P14" s="371">
        <v>-80936</v>
      </c>
      <c r="Q14" s="371">
        <v>-172373</v>
      </c>
      <c r="R14" s="371">
        <v>-192213.75200000001</v>
      </c>
      <c r="S14" s="242">
        <v>-211134.46899999998</v>
      </c>
      <c r="T14" s="242">
        <v>-225830.00799999997</v>
      </c>
      <c r="U14" s="242">
        <v>-177116.17366999999</v>
      </c>
    </row>
    <row r="15" spans="1:26">
      <c r="B15" s="227" t="s">
        <v>665</v>
      </c>
      <c r="C15" s="228">
        <f>SUM(C9:C14)</f>
        <v>7785615.9359499998</v>
      </c>
      <c r="D15" s="228">
        <f t="shared" ref="D15:R15" si="3">SUM(D9:D14)</f>
        <v>2701193</v>
      </c>
      <c r="E15" s="228">
        <f t="shared" si="3"/>
        <v>546607</v>
      </c>
      <c r="F15" s="228">
        <f t="shared" si="3"/>
        <v>580601</v>
      </c>
      <c r="G15" s="228">
        <f t="shared" si="3"/>
        <v>1135351</v>
      </c>
      <c r="H15" s="228">
        <f t="shared" si="3"/>
        <v>971428</v>
      </c>
      <c r="I15" s="228">
        <f t="shared" si="3"/>
        <v>732296</v>
      </c>
      <c r="J15" s="228">
        <f t="shared" si="3"/>
        <v>959792</v>
      </c>
      <c r="K15" s="228">
        <f t="shared" si="3"/>
        <v>736826</v>
      </c>
      <c r="L15" s="624">
        <f t="shared" si="3"/>
        <v>902948</v>
      </c>
      <c r="M15" s="228">
        <f t="shared" si="3"/>
        <v>852127</v>
      </c>
      <c r="N15" s="228">
        <f t="shared" si="3"/>
        <v>1518071</v>
      </c>
      <c r="O15" s="228">
        <f t="shared" si="3"/>
        <v>1071575</v>
      </c>
      <c r="P15" s="372">
        <f t="shared" si="3"/>
        <v>301278</v>
      </c>
      <c r="Q15" s="372">
        <f t="shared" si="3"/>
        <v>1088018</v>
      </c>
      <c r="R15" s="372">
        <f t="shared" si="3"/>
        <v>1511135.2969999998</v>
      </c>
      <c r="S15" s="372">
        <f t="shared" ref="S15" si="4">SUM(S9:S14)</f>
        <v>1497665.878</v>
      </c>
      <c r="T15" s="372">
        <f t="shared" ref="T15" si="5">SUM(T9:T14)</f>
        <v>1437310.7580000004</v>
      </c>
      <c r="U15" s="372">
        <v>1360060.8263300001</v>
      </c>
    </row>
    <row r="16" spans="1:26">
      <c r="B16" s="132" t="s">
        <v>666</v>
      </c>
      <c r="C16" s="156">
        <f>SUM(C17:C21)</f>
        <v>-448802</v>
      </c>
      <c r="D16" s="156">
        <f t="shared" ref="D16:O16" si="6">SUM(D17:D21)</f>
        <v>-723671.99031999998</v>
      </c>
      <c r="E16" s="156">
        <f t="shared" si="6"/>
        <v>-190804</v>
      </c>
      <c r="F16" s="156">
        <f t="shared" si="6"/>
        <v>-229809</v>
      </c>
      <c r="G16" s="156">
        <f t="shared" si="6"/>
        <v>-196145</v>
      </c>
      <c r="H16" s="156">
        <f t="shared" si="6"/>
        <v>-275125</v>
      </c>
      <c r="I16" s="156">
        <f t="shared" si="6"/>
        <v>-202375</v>
      </c>
      <c r="J16" s="156">
        <f t="shared" si="6"/>
        <v>-309539</v>
      </c>
      <c r="K16" s="156">
        <f t="shared" si="6"/>
        <v>-325485</v>
      </c>
      <c r="L16" s="370">
        <f>SUM(L17:L22)</f>
        <v>-336604</v>
      </c>
      <c r="M16" s="371">
        <f t="shared" si="6"/>
        <v>-268335</v>
      </c>
      <c r="N16" s="156">
        <f t="shared" si="6"/>
        <v>-321436</v>
      </c>
      <c r="O16" s="156">
        <f t="shared" si="6"/>
        <v>-375755</v>
      </c>
      <c r="P16" s="371">
        <f>SUM(P17:P22)</f>
        <v>1053645</v>
      </c>
      <c r="Q16" s="371">
        <f t="shared" ref="Q16" si="7">SUM(Q17:Q22)</f>
        <v>-325176</v>
      </c>
      <c r="R16" s="371">
        <v>-375359.18078999995</v>
      </c>
      <c r="S16" s="242">
        <f>SUM(S17:S21)</f>
        <v>-452534.15589000005</v>
      </c>
      <c r="T16" s="242">
        <f>SUM(T17:T21)</f>
        <v>-483393.13125999994</v>
      </c>
      <c r="U16" s="242">
        <v>-525021.23652999999</v>
      </c>
    </row>
    <row r="17" spans="2:21">
      <c r="B17" s="129" t="s">
        <v>667</v>
      </c>
      <c r="C17" s="156">
        <v>-295948</v>
      </c>
      <c r="D17" s="156">
        <v>-315320</v>
      </c>
      <c r="E17" s="156">
        <v>-81033</v>
      </c>
      <c r="F17" s="156">
        <v>-84181</v>
      </c>
      <c r="G17" s="156">
        <v>-82624</v>
      </c>
      <c r="H17" s="156">
        <v>-87689</v>
      </c>
      <c r="I17" s="156">
        <v>-86137</v>
      </c>
      <c r="J17" s="156">
        <v>-89075</v>
      </c>
      <c r="K17" s="156">
        <v>-90124</v>
      </c>
      <c r="L17" s="370">
        <v>-82017</v>
      </c>
      <c r="M17" s="371">
        <v>-77351</v>
      </c>
      <c r="N17" s="156">
        <v>-80005</v>
      </c>
      <c r="O17" s="156">
        <v>-82944</v>
      </c>
      <c r="P17" s="371">
        <v>-100926</v>
      </c>
      <c r="Q17" s="371">
        <v>-95897</v>
      </c>
      <c r="R17" s="371">
        <v>-100754.545</v>
      </c>
      <c r="S17" s="242">
        <v>-103499.579</v>
      </c>
      <c r="T17" s="242">
        <v>-104536.06700000001</v>
      </c>
      <c r="U17" s="242">
        <v>-105695</v>
      </c>
    </row>
    <row r="18" spans="2:21">
      <c r="B18" s="129" t="s">
        <v>668</v>
      </c>
      <c r="C18" s="156">
        <v>-86643</v>
      </c>
      <c r="D18" s="156">
        <v>-186476</v>
      </c>
      <c r="E18" s="156">
        <v>-60873</v>
      </c>
      <c r="F18" s="156">
        <v>-79603</v>
      </c>
      <c r="G18" s="156">
        <v>-40385</v>
      </c>
      <c r="H18" s="156">
        <v>-69667</v>
      </c>
      <c r="I18" s="156">
        <v>-47151</v>
      </c>
      <c r="J18" s="156">
        <v>-94527</v>
      </c>
      <c r="K18" s="156">
        <v>-119044</v>
      </c>
      <c r="L18" s="370">
        <v>-127574</v>
      </c>
      <c r="M18" s="371">
        <v>-103860</v>
      </c>
      <c r="N18" s="156">
        <v>-146909</v>
      </c>
      <c r="O18" s="156">
        <v>-100144</v>
      </c>
      <c r="P18" s="371">
        <v>-104994</v>
      </c>
      <c r="Q18" s="371">
        <v>-71440</v>
      </c>
      <c r="R18" s="371">
        <v>-110857</v>
      </c>
      <c r="S18" s="242">
        <v>-156998.30100000001</v>
      </c>
      <c r="T18" s="242">
        <v>-174871.647</v>
      </c>
      <c r="U18" s="242">
        <v>-234023</v>
      </c>
    </row>
    <row r="19" spans="2:21">
      <c r="B19" s="129" t="s">
        <v>669</v>
      </c>
      <c r="C19" s="156"/>
      <c r="D19" s="156">
        <v>-173818.99032000001</v>
      </c>
      <c r="E19" s="156">
        <v>-37990</v>
      </c>
      <c r="F19" s="156">
        <v>-53464</v>
      </c>
      <c r="G19" s="156">
        <v>-59688</v>
      </c>
      <c r="H19" s="156">
        <v>-90811</v>
      </c>
      <c r="I19" s="156">
        <v>-48025</v>
      </c>
      <c r="J19" s="156">
        <v>-93523</v>
      </c>
      <c r="K19" s="156">
        <v>-92669</v>
      </c>
      <c r="L19" s="370">
        <v>-82129</v>
      </c>
      <c r="M19" s="371">
        <v>-63413</v>
      </c>
      <c r="N19" s="156">
        <v>-71989</v>
      </c>
      <c r="O19" s="156">
        <v>-121380</v>
      </c>
      <c r="P19" s="371">
        <v>-155094</v>
      </c>
      <c r="Q19" s="371">
        <v>-127786</v>
      </c>
      <c r="R19" s="371">
        <v>-127486.41661999999</v>
      </c>
      <c r="S19" s="242">
        <v>-130198.40789</v>
      </c>
      <c r="T19" s="242">
        <v>-159511.49603999997</v>
      </c>
      <c r="U19" s="242">
        <v>-136301</v>
      </c>
    </row>
    <row r="20" spans="2:21">
      <c r="B20" s="129" t="s">
        <v>670</v>
      </c>
      <c r="C20" s="156" t="s">
        <v>470</v>
      </c>
      <c r="D20" s="156">
        <v>-9626</v>
      </c>
      <c r="E20" s="156"/>
      <c r="F20" s="156">
        <v>-2232</v>
      </c>
      <c r="G20" s="156">
        <v>-2261</v>
      </c>
      <c r="H20" s="156">
        <v>-2486</v>
      </c>
      <c r="I20" s="156">
        <v>-5242</v>
      </c>
      <c r="J20" s="156">
        <v>-5160</v>
      </c>
      <c r="K20" s="156">
        <v>-5014</v>
      </c>
      <c r="L20" s="370">
        <v>-4547</v>
      </c>
      <c r="M20" s="371">
        <v>-4468</v>
      </c>
      <c r="N20" s="156">
        <v>-4697</v>
      </c>
      <c r="O20" s="156">
        <v>-5121</v>
      </c>
      <c r="P20" s="371">
        <v>-5505</v>
      </c>
      <c r="Q20" s="371">
        <v>-5119</v>
      </c>
      <c r="R20" s="371">
        <v>-4945.9470000000001</v>
      </c>
      <c r="S20" s="242">
        <v>-6214.5230000000001</v>
      </c>
      <c r="T20" s="242">
        <v>-6522.9110000000019</v>
      </c>
      <c r="U20" s="242">
        <v>-6921</v>
      </c>
    </row>
    <row r="21" spans="2:21">
      <c r="B21" s="129" t="s">
        <v>663</v>
      </c>
      <c r="C21" s="156">
        <v>-66211</v>
      </c>
      <c r="D21" s="156">
        <v>-38431</v>
      </c>
      <c r="E21" s="156">
        <v>-10908</v>
      </c>
      <c r="F21" s="156">
        <v>-10329</v>
      </c>
      <c r="G21" s="156">
        <v>-11187</v>
      </c>
      <c r="H21" s="156">
        <v>-24472</v>
      </c>
      <c r="I21" s="156">
        <v>-15820</v>
      </c>
      <c r="J21" s="156">
        <v>-27254</v>
      </c>
      <c r="K21" s="156">
        <v>-18634</v>
      </c>
      <c r="L21" s="370">
        <v>-13630</v>
      </c>
      <c r="M21" s="371">
        <v>-19243</v>
      </c>
      <c r="N21" s="156">
        <v>-17836</v>
      </c>
      <c r="O21" s="156">
        <v>-66166</v>
      </c>
      <c r="P21" s="371">
        <v>-57458</v>
      </c>
      <c r="Q21" s="371">
        <v>-24934</v>
      </c>
      <c r="R21" s="371">
        <v>-31315.27217</v>
      </c>
      <c r="S21" s="242">
        <v>-55623.345000000001</v>
      </c>
      <c r="T21" s="242">
        <v>-37951.01021999988</v>
      </c>
      <c r="U21" s="242">
        <v>-42081.236529999995</v>
      </c>
    </row>
    <row r="22" spans="2:21">
      <c r="B22" s="132" t="s">
        <v>965</v>
      </c>
      <c r="C22" s="156"/>
      <c r="D22" s="156"/>
      <c r="E22" s="156"/>
      <c r="F22" s="156"/>
      <c r="G22" s="156"/>
      <c r="H22" s="156"/>
      <c r="I22" s="156"/>
      <c r="J22" s="156"/>
      <c r="K22" s="156"/>
      <c r="L22" s="370">
        <v>-26707</v>
      </c>
      <c r="M22" s="156"/>
      <c r="N22" s="156"/>
      <c r="O22" s="156"/>
      <c r="P22" s="371">
        <v>1477622</v>
      </c>
      <c r="Q22" s="371">
        <v>0</v>
      </c>
      <c r="R22" s="371">
        <v>53911</v>
      </c>
      <c r="S22" s="242">
        <v>-13067</v>
      </c>
      <c r="T22" s="242">
        <v>13930</v>
      </c>
      <c r="U22" s="242">
        <v>0</v>
      </c>
    </row>
    <row r="23" spans="2:21">
      <c r="B23" s="227" t="s">
        <v>671</v>
      </c>
      <c r="C23" s="228">
        <f>SUM(C15:C16)</f>
        <v>7336813.9359499998</v>
      </c>
      <c r="D23" s="228">
        <f>SUM(D15:D16)</f>
        <v>1977521.0096800001</v>
      </c>
      <c r="E23" s="228">
        <f t="shared" ref="E23:Q23" si="8">SUM(E15:E16)</f>
        <v>355803</v>
      </c>
      <c r="F23" s="228">
        <f t="shared" si="8"/>
        <v>350792</v>
      </c>
      <c r="G23" s="228">
        <f t="shared" si="8"/>
        <v>939206</v>
      </c>
      <c r="H23" s="228">
        <f t="shared" si="8"/>
        <v>696303</v>
      </c>
      <c r="I23" s="228">
        <f t="shared" si="8"/>
        <v>529921</v>
      </c>
      <c r="J23" s="228">
        <f t="shared" si="8"/>
        <v>650253</v>
      </c>
      <c r="K23" s="228">
        <f t="shared" si="8"/>
        <v>411341</v>
      </c>
      <c r="L23" s="624">
        <f t="shared" si="8"/>
        <v>566344</v>
      </c>
      <c r="M23" s="228">
        <f>SUM(M15:M16)</f>
        <v>583792</v>
      </c>
      <c r="N23" s="228">
        <f t="shared" si="8"/>
        <v>1196635</v>
      </c>
      <c r="O23" s="228">
        <f t="shared" si="8"/>
        <v>695820</v>
      </c>
      <c r="P23" s="372">
        <f>SUM(P15:P16)+P22</f>
        <v>2832545</v>
      </c>
      <c r="Q23" s="372">
        <f t="shared" si="8"/>
        <v>762842</v>
      </c>
      <c r="R23" s="372">
        <f>SUM(R15:R16)+R22</f>
        <v>1189687.1162099999</v>
      </c>
      <c r="S23" s="693">
        <f>((SUM(S15:S16)+S22))</f>
        <v>1032064.72211</v>
      </c>
      <c r="T23" s="693">
        <f>((SUM(T15:T16)+T22))</f>
        <v>967847.62674000044</v>
      </c>
      <c r="U23" s="693">
        <v>835039.58980000007</v>
      </c>
    </row>
    <row r="24" spans="2:21">
      <c r="B24" s="227" t="s">
        <v>672</v>
      </c>
      <c r="C24" s="228">
        <f>SUM(C25:C29)</f>
        <v>-109929</v>
      </c>
      <c r="D24" s="228">
        <f t="shared" ref="D24:T24" si="9">SUM(D25:D29)</f>
        <v>-66216</v>
      </c>
      <c r="E24" s="228">
        <f t="shared" si="9"/>
        <v>-35293</v>
      </c>
      <c r="F24" s="228">
        <f t="shared" si="9"/>
        <v>-25692</v>
      </c>
      <c r="G24" s="228">
        <f t="shared" si="9"/>
        <v>-49331</v>
      </c>
      <c r="H24" s="228">
        <f t="shared" si="9"/>
        <v>-31898</v>
      </c>
      <c r="I24" s="228">
        <f t="shared" si="9"/>
        <v>-54876</v>
      </c>
      <c r="J24" s="228">
        <f t="shared" si="9"/>
        <v>-49160</v>
      </c>
      <c r="K24" s="228">
        <f t="shared" si="9"/>
        <v>-34802</v>
      </c>
      <c r="L24" s="624">
        <f t="shared" si="9"/>
        <v>-46421</v>
      </c>
      <c r="M24" s="228">
        <f t="shared" si="9"/>
        <v>-49311</v>
      </c>
      <c r="N24" s="228">
        <f t="shared" si="9"/>
        <v>-27825</v>
      </c>
      <c r="O24" s="228">
        <f t="shared" si="9"/>
        <v>-54557</v>
      </c>
      <c r="P24" s="372">
        <f t="shared" si="9"/>
        <v>-77482</v>
      </c>
      <c r="Q24" s="372">
        <f t="shared" si="9"/>
        <v>-115769</v>
      </c>
      <c r="R24" s="372">
        <f t="shared" si="9"/>
        <v>-138931.641</v>
      </c>
      <c r="S24" s="693">
        <f t="shared" si="9"/>
        <v>-160000.11098</v>
      </c>
      <c r="T24" s="693">
        <f t="shared" si="9"/>
        <v>-216292.45220000044</v>
      </c>
      <c r="U24" s="693">
        <v>-230290.90281</v>
      </c>
    </row>
    <row r="25" spans="2:21">
      <c r="B25" s="129" t="s">
        <v>673</v>
      </c>
      <c r="C25" s="156">
        <v>68032</v>
      </c>
      <c r="D25" s="156">
        <v>43907</v>
      </c>
      <c r="E25" s="156">
        <v>10929</v>
      </c>
      <c r="F25" s="156">
        <v>18347</v>
      </c>
      <c r="G25" s="156">
        <v>19329</v>
      </c>
      <c r="H25" s="156">
        <v>25950</v>
      </c>
      <c r="I25" s="156">
        <v>14183</v>
      </c>
      <c r="J25" s="156">
        <v>18601</v>
      </c>
      <c r="K25" s="156">
        <v>19911</v>
      </c>
      <c r="L25" s="370">
        <v>13050</v>
      </c>
      <c r="M25" s="371">
        <v>21983</v>
      </c>
      <c r="N25" s="156">
        <v>10446</v>
      </c>
      <c r="O25" s="156">
        <v>8539</v>
      </c>
      <c r="P25" s="371">
        <v>8279</v>
      </c>
      <c r="Q25" s="371">
        <v>9761</v>
      </c>
      <c r="R25" s="371">
        <v>15396.054</v>
      </c>
      <c r="S25" s="242">
        <v>15629.993020000002</v>
      </c>
      <c r="T25" s="242">
        <v>28320.839980000004</v>
      </c>
      <c r="U25" s="242">
        <v>25064</v>
      </c>
    </row>
    <row r="26" spans="2:21">
      <c r="B26" s="129" t="s">
        <v>674</v>
      </c>
      <c r="C26" s="156">
        <v>-33902</v>
      </c>
      <c r="D26" s="156">
        <v>-31989</v>
      </c>
      <c r="E26" s="156">
        <v>-11252</v>
      </c>
      <c r="F26" s="156">
        <v>-6447</v>
      </c>
      <c r="G26" s="156">
        <v>-17390</v>
      </c>
      <c r="H26" s="156">
        <v>-10500</v>
      </c>
      <c r="I26" s="156">
        <v>-15154</v>
      </c>
      <c r="J26" s="156">
        <v>-17631</v>
      </c>
      <c r="K26" s="156">
        <v>-6225</v>
      </c>
      <c r="L26" s="370">
        <v>-7350</v>
      </c>
      <c r="M26" s="371">
        <v>-26159</v>
      </c>
      <c r="N26" s="156">
        <v>9032</v>
      </c>
      <c r="O26" s="156">
        <v>-15182</v>
      </c>
      <c r="P26" s="371">
        <v>-42922</v>
      </c>
      <c r="Q26" s="371">
        <v>-68131</v>
      </c>
      <c r="R26" s="371">
        <v>-71015</v>
      </c>
      <c r="S26" s="242">
        <v>-75402.178</v>
      </c>
      <c r="T26" s="242">
        <v>-118659.558</v>
      </c>
      <c r="U26" s="242">
        <v>-100618</v>
      </c>
    </row>
    <row r="27" spans="2:21">
      <c r="B27" s="129" t="s">
        <v>675</v>
      </c>
      <c r="C27" s="156" t="s">
        <v>470</v>
      </c>
      <c r="D27" s="156">
        <v>-10483</v>
      </c>
      <c r="E27" s="156"/>
      <c r="F27" s="156">
        <v>-580</v>
      </c>
      <c r="G27" s="156">
        <v>-599</v>
      </c>
      <c r="H27" s="156">
        <v>-554</v>
      </c>
      <c r="I27" s="156">
        <v>-205</v>
      </c>
      <c r="J27" s="156">
        <v>-622</v>
      </c>
      <c r="K27" s="156">
        <v>-626</v>
      </c>
      <c r="L27" s="370">
        <v>-667</v>
      </c>
      <c r="M27" s="371">
        <v>-418</v>
      </c>
      <c r="N27" s="156">
        <v>-656</v>
      </c>
      <c r="O27" s="156">
        <v>-613</v>
      </c>
      <c r="P27" s="371">
        <v>-622</v>
      </c>
      <c r="Q27" s="371">
        <v>908</v>
      </c>
      <c r="R27" s="371">
        <v>-109.729</v>
      </c>
      <c r="S27" s="242">
        <v>-23.454999999999984</v>
      </c>
      <c r="T27" s="242">
        <v>-155.99099999999999</v>
      </c>
      <c r="U27" s="242">
        <v>174</v>
      </c>
    </row>
    <row r="28" spans="2:21">
      <c r="B28" s="129" t="s">
        <v>676</v>
      </c>
      <c r="C28" s="156">
        <v>-143799</v>
      </c>
      <c r="D28" s="156">
        <v>-111504</v>
      </c>
      <c r="E28" s="156">
        <v>-32327</v>
      </c>
      <c r="F28" s="156">
        <v>-35052</v>
      </c>
      <c r="G28" s="156">
        <v>-40182</v>
      </c>
      <c r="H28" s="156">
        <v>-39491</v>
      </c>
      <c r="I28" s="156">
        <v>-36827</v>
      </c>
      <c r="J28" s="156">
        <v>-36411</v>
      </c>
      <c r="K28" s="156">
        <v>-37561</v>
      </c>
      <c r="L28" s="370">
        <v>-36423</v>
      </c>
      <c r="M28" s="371">
        <v>-37261</v>
      </c>
      <c r="N28" s="156">
        <v>-41114</v>
      </c>
      <c r="O28" s="156">
        <v>-46828</v>
      </c>
      <c r="P28" s="371">
        <v>-43062</v>
      </c>
      <c r="Q28" s="371">
        <v>-63097</v>
      </c>
      <c r="R28" s="371">
        <v>-80114.930999999997</v>
      </c>
      <c r="S28" s="242">
        <v>-99642.702999999994</v>
      </c>
      <c r="T28" s="242">
        <v>-124744</v>
      </c>
      <c r="U28" s="242">
        <v>-146339</v>
      </c>
    </row>
    <row r="29" spans="2:21">
      <c r="B29" s="132" t="s">
        <v>663</v>
      </c>
      <c r="C29" s="156">
        <v>-260</v>
      </c>
      <c r="D29" s="156">
        <v>43853</v>
      </c>
      <c r="E29" s="156">
        <v>-2643</v>
      </c>
      <c r="F29" s="156">
        <v>-1960</v>
      </c>
      <c r="G29" s="156">
        <v>-10489</v>
      </c>
      <c r="H29" s="156">
        <v>-7303</v>
      </c>
      <c r="I29" s="156">
        <v>-16873</v>
      </c>
      <c r="J29" s="156">
        <v>-13097</v>
      </c>
      <c r="K29" s="156">
        <v>-10301</v>
      </c>
      <c r="L29" s="370">
        <v>-15031</v>
      </c>
      <c r="M29" s="371">
        <v>-7456</v>
      </c>
      <c r="N29" s="156">
        <v>-5533</v>
      </c>
      <c r="O29" s="156">
        <v>-473</v>
      </c>
      <c r="P29" s="371">
        <v>845</v>
      </c>
      <c r="Q29" s="371">
        <v>4790</v>
      </c>
      <c r="R29" s="371">
        <v>-3088.0349999999999</v>
      </c>
      <c r="S29" s="242">
        <v>-561.76799999999992</v>
      </c>
      <c r="T29" s="242">
        <v>-1053.743180000437</v>
      </c>
      <c r="U29" s="242">
        <v>-8571.9028099999996</v>
      </c>
    </row>
    <row r="30" spans="2:21">
      <c r="B30" s="227" t="s">
        <v>677</v>
      </c>
      <c r="C30" s="228">
        <f>SUM(C23:C24)</f>
        <v>7226884.9359499998</v>
      </c>
      <c r="D30" s="228">
        <f>SUM(D23:D24)</f>
        <v>1911305.0096800001</v>
      </c>
      <c r="E30" s="228">
        <f t="shared" ref="E30:T30" si="10">SUM(E23:E24)</f>
        <v>320510</v>
      </c>
      <c r="F30" s="228">
        <f t="shared" si="10"/>
        <v>325100</v>
      </c>
      <c r="G30" s="228">
        <f t="shared" si="10"/>
        <v>889875</v>
      </c>
      <c r="H30" s="228">
        <f t="shared" si="10"/>
        <v>664405</v>
      </c>
      <c r="I30" s="228">
        <f t="shared" si="10"/>
        <v>475045</v>
      </c>
      <c r="J30" s="228">
        <f t="shared" si="10"/>
        <v>601093</v>
      </c>
      <c r="K30" s="228">
        <f t="shared" si="10"/>
        <v>376539</v>
      </c>
      <c r="L30" s="624">
        <f t="shared" si="10"/>
        <v>519923</v>
      </c>
      <c r="M30" s="228">
        <f>SUM(M23:M24)</f>
        <v>534481</v>
      </c>
      <c r="N30" s="228">
        <f t="shared" si="10"/>
        <v>1168810</v>
      </c>
      <c r="O30" s="228">
        <f t="shared" si="10"/>
        <v>641263</v>
      </c>
      <c r="P30" s="372">
        <f t="shared" si="10"/>
        <v>2755063</v>
      </c>
      <c r="Q30" s="372">
        <f t="shared" si="10"/>
        <v>647073</v>
      </c>
      <c r="R30" s="372">
        <f t="shared" si="10"/>
        <v>1050755.4752099998</v>
      </c>
      <c r="S30" s="372">
        <f t="shared" si="10"/>
        <v>872064.61112999998</v>
      </c>
      <c r="T30" s="372">
        <f t="shared" si="10"/>
        <v>751555.17454000004</v>
      </c>
      <c r="U30" s="372">
        <v>604748.68699000007</v>
      </c>
    </row>
    <row r="31" spans="2:21">
      <c r="B31" s="129" t="s">
        <v>678</v>
      </c>
      <c r="C31" s="156">
        <v>267706.06404999999</v>
      </c>
      <c r="D31" s="156">
        <v>124806.38085220339</v>
      </c>
      <c r="E31" s="156">
        <v>20872</v>
      </c>
      <c r="F31" s="156">
        <v>26757</v>
      </c>
      <c r="G31" s="156">
        <v>95427</v>
      </c>
      <c r="H31" s="156">
        <v>63830</v>
      </c>
      <c r="I31" s="156">
        <v>34028</v>
      </c>
      <c r="J31" s="156">
        <v>47699</v>
      </c>
      <c r="K31" s="156">
        <v>47941</v>
      </c>
      <c r="L31" s="370">
        <v>50120</v>
      </c>
      <c r="M31" s="156">
        <v>132992</v>
      </c>
      <c r="N31" s="156">
        <v>-95475</v>
      </c>
      <c r="O31" s="156">
        <v>32657</v>
      </c>
      <c r="P31" s="371">
        <v>472827</v>
      </c>
      <c r="Q31" s="371">
        <v>124176</v>
      </c>
      <c r="R31" s="371">
        <v>122379.21144999994</v>
      </c>
      <c r="S31" s="371">
        <v>112173.77477000008</v>
      </c>
      <c r="T31" s="371">
        <v>159818.98731</v>
      </c>
      <c r="U31" s="371">
        <v>127909.44206</v>
      </c>
    </row>
    <row r="32" spans="2:21">
      <c r="B32" s="129" t="s">
        <v>679</v>
      </c>
      <c r="C32" s="156">
        <v>-27939</v>
      </c>
      <c r="D32" s="156">
        <v>-55006</v>
      </c>
      <c r="E32" s="156">
        <v>4722</v>
      </c>
      <c r="F32" s="156">
        <v>-32</v>
      </c>
      <c r="G32" s="156">
        <v>-24446</v>
      </c>
      <c r="H32" s="156">
        <v>-14980</v>
      </c>
      <c r="I32" s="156">
        <v>191</v>
      </c>
      <c r="J32" s="156">
        <v>2569</v>
      </c>
      <c r="K32" s="156">
        <v>872</v>
      </c>
      <c r="L32" s="370">
        <v>-107</v>
      </c>
      <c r="M32" s="156">
        <v>4662</v>
      </c>
      <c r="N32" s="156">
        <v>146652</v>
      </c>
      <c r="O32" s="156">
        <v>-4511</v>
      </c>
      <c r="P32" s="371">
        <v>23368</v>
      </c>
      <c r="Q32" s="371">
        <v>-10686</v>
      </c>
      <c r="R32" s="371">
        <v>4194</v>
      </c>
      <c r="S32" s="242">
        <v>-7039</v>
      </c>
      <c r="T32" s="242">
        <v>-20241</v>
      </c>
      <c r="U32" s="242">
        <v>-6663</v>
      </c>
    </row>
    <row r="33" spans="2:21">
      <c r="B33" s="227" t="s">
        <v>680</v>
      </c>
      <c r="C33" s="228">
        <f t="shared" ref="C33:T33" si="11">SUM(C30:C32)</f>
        <v>7466652</v>
      </c>
      <c r="D33" s="228">
        <f t="shared" si="11"/>
        <v>1981105.3905322035</v>
      </c>
      <c r="E33" s="228">
        <f t="shared" si="11"/>
        <v>346104</v>
      </c>
      <c r="F33" s="228">
        <f t="shared" si="11"/>
        <v>351825</v>
      </c>
      <c r="G33" s="228">
        <f t="shared" si="11"/>
        <v>960856</v>
      </c>
      <c r="H33" s="228">
        <f t="shared" si="11"/>
        <v>713255</v>
      </c>
      <c r="I33" s="228">
        <f t="shared" si="11"/>
        <v>509264</v>
      </c>
      <c r="J33" s="228">
        <f t="shared" si="11"/>
        <v>651361</v>
      </c>
      <c r="K33" s="228">
        <f t="shared" si="11"/>
        <v>425352</v>
      </c>
      <c r="L33" s="624">
        <f t="shared" si="11"/>
        <v>569936</v>
      </c>
      <c r="M33" s="228">
        <f>SUM(M30:M32)</f>
        <v>672135</v>
      </c>
      <c r="N33" s="228">
        <f t="shared" si="11"/>
        <v>1219987</v>
      </c>
      <c r="O33" s="228">
        <f t="shared" si="11"/>
        <v>669409</v>
      </c>
      <c r="P33" s="372">
        <f t="shared" si="11"/>
        <v>3251258</v>
      </c>
      <c r="Q33" s="372">
        <f t="shared" si="11"/>
        <v>760563</v>
      </c>
      <c r="R33" s="372">
        <f t="shared" si="11"/>
        <v>1177328.6866599997</v>
      </c>
      <c r="S33" s="372">
        <f t="shared" si="11"/>
        <v>977199.38590000011</v>
      </c>
      <c r="T33" s="372">
        <f t="shared" si="11"/>
        <v>891133.16185000003</v>
      </c>
      <c r="U33" s="372">
        <v>725995.12905000011</v>
      </c>
    </row>
    <row r="34" spans="2:21">
      <c r="B34" s="132" t="s">
        <v>681</v>
      </c>
      <c r="C34" s="156">
        <f>SUM(C35:C36)</f>
        <v>-2333912</v>
      </c>
      <c r="D34" s="156">
        <f t="shared" ref="D34:Q34" si="12">SUM(D35:D36)</f>
        <v>-595645</v>
      </c>
      <c r="E34" s="156">
        <f t="shared" si="12"/>
        <v>-105696</v>
      </c>
      <c r="F34" s="156">
        <f t="shared" si="12"/>
        <v>-103759</v>
      </c>
      <c r="G34" s="156">
        <f t="shared" si="12"/>
        <v>-234270</v>
      </c>
      <c r="H34" s="156">
        <f t="shared" si="12"/>
        <v>3714</v>
      </c>
      <c r="I34" s="156">
        <f t="shared" si="12"/>
        <v>-151873</v>
      </c>
      <c r="J34" s="156">
        <f t="shared" si="12"/>
        <v>-188680</v>
      </c>
      <c r="K34" s="156">
        <f t="shared" si="12"/>
        <v>14067</v>
      </c>
      <c r="L34" s="370">
        <f t="shared" si="12"/>
        <v>-49976</v>
      </c>
      <c r="M34" s="371">
        <f t="shared" si="12"/>
        <v>-150055</v>
      </c>
      <c r="N34" s="156">
        <f t="shared" si="12"/>
        <v>-339481</v>
      </c>
      <c r="O34" s="156">
        <f t="shared" si="12"/>
        <v>-173636</v>
      </c>
      <c r="P34" s="371">
        <f t="shared" si="12"/>
        <v>-175216</v>
      </c>
      <c r="Q34" s="371">
        <f t="shared" si="12"/>
        <v>-176084</v>
      </c>
      <c r="R34" s="371">
        <v>-323918.01</v>
      </c>
      <c r="S34" s="242">
        <f t="shared" ref="S34:T34" si="13">SUM(S35:S36)</f>
        <v>-248772.86099999998</v>
      </c>
      <c r="T34" s="242">
        <f t="shared" si="13"/>
        <v>-19640.630999999994</v>
      </c>
      <c r="U34" s="242">
        <v>-172825.39668999999</v>
      </c>
    </row>
    <row r="35" spans="2:21">
      <c r="B35" s="129" t="s">
        <v>682</v>
      </c>
      <c r="C35" s="156">
        <v>-79301</v>
      </c>
      <c r="D35" s="156">
        <v>-354491</v>
      </c>
      <c r="E35" s="156">
        <v>-176614</v>
      </c>
      <c r="F35" s="156">
        <v>-167890</v>
      </c>
      <c r="G35" s="156">
        <v>-152616</v>
      </c>
      <c r="H35" s="156">
        <v>89697</v>
      </c>
      <c r="I35" s="156">
        <v>-114844</v>
      </c>
      <c r="J35" s="156">
        <v>-132273</v>
      </c>
      <c r="K35" s="156">
        <v>4830</v>
      </c>
      <c r="L35" s="370">
        <v>-34509</v>
      </c>
      <c r="M35" s="371">
        <v>-77594</v>
      </c>
      <c r="N35" s="156">
        <v>-69687</v>
      </c>
      <c r="O35" s="156">
        <v>-234607</v>
      </c>
      <c r="P35" s="371">
        <v>-34067</v>
      </c>
      <c r="Q35" s="371">
        <v>-210719</v>
      </c>
      <c r="R35" s="371">
        <v>-141652.12700000001</v>
      </c>
      <c r="S35" s="242">
        <v>-95938.021999999997</v>
      </c>
      <c r="T35" s="242">
        <v>139392.13800000001</v>
      </c>
      <c r="U35" s="242">
        <v>-39982.188589999998</v>
      </c>
    </row>
    <row r="36" spans="2:21">
      <c r="B36" s="129" t="s">
        <v>683</v>
      </c>
      <c r="C36" s="156">
        <v>-2254611</v>
      </c>
      <c r="D36" s="156">
        <v>-241154</v>
      </c>
      <c r="E36" s="156">
        <v>70918</v>
      </c>
      <c r="F36" s="156">
        <v>64131</v>
      </c>
      <c r="G36" s="156">
        <v>-81654</v>
      </c>
      <c r="H36" s="156">
        <v>-85983</v>
      </c>
      <c r="I36" s="156">
        <v>-37029</v>
      </c>
      <c r="J36" s="156">
        <v>-56407</v>
      </c>
      <c r="K36" s="156">
        <v>9237</v>
      </c>
      <c r="L36" s="370">
        <v>-15467</v>
      </c>
      <c r="M36" s="371">
        <v>-72461</v>
      </c>
      <c r="N36" s="156">
        <v>-269794</v>
      </c>
      <c r="O36" s="156">
        <v>60971</v>
      </c>
      <c r="P36" s="371">
        <v>-141149</v>
      </c>
      <c r="Q36" s="371">
        <v>34635</v>
      </c>
      <c r="R36" s="371">
        <v>-182265.883</v>
      </c>
      <c r="S36" s="242">
        <v>-152834.83899999998</v>
      </c>
      <c r="T36" s="242">
        <v>-159032.769</v>
      </c>
      <c r="U36" s="242">
        <v>-132843.20809999999</v>
      </c>
    </row>
    <row r="37" spans="2:21">
      <c r="B37" s="227" t="s">
        <v>684</v>
      </c>
      <c r="C37" s="625">
        <v>7404.8</v>
      </c>
      <c r="D37" s="625">
        <v>2059.5</v>
      </c>
      <c r="E37" s="625" t="s">
        <v>685</v>
      </c>
      <c r="F37" s="625" t="s">
        <v>686</v>
      </c>
      <c r="G37" s="625">
        <v>1013079</v>
      </c>
      <c r="H37" s="625">
        <v>748271</v>
      </c>
      <c r="I37" s="625">
        <v>570014</v>
      </c>
      <c r="J37" s="625">
        <v>706313</v>
      </c>
      <c r="K37" s="625">
        <v>465799</v>
      </c>
      <c r="L37" s="625">
        <v>621536</v>
      </c>
      <c r="M37" s="625">
        <v>609446</v>
      </c>
      <c r="N37" s="625">
        <v>609446</v>
      </c>
      <c r="O37" s="625">
        <v>609446</v>
      </c>
      <c r="P37" s="625">
        <v>609446</v>
      </c>
      <c r="Q37" s="625">
        <v>882100</v>
      </c>
      <c r="R37" s="625">
        <v>1320600</v>
      </c>
      <c r="S37" s="694">
        <v>1143424</v>
      </c>
      <c r="T37" s="694">
        <v>1113959</v>
      </c>
      <c r="U37" s="694">
        <v>963216</v>
      </c>
    </row>
    <row r="38" spans="2:21">
      <c r="B38" s="227" t="s">
        <v>687</v>
      </c>
      <c r="C38" s="228">
        <f t="shared" ref="C38:T38" si="14">SUM(C33:C34)</f>
        <v>5132740</v>
      </c>
      <c r="D38" s="228">
        <f t="shared" si="14"/>
        <v>1385460.3905322035</v>
      </c>
      <c r="E38" s="228">
        <f t="shared" si="14"/>
        <v>240408</v>
      </c>
      <c r="F38" s="228">
        <f t="shared" si="14"/>
        <v>248066</v>
      </c>
      <c r="G38" s="228">
        <f t="shared" si="14"/>
        <v>726586</v>
      </c>
      <c r="H38" s="228">
        <f t="shared" si="14"/>
        <v>716969</v>
      </c>
      <c r="I38" s="228">
        <f t="shared" si="14"/>
        <v>357391</v>
      </c>
      <c r="J38" s="228">
        <f t="shared" si="14"/>
        <v>462681</v>
      </c>
      <c r="K38" s="228">
        <f t="shared" si="14"/>
        <v>439419</v>
      </c>
      <c r="L38" s="624">
        <f t="shared" si="14"/>
        <v>519960</v>
      </c>
      <c r="M38" s="228">
        <f>SUM(M33:M34)</f>
        <v>522080</v>
      </c>
      <c r="N38" s="228">
        <f t="shared" si="14"/>
        <v>880506</v>
      </c>
      <c r="O38" s="228">
        <f t="shared" si="14"/>
        <v>495773</v>
      </c>
      <c r="P38" s="372">
        <f t="shared" si="14"/>
        <v>3076042</v>
      </c>
      <c r="Q38" s="372">
        <f t="shared" si="14"/>
        <v>584479</v>
      </c>
      <c r="R38" s="372">
        <f t="shared" si="14"/>
        <v>853410.67665999965</v>
      </c>
      <c r="S38" s="372">
        <f t="shared" si="14"/>
        <v>728426.52490000008</v>
      </c>
      <c r="T38" s="372">
        <f t="shared" si="14"/>
        <v>871492.53084999998</v>
      </c>
      <c r="U38" s="372">
        <v>553169.73236000014</v>
      </c>
    </row>
    <row r="39" spans="2:21">
      <c r="B39" s="129" t="s">
        <v>688</v>
      </c>
      <c r="C39" s="156">
        <v>-17022</v>
      </c>
      <c r="D39" s="156">
        <v>-19947.994313528317</v>
      </c>
      <c r="E39" s="156">
        <v>-3460</v>
      </c>
      <c r="F39" s="156">
        <v>-3285</v>
      </c>
      <c r="G39" s="156">
        <v>-3419</v>
      </c>
      <c r="H39" s="156">
        <v>-3413</v>
      </c>
      <c r="I39" s="156">
        <v>-3879</v>
      </c>
      <c r="J39" s="156">
        <v>-4367</v>
      </c>
      <c r="K39" s="156">
        <v>-4342</v>
      </c>
      <c r="L39" s="370">
        <v>-4232</v>
      </c>
      <c r="M39" s="371">
        <v>-15497</v>
      </c>
      <c r="N39" s="156">
        <v>-1667</v>
      </c>
      <c r="O39" s="156">
        <v>-2143</v>
      </c>
      <c r="P39" s="371">
        <v>-1840</v>
      </c>
      <c r="Q39" s="371">
        <v>-1855</v>
      </c>
      <c r="R39" s="371">
        <v>-3411</v>
      </c>
      <c r="S39" s="242">
        <v>-5329</v>
      </c>
      <c r="T39" s="242">
        <v>-8614.2032599999984</v>
      </c>
      <c r="U39" s="242">
        <v>-10096</v>
      </c>
    </row>
    <row r="40" spans="2:21">
      <c r="B40" s="227" t="s">
        <v>689</v>
      </c>
      <c r="C40" s="228">
        <f>SUM(C38:C39)</f>
        <v>5115718</v>
      </c>
      <c r="D40" s="228">
        <f t="shared" ref="D40:T40" si="15">SUM(D38:D39)</f>
        <v>1365512.3962186752</v>
      </c>
      <c r="E40" s="228">
        <f t="shared" si="15"/>
        <v>236948</v>
      </c>
      <c r="F40" s="228">
        <f t="shared" si="15"/>
        <v>244781</v>
      </c>
      <c r="G40" s="228">
        <f t="shared" si="15"/>
        <v>723167</v>
      </c>
      <c r="H40" s="228">
        <f t="shared" si="15"/>
        <v>713556</v>
      </c>
      <c r="I40" s="228">
        <f t="shared" si="15"/>
        <v>353512</v>
      </c>
      <c r="J40" s="228">
        <f t="shared" si="15"/>
        <v>458314</v>
      </c>
      <c r="K40" s="228">
        <f t="shared" si="15"/>
        <v>435077</v>
      </c>
      <c r="L40" s="624">
        <f t="shared" si="15"/>
        <v>515728</v>
      </c>
      <c r="M40" s="228">
        <f>SUM(M38:M39)</f>
        <v>506583</v>
      </c>
      <c r="N40" s="228">
        <f t="shared" si="15"/>
        <v>878839</v>
      </c>
      <c r="O40" s="228">
        <f t="shared" si="15"/>
        <v>493630</v>
      </c>
      <c r="P40" s="372">
        <f t="shared" si="15"/>
        <v>3074202</v>
      </c>
      <c r="Q40" s="372">
        <f t="shared" si="15"/>
        <v>582624</v>
      </c>
      <c r="R40" s="372">
        <f t="shared" si="15"/>
        <v>849999.67665999965</v>
      </c>
      <c r="S40" s="372">
        <f t="shared" si="15"/>
        <v>723097.52490000008</v>
      </c>
      <c r="T40" s="372">
        <f t="shared" si="15"/>
        <v>862878.32759</v>
      </c>
      <c r="U40" s="372">
        <v>543073.73236000014</v>
      </c>
    </row>
    <row r="41" spans="2:21">
      <c r="B41" s="132"/>
      <c r="C41" s="157"/>
      <c r="D41" s="157"/>
      <c r="E41" s="157"/>
      <c r="F41" s="157"/>
      <c r="G41" s="157"/>
      <c r="H41" s="157"/>
      <c r="I41" s="157"/>
      <c r="J41" s="157"/>
      <c r="K41" s="157"/>
      <c r="L41" s="626"/>
      <c r="M41" s="157"/>
      <c r="N41" s="157"/>
      <c r="O41" s="157"/>
      <c r="P41" s="373"/>
      <c r="Q41" s="373"/>
      <c r="R41" s="373"/>
    </row>
    <row r="42" spans="2:21">
      <c r="B42" s="132"/>
      <c r="C42" s="157"/>
      <c r="D42" s="157"/>
      <c r="E42" s="157"/>
      <c r="F42" s="157"/>
      <c r="G42" s="157"/>
      <c r="H42" s="157"/>
      <c r="I42" s="157"/>
      <c r="J42" s="157"/>
      <c r="K42" s="157"/>
      <c r="L42" s="626"/>
      <c r="M42" s="157"/>
      <c r="N42" s="157"/>
      <c r="O42" s="157"/>
      <c r="P42" s="373"/>
      <c r="Q42" s="373"/>
      <c r="R42" s="373"/>
    </row>
    <row r="43" spans="2:21">
      <c r="L43" s="599"/>
      <c r="P43" s="378"/>
      <c r="Q43" s="378"/>
      <c r="R43" s="378"/>
    </row>
    <row r="44" spans="2:21">
      <c r="B44" s="149" t="s">
        <v>1063</v>
      </c>
      <c r="L44" s="599"/>
      <c r="P44" s="378"/>
      <c r="Q44" s="378"/>
      <c r="R44" s="378"/>
    </row>
    <row r="45" spans="2:21">
      <c r="B45" s="21" t="s">
        <v>1064</v>
      </c>
      <c r="L45" s="599"/>
      <c r="P45" s="378"/>
      <c r="Q45" s="378"/>
      <c r="R45" s="378"/>
    </row>
    <row r="46" spans="2:21" s="221" customFormat="1">
      <c r="B46" s="135"/>
      <c r="C46" s="135"/>
      <c r="D46" s="135"/>
      <c r="E46" s="135"/>
      <c r="F46" s="135"/>
      <c r="G46" s="135"/>
      <c r="H46" s="135"/>
      <c r="I46" s="135"/>
      <c r="J46" s="135"/>
      <c r="K46" s="135"/>
      <c r="L46" s="599"/>
      <c r="M46" s="135"/>
      <c r="N46" s="135"/>
      <c r="O46" s="135"/>
      <c r="P46" s="378"/>
      <c r="Q46" s="378"/>
      <c r="R46" s="378"/>
    </row>
    <row r="47" spans="2:21">
      <c r="B47" s="834" t="s">
        <v>690</v>
      </c>
      <c r="C47" s="831" t="s">
        <v>649</v>
      </c>
      <c r="D47" s="831"/>
      <c r="E47" s="831"/>
      <c r="F47" s="831"/>
      <c r="G47" s="831"/>
      <c r="H47" s="831"/>
      <c r="I47" s="831"/>
      <c r="J47" s="831"/>
      <c r="K47" s="831"/>
      <c r="L47" s="831"/>
      <c r="M47" s="831"/>
      <c r="N47" s="831"/>
      <c r="O47" s="831"/>
      <c r="P47" s="831"/>
      <c r="Q47" s="437"/>
      <c r="R47" s="437"/>
      <c r="S47" s="695"/>
      <c r="T47" s="695"/>
      <c r="U47" s="622"/>
    </row>
    <row r="48" spans="2:21">
      <c r="B48" s="834"/>
      <c r="C48" s="226">
        <v>2016</v>
      </c>
      <c r="D48" s="226">
        <v>2017</v>
      </c>
      <c r="E48" s="226" t="s">
        <v>650</v>
      </c>
      <c r="F48" s="226" t="s">
        <v>651</v>
      </c>
      <c r="G48" s="226" t="s">
        <v>652</v>
      </c>
      <c r="H48" s="226" t="s">
        <v>653</v>
      </c>
      <c r="I48" s="226" t="s">
        <v>654</v>
      </c>
      <c r="J48" s="226" t="s">
        <v>655</v>
      </c>
      <c r="K48" s="226" t="s">
        <v>656</v>
      </c>
      <c r="L48" s="623" t="s">
        <v>657</v>
      </c>
      <c r="M48" s="226" t="s">
        <v>658</v>
      </c>
      <c r="N48" s="226" t="s">
        <v>659</v>
      </c>
      <c r="O48" s="226" t="s">
        <v>626</v>
      </c>
      <c r="P48" s="438" t="s">
        <v>958</v>
      </c>
      <c r="Q48" s="438" t="s">
        <v>1014</v>
      </c>
      <c r="R48" s="438" t="s">
        <v>1048</v>
      </c>
      <c r="S48" s="438" t="s">
        <v>1187</v>
      </c>
      <c r="T48" s="438" t="s">
        <v>1239</v>
      </c>
      <c r="U48" s="438" t="s">
        <v>1292</v>
      </c>
    </row>
    <row r="49" spans="2:27">
      <c r="B49" s="229" t="s">
        <v>691</v>
      </c>
      <c r="C49" s="230"/>
      <c r="D49" s="230"/>
      <c r="E49" s="230"/>
      <c r="F49" s="229"/>
      <c r="G49" s="230"/>
      <c r="H49" s="230"/>
      <c r="I49" s="230"/>
      <c r="J49" s="230"/>
      <c r="K49" s="230"/>
      <c r="L49" s="627"/>
      <c r="M49" s="230"/>
      <c r="N49" s="230"/>
      <c r="O49" s="230"/>
      <c r="P49" s="377"/>
      <c r="Q49" s="377"/>
      <c r="R49" s="377"/>
      <c r="S49" s="377"/>
      <c r="T49" s="377"/>
    </row>
    <row r="50" spans="2:27">
      <c r="B50" s="129" t="s">
        <v>692</v>
      </c>
      <c r="C50" s="156">
        <v>4524</v>
      </c>
      <c r="D50" s="156">
        <v>6585</v>
      </c>
      <c r="E50" s="156">
        <v>11749</v>
      </c>
      <c r="F50" s="156">
        <v>7059</v>
      </c>
      <c r="G50" s="156">
        <v>12736</v>
      </c>
      <c r="H50" s="156">
        <v>16740</v>
      </c>
      <c r="I50" s="156">
        <v>17968</v>
      </c>
      <c r="J50" s="156">
        <v>14039</v>
      </c>
      <c r="K50" s="156">
        <v>7110</v>
      </c>
      <c r="L50" s="370">
        <v>595971</v>
      </c>
      <c r="M50" s="156">
        <v>757278</v>
      </c>
      <c r="N50" s="156">
        <v>1320153</v>
      </c>
      <c r="O50" s="156">
        <v>799542</v>
      </c>
      <c r="P50" s="371">
        <v>2067337</v>
      </c>
      <c r="Q50" s="371">
        <v>853688</v>
      </c>
      <c r="R50" s="371">
        <v>1090994</v>
      </c>
      <c r="S50" s="371">
        <v>231326</v>
      </c>
      <c r="T50" s="371">
        <v>282632</v>
      </c>
      <c r="U50" s="371">
        <v>316445</v>
      </c>
    </row>
    <row r="51" spans="2:27">
      <c r="B51" s="129" t="s">
        <v>693</v>
      </c>
      <c r="C51" s="156">
        <v>336138</v>
      </c>
      <c r="D51" s="156">
        <v>610066</v>
      </c>
      <c r="E51" s="156">
        <v>716226</v>
      </c>
      <c r="F51" s="156">
        <v>843828</v>
      </c>
      <c r="G51" s="156">
        <v>1591227</v>
      </c>
      <c r="H51" s="156">
        <v>680909</v>
      </c>
      <c r="I51" s="156">
        <v>1087284</v>
      </c>
      <c r="J51" s="156">
        <v>1330308</v>
      </c>
      <c r="K51" s="156">
        <v>1197427</v>
      </c>
      <c r="L51" s="370">
        <v>2068611</v>
      </c>
      <c r="M51" s="156">
        <v>511984</v>
      </c>
      <c r="N51" s="156">
        <v>565480</v>
      </c>
      <c r="O51" s="156">
        <v>541218</v>
      </c>
      <c r="P51" s="371">
        <v>453557</v>
      </c>
      <c r="Q51" s="371">
        <v>469733</v>
      </c>
      <c r="R51" s="371">
        <v>724512</v>
      </c>
      <c r="S51" s="371">
        <v>976131</v>
      </c>
      <c r="T51" s="371">
        <v>813634</v>
      </c>
      <c r="U51" s="371">
        <v>882793</v>
      </c>
    </row>
    <row r="52" spans="2:27">
      <c r="B52" s="129" t="s">
        <v>694</v>
      </c>
      <c r="C52" s="156">
        <v>1221016</v>
      </c>
      <c r="D52" s="156">
        <v>1924928</v>
      </c>
      <c r="E52" s="156">
        <v>1913172.7178499999</v>
      </c>
      <c r="F52" s="156">
        <v>1916407</v>
      </c>
      <c r="G52" s="156">
        <v>2041938</v>
      </c>
      <c r="H52" s="156">
        <v>2086298</v>
      </c>
      <c r="I52" s="156">
        <v>1956862</v>
      </c>
      <c r="J52" s="156">
        <v>1983261</v>
      </c>
      <c r="K52" s="156">
        <v>2038412</v>
      </c>
      <c r="L52" s="370">
        <v>2061882</v>
      </c>
      <c r="M52" s="156">
        <v>2082903</v>
      </c>
      <c r="N52" s="156">
        <v>2598707</v>
      </c>
      <c r="O52" s="156">
        <v>2728926</v>
      </c>
      <c r="P52" s="371">
        <v>2804373</v>
      </c>
      <c r="Q52" s="371">
        <v>3057083</v>
      </c>
      <c r="R52" s="371">
        <v>1992387</v>
      </c>
      <c r="S52" s="371">
        <v>2203432</v>
      </c>
      <c r="T52" s="371">
        <v>2344141</v>
      </c>
      <c r="U52" s="371">
        <v>2481722</v>
      </c>
    </row>
    <row r="53" spans="2:27">
      <c r="B53" s="129" t="s">
        <v>695</v>
      </c>
      <c r="C53" s="156">
        <v>37723</v>
      </c>
      <c r="D53" s="156">
        <v>37639</v>
      </c>
      <c r="E53" s="156">
        <v>38357</v>
      </c>
      <c r="F53" s="156">
        <v>35204</v>
      </c>
      <c r="G53" s="156">
        <v>34907</v>
      </c>
      <c r="H53" s="156">
        <v>39173</v>
      </c>
      <c r="I53" s="156">
        <v>37516</v>
      </c>
      <c r="J53" s="156">
        <v>34742</v>
      </c>
      <c r="K53" s="156">
        <v>34550</v>
      </c>
      <c r="L53" s="370">
        <v>103818</v>
      </c>
      <c r="M53" s="156">
        <v>63747</v>
      </c>
      <c r="N53" s="156">
        <v>34337</v>
      </c>
      <c r="O53" s="156">
        <v>41637</v>
      </c>
      <c r="P53" s="371">
        <v>45297</v>
      </c>
      <c r="Q53" s="371">
        <v>49717</v>
      </c>
      <c r="R53" s="371">
        <v>56604</v>
      </c>
      <c r="S53" s="371">
        <v>56578</v>
      </c>
      <c r="T53" s="371">
        <v>49817</v>
      </c>
      <c r="U53" s="371">
        <v>62340</v>
      </c>
    </row>
    <row r="54" spans="2:27">
      <c r="B54" s="129" t="s">
        <v>696</v>
      </c>
      <c r="C54" s="156">
        <v>8563</v>
      </c>
      <c r="D54" s="156">
        <v>14162</v>
      </c>
      <c r="E54" s="156">
        <v>132735</v>
      </c>
      <c r="F54" s="156">
        <v>216638</v>
      </c>
      <c r="G54" s="156">
        <v>315452</v>
      </c>
      <c r="H54" s="156">
        <v>29521</v>
      </c>
      <c r="I54" s="156">
        <v>84201</v>
      </c>
      <c r="J54" s="156">
        <v>169403</v>
      </c>
      <c r="K54" s="156">
        <v>215694</v>
      </c>
      <c r="L54" s="370">
        <v>32335</v>
      </c>
      <c r="M54" s="156">
        <v>43483</v>
      </c>
      <c r="N54" s="156">
        <v>84600</v>
      </c>
      <c r="O54" s="156">
        <v>210886</v>
      </c>
      <c r="P54" s="371">
        <v>28807</v>
      </c>
      <c r="Q54" s="371">
        <v>72195</v>
      </c>
      <c r="R54" s="371">
        <v>107737</v>
      </c>
      <c r="S54" s="371">
        <v>149271</v>
      </c>
      <c r="T54" s="371">
        <v>72150</v>
      </c>
      <c r="U54" s="371">
        <v>96648</v>
      </c>
    </row>
    <row r="55" spans="2:27">
      <c r="B55" s="129" t="s">
        <v>697</v>
      </c>
      <c r="C55" s="156">
        <v>0</v>
      </c>
      <c r="D55" s="156">
        <v>2611</v>
      </c>
      <c r="E55" s="156">
        <v>0</v>
      </c>
      <c r="F55" s="156">
        <v>0</v>
      </c>
      <c r="G55" s="156">
        <v>0</v>
      </c>
      <c r="H55" s="156">
        <v>0</v>
      </c>
      <c r="I55" s="156">
        <v>0</v>
      </c>
      <c r="J55" s="156">
        <v>0</v>
      </c>
      <c r="K55" s="156">
        <v>67372</v>
      </c>
      <c r="L55" s="370">
        <v>19202</v>
      </c>
      <c r="M55" s="156">
        <v>228664</v>
      </c>
      <c r="N55" s="156">
        <v>255557</v>
      </c>
      <c r="O55" s="156">
        <v>14138</v>
      </c>
      <c r="P55" s="371">
        <v>9790</v>
      </c>
      <c r="Q55" s="371">
        <v>7507</v>
      </c>
      <c r="R55" s="371">
        <v>2259</v>
      </c>
      <c r="S55" s="371">
        <v>0</v>
      </c>
      <c r="T55" s="371">
        <v>200</v>
      </c>
      <c r="U55" s="371">
        <v>0</v>
      </c>
    </row>
    <row r="56" spans="2:27">
      <c r="B56" s="129" t="s">
        <v>698</v>
      </c>
      <c r="C56" s="156" t="s">
        <v>470</v>
      </c>
      <c r="D56" s="156">
        <v>902.90506000000005</v>
      </c>
      <c r="E56" s="156">
        <v>490.49568999999974</v>
      </c>
      <c r="F56" s="156">
        <v>825</v>
      </c>
      <c r="G56" s="156">
        <v>423</v>
      </c>
      <c r="H56" s="156">
        <v>323</v>
      </c>
      <c r="I56" s="156">
        <v>4276</v>
      </c>
      <c r="J56" s="156">
        <v>9056</v>
      </c>
      <c r="K56" s="156">
        <v>9265</v>
      </c>
      <c r="L56" s="370">
        <v>703</v>
      </c>
      <c r="M56" s="156">
        <v>917</v>
      </c>
      <c r="N56" s="156">
        <v>1013</v>
      </c>
      <c r="O56" s="156">
        <v>580</v>
      </c>
      <c r="P56" s="371">
        <v>14994</v>
      </c>
      <c r="Q56" s="371">
        <v>14771</v>
      </c>
      <c r="R56" s="371">
        <v>15206</v>
      </c>
      <c r="S56" s="371">
        <v>9651</v>
      </c>
      <c r="T56" s="371">
        <v>78386</v>
      </c>
      <c r="U56" s="371">
        <v>78486</v>
      </c>
    </row>
    <row r="57" spans="2:27">
      <c r="B57" s="129" t="s">
        <v>699</v>
      </c>
      <c r="C57" s="156">
        <v>10303</v>
      </c>
      <c r="D57" s="156">
        <v>4607</v>
      </c>
      <c r="E57" s="156">
        <v>40927</v>
      </c>
      <c r="F57" s="156">
        <v>22245</v>
      </c>
      <c r="G57" s="156">
        <v>13145</v>
      </c>
      <c r="H57" s="156">
        <v>8384</v>
      </c>
      <c r="I57" s="156">
        <v>34841</v>
      </c>
      <c r="J57" s="156">
        <v>24862</v>
      </c>
      <c r="K57" s="156">
        <v>14657</v>
      </c>
      <c r="L57" s="370">
        <v>4677</v>
      </c>
      <c r="M57" s="156">
        <v>33212</v>
      </c>
      <c r="N57" s="156">
        <v>24292</v>
      </c>
      <c r="O57" s="156">
        <v>15324</v>
      </c>
      <c r="P57" s="371">
        <v>6400</v>
      </c>
      <c r="Q57" s="371">
        <v>36595</v>
      </c>
      <c r="R57" s="371">
        <v>28473</v>
      </c>
      <c r="S57" s="371">
        <v>18009</v>
      </c>
      <c r="T57" s="371">
        <v>11619</v>
      </c>
      <c r="U57" s="371">
        <v>43747</v>
      </c>
    </row>
    <row r="58" spans="2:27">
      <c r="B58" s="129" t="s">
        <v>700</v>
      </c>
      <c r="C58" s="156" t="s">
        <v>470</v>
      </c>
      <c r="D58" s="156">
        <v>1141</v>
      </c>
      <c r="E58" s="156">
        <v>0</v>
      </c>
      <c r="F58" s="156">
        <v>0</v>
      </c>
      <c r="G58" s="156">
        <v>1211</v>
      </c>
      <c r="H58" s="156">
        <v>1787</v>
      </c>
      <c r="I58" s="156">
        <v>1814</v>
      </c>
      <c r="J58" s="156">
        <v>1833</v>
      </c>
      <c r="K58" s="156">
        <v>1862</v>
      </c>
      <c r="L58" s="370">
        <v>1876</v>
      </c>
      <c r="M58" s="156">
        <v>1887</v>
      </c>
      <c r="N58" s="156">
        <v>1894</v>
      </c>
      <c r="O58" s="156">
        <v>1892</v>
      </c>
      <c r="P58" s="371">
        <v>1808</v>
      </c>
      <c r="Q58" s="371">
        <v>3873</v>
      </c>
      <c r="R58" s="371">
        <v>3866</v>
      </c>
      <c r="S58" s="371">
        <v>3931</v>
      </c>
      <c r="T58" s="371">
        <v>3952</v>
      </c>
      <c r="U58" s="371">
        <v>4017</v>
      </c>
    </row>
    <row r="59" spans="2:27" s="744" customFormat="1">
      <c r="B59" s="129" t="s">
        <v>1313</v>
      </c>
      <c r="C59" s="156"/>
      <c r="D59" s="156"/>
      <c r="E59" s="156"/>
      <c r="F59" s="156"/>
      <c r="G59" s="156"/>
      <c r="H59" s="156"/>
      <c r="I59" s="156"/>
      <c r="J59" s="156"/>
      <c r="K59" s="156"/>
      <c r="L59" s="370"/>
      <c r="M59" s="156"/>
      <c r="N59" s="156"/>
      <c r="O59" s="156"/>
      <c r="P59" s="371"/>
      <c r="Q59" s="371"/>
      <c r="R59" s="371"/>
      <c r="S59" s="371"/>
      <c r="T59" s="371"/>
      <c r="U59" s="371">
        <v>34</v>
      </c>
      <c r="V59" s="221"/>
      <c r="W59" s="221"/>
      <c r="X59" s="221"/>
      <c r="Y59" s="221"/>
      <c r="Z59" s="221"/>
      <c r="AA59" s="221"/>
    </row>
    <row r="60" spans="2:27" ht="14.1" customHeight="1">
      <c r="B60" s="129" t="s">
        <v>701</v>
      </c>
      <c r="C60" s="156">
        <v>62077</v>
      </c>
      <c r="D60" s="156">
        <v>41067</v>
      </c>
      <c r="E60" s="156">
        <v>59156</v>
      </c>
      <c r="F60" s="156">
        <v>78695</v>
      </c>
      <c r="G60" s="156">
        <v>46824</v>
      </c>
      <c r="H60" s="156">
        <v>36509</v>
      </c>
      <c r="I60" s="156">
        <v>31529</v>
      </c>
      <c r="J60" s="156">
        <v>30564</v>
      </c>
      <c r="K60" s="156">
        <v>28009</v>
      </c>
      <c r="L60" s="370">
        <v>44373</v>
      </c>
      <c r="M60" s="156">
        <v>46416</v>
      </c>
      <c r="N60" s="156">
        <v>80603</v>
      </c>
      <c r="O60" s="156">
        <v>79333</v>
      </c>
      <c r="P60" s="371">
        <v>75495</v>
      </c>
      <c r="Q60" s="371">
        <v>66824</v>
      </c>
      <c r="R60" s="371">
        <v>81102</v>
      </c>
      <c r="S60" s="371">
        <v>90260</v>
      </c>
      <c r="T60" s="371">
        <v>91318</v>
      </c>
      <c r="U60" s="371">
        <v>88454</v>
      </c>
    </row>
    <row r="61" spans="2:27" ht="14.1" customHeight="1">
      <c r="B61" s="231" t="s">
        <v>702</v>
      </c>
      <c r="C61" s="232">
        <f t="shared" ref="C61:T61" si="16">SUM(C50:C60)</f>
        <v>1680344</v>
      </c>
      <c r="D61" s="232">
        <f t="shared" si="16"/>
        <v>2643708.9050599998</v>
      </c>
      <c r="E61" s="232">
        <f t="shared" si="16"/>
        <v>2912813.2135399994</v>
      </c>
      <c r="F61" s="232">
        <f t="shared" si="16"/>
        <v>3120901</v>
      </c>
      <c r="G61" s="232">
        <f t="shared" si="16"/>
        <v>4057863</v>
      </c>
      <c r="H61" s="232">
        <f t="shared" si="16"/>
        <v>2899644</v>
      </c>
      <c r="I61" s="232">
        <f t="shared" si="16"/>
        <v>3256291</v>
      </c>
      <c r="J61" s="232">
        <f t="shared" si="16"/>
        <v>3598068</v>
      </c>
      <c r="K61" s="232">
        <f t="shared" si="16"/>
        <v>3614358</v>
      </c>
      <c r="L61" s="232">
        <f t="shared" si="16"/>
        <v>4933448</v>
      </c>
      <c r="M61" s="232">
        <f t="shared" si="16"/>
        <v>3770491</v>
      </c>
      <c r="N61" s="232">
        <f t="shared" si="16"/>
        <v>4966636</v>
      </c>
      <c r="O61" s="232">
        <f t="shared" si="16"/>
        <v>4433476</v>
      </c>
      <c r="P61" s="374">
        <f t="shared" si="16"/>
        <v>5507858</v>
      </c>
      <c r="Q61" s="374">
        <f t="shared" si="16"/>
        <v>4631986</v>
      </c>
      <c r="R61" s="374">
        <f t="shared" si="16"/>
        <v>4103140</v>
      </c>
      <c r="S61" s="374">
        <f t="shared" si="16"/>
        <v>3738589</v>
      </c>
      <c r="T61" s="374">
        <f t="shared" si="16"/>
        <v>3747849</v>
      </c>
      <c r="U61" s="374">
        <v>4054686</v>
      </c>
    </row>
    <row r="62" spans="2:27">
      <c r="B62" s="233" t="s">
        <v>703</v>
      </c>
      <c r="C62" s="234"/>
      <c r="D62" s="234"/>
      <c r="E62" s="234"/>
      <c r="F62" s="234"/>
      <c r="G62" s="234"/>
      <c r="H62" s="234"/>
      <c r="I62" s="234"/>
      <c r="J62" s="234"/>
      <c r="K62" s="234"/>
      <c r="L62" s="628"/>
      <c r="M62" s="234"/>
      <c r="N62" s="234"/>
      <c r="O62" s="234"/>
      <c r="P62" s="375"/>
      <c r="Q62" s="375"/>
      <c r="R62" s="375"/>
      <c r="S62" s="375"/>
      <c r="T62" s="375"/>
      <c r="U62" s="375"/>
    </row>
    <row r="63" spans="2:27">
      <c r="B63" s="129" t="s">
        <v>704</v>
      </c>
      <c r="C63" s="156"/>
      <c r="D63" s="156"/>
      <c r="E63" s="156"/>
      <c r="F63" s="156"/>
      <c r="G63" s="156"/>
      <c r="H63" s="156"/>
      <c r="I63" s="156"/>
      <c r="J63" s="156"/>
      <c r="K63" s="156"/>
      <c r="L63" s="370"/>
      <c r="M63" s="156"/>
      <c r="N63" s="156"/>
      <c r="O63" s="156"/>
      <c r="P63" s="371"/>
      <c r="Q63" s="371"/>
      <c r="R63" s="371"/>
      <c r="S63" s="371"/>
    </row>
    <row r="64" spans="2:27">
      <c r="B64" s="129" t="s">
        <v>700</v>
      </c>
      <c r="C64" s="156" t="s">
        <v>470</v>
      </c>
      <c r="D64" s="156">
        <v>35674.210180000002</v>
      </c>
      <c r="E64" s="156">
        <v>41726</v>
      </c>
      <c r="F64" s="156">
        <v>42460</v>
      </c>
      <c r="G64" s="156">
        <v>43818</v>
      </c>
      <c r="H64" s="156">
        <v>42268</v>
      </c>
      <c r="I64" s="156">
        <v>44888</v>
      </c>
      <c r="J64" s="156">
        <v>47771</v>
      </c>
      <c r="K64" s="156">
        <v>47245</v>
      </c>
      <c r="L64" s="370">
        <v>46515</v>
      </c>
      <c r="M64" s="156">
        <v>46649</v>
      </c>
      <c r="N64" s="156">
        <v>46926</v>
      </c>
      <c r="O64" s="156">
        <v>46981</v>
      </c>
      <c r="P64" s="371">
        <v>46903</v>
      </c>
      <c r="Q64" s="371">
        <v>40249</v>
      </c>
      <c r="R64" s="371">
        <v>37057</v>
      </c>
      <c r="S64" s="371">
        <v>38409</v>
      </c>
      <c r="T64" s="371">
        <v>38968</v>
      </c>
      <c r="U64" s="371">
        <v>39521</v>
      </c>
    </row>
    <row r="65" spans="2:21">
      <c r="B65" s="129" t="s">
        <v>705</v>
      </c>
      <c r="C65" s="156">
        <v>10225808</v>
      </c>
      <c r="D65" s="156">
        <v>11213952</v>
      </c>
      <c r="E65" s="156">
        <v>11033751.786459999</v>
      </c>
      <c r="F65" s="156">
        <v>10865644</v>
      </c>
      <c r="G65" s="156">
        <v>11270412</v>
      </c>
      <c r="H65" s="156">
        <v>12047558</v>
      </c>
      <c r="I65" s="156">
        <v>12222686</v>
      </c>
      <c r="J65" s="156">
        <v>12500583</v>
      </c>
      <c r="K65" s="156">
        <v>12474048</v>
      </c>
      <c r="L65" s="370">
        <v>12599152</v>
      </c>
      <c r="M65" s="156">
        <v>12668940</v>
      </c>
      <c r="N65" s="156">
        <v>13075952</v>
      </c>
      <c r="O65" s="156">
        <v>13254427</v>
      </c>
      <c r="P65" s="371">
        <v>14167152</v>
      </c>
      <c r="Q65" s="371">
        <v>16221607</v>
      </c>
      <c r="R65" s="371">
        <v>17954227</v>
      </c>
      <c r="S65" s="371">
        <v>18477041</v>
      </c>
      <c r="T65" s="371">
        <v>19149637</v>
      </c>
      <c r="U65" s="371">
        <v>19704117</v>
      </c>
    </row>
    <row r="66" spans="2:21">
      <c r="B66" s="129" t="s">
        <v>706</v>
      </c>
      <c r="C66" s="156">
        <v>1150358</v>
      </c>
      <c r="D66" s="156">
        <v>1312791</v>
      </c>
      <c r="E66" s="156">
        <v>1363119</v>
      </c>
      <c r="F66" s="156">
        <v>1409142</v>
      </c>
      <c r="G66" s="156">
        <v>1425474</v>
      </c>
      <c r="H66" s="156">
        <v>1426083</v>
      </c>
      <c r="I66" s="156">
        <v>1426613</v>
      </c>
      <c r="J66" s="156">
        <v>1473391</v>
      </c>
      <c r="K66" s="156">
        <v>1518151</v>
      </c>
      <c r="L66" s="370">
        <v>1576332</v>
      </c>
      <c r="M66" s="156">
        <v>1620971</v>
      </c>
      <c r="N66" s="156">
        <v>1668555</v>
      </c>
      <c r="O66" s="156">
        <v>1724394</v>
      </c>
      <c r="P66" s="371">
        <v>1778999</v>
      </c>
      <c r="Q66" s="371">
        <v>1821503</v>
      </c>
      <c r="R66" s="371">
        <v>1868048</v>
      </c>
      <c r="S66" s="371">
        <v>1911094</v>
      </c>
      <c r="T66" s="371">
        <v>1967747</v>
      </c>
      <c r="U66" s="371">
        <v>2013021</v>
      </c>
    </row>
    <row r="67" spans="2:21">
      <c r="B67" s="129" t="s">
        <v>707</v>
      </c>
      <c r="C67" s="156">
        <v>0</v>
      </c>
      <c r="D67" s="156">
        <v>0</v>
      </c>
      <c r="E67" s="156">
        <v>0</v>
      </c>
      <c r="F67" s="156">
        <v>0</v>
      </c>
      <c r="G67" s="156">
        <v>0</v>
      </c>
      <c r="H67" s="156">
        <v>9037</v>
      </c>
      <c r="I67" s="156">
        <v>7665</v>
      </c>
      <c r="J67" s="156">
        <v>11872</v>
      </c>
      <c r="K67" s="156">
        <v>7861</v>
      </c>
      <c r="L67" s="370">
        <v>1144</v>
      </c>
      <c r="M67" s="156">
        <v>0</v>
      </c>
      <c r="N67" s="156">
        <v>0</v>
      </c>
      <c r="O67" s="156">
        <v>0</v>
      </c>
      <c r="P67" s="371">
        <v>0</v>
      </c>
      <c r="Q67" s="371">
        <v>0</v>
      </c>
      <c r="R67" s="371">
        <v>0</v>
      </c>
      <c r="S67" s="371" t="s">
        <v>470</v>
      </c>
      <c r="T67" s="371">
        <v>0</v>
      </c>
      <c r="U67" s="371">
        <v>0</v>
      </c>
    </row>
    <row r="68" spans="2:21">
      <c r="B68" s="129" t="s">
        <v>708</v>
      </c>
      <c r="C68" s="156">
        <v>70175</v>
      </c>
      <c r="D68" s="156">
        <v>66414</v>
      </c>
      <c r="E68" s="156">
        <v>66571</v>
      </c>
      <c r="F68" s="156">
        <v>65070</v>
      </c>
      <c r="G68" s="156">
        <v>66816</v>
      </c>
      <c r="H68" s="156">
        <v>66987</v>
      </c>
      <c r="I68" s="156">
        <v>64874</v>
      </c>
      <c r="J68" s="156">
        <v>64007</v>
      </c>
      <c r="K68" s="156">
        <v>58867</v>
      </c>
      <c r="L68" s="370">
        <v>52886</v>
      </c>
      <c r="M68" s="156">
        <v>51597</v>
      </c>
      <c r="N68" s="156">
        <v>49133</v>
      </c>
      <c r="O68" s="156">
        <v>41575</v>
      </c>
      <c r="P68" s="371">
        <v>44119</v>
      </c>
      <c r="Q68" s="371">
        <v>47184</v>
      </c>
      <c r="R68" s="371">
        <v>45671</v>
      </c>
      <c r="S68" s="371">
        <v>45631</v>
      </c>
      <c r="T68" s="371">
        <v>46011</v>
      </c>
      <c r="U68" s="371">
        <v>46437</v>
      </c>
    </row>
    <row r="69" spans="2:21">
      <c r="B69" s="129" t="s">
        <v>695</v>
      </c>
      <c r="C69" s="156">
        <v>32512</v>
      </c>
      <c r="D69" s="156">
        <v>37034</v>
      </c>
      <c r="E69" s="156">
        <v>22968</v>
      </c>
      <c r="F69" s="156">
        <v>18250</v>
      </c>
      <c r="G69" s="156">
        <v>18055</v>
      </c>
      <c r="H69" s="156">
        <v>13551</v>
      </c>
      <c r="I69" s="156">
        <v>11798</v>
      </c>
      <c r="J69" s="156">
        <v>11909</v>
      </c>
      <c r="K69" s="156">
        <v>14771</v>
      </c>
      <c r="L69" s="370">
        <v>13005</v>
      </c>
      <c r="M69" s="156">
        <v>23089</v>
      </c>
      <c r="N69" s="156">
        <v>16835</v>
      </c>
      <c r="O69" s="156">
        <v>11210</v>
      </c>
      <c r="P69" s="371">
        <v>9997</v>
      </c>
      <c r="Q69" s="371">
        <v>12634</v>
      </c>
      <c r="R69" s="371">
        <v>11168</v>
      </c>
      <c r="S69" s="371">
        <v>12995</v>
      </c>
      <c r="T69" s="371">
        <v>12114</v>
      </c>
      <c r="U69" s="371">
        <v>18605</v>
      </c>
    </row>
    <row r="70" spans="2:21">
      <c r="B70" s="129" t="s">
        <v>709</v>
      </c>
      <c r="C70" s="156">
        <v>0</v>
      </c>
      <c r="D70" s="156">
        <v>0</v>
      </c>
      <c r="E70" s="156">
        <v>0</v>
      </c>
      <c r="F70" s="156">
        <v>0</v>
      </c>
      <c r="G70" s="156">
        <v>0</v>
      </c>
      <c r="H70" s="156">
        <v>105444</v>
      </c>
      <c r="I70" s="156">
        <v>105444</v>
      </c>
      <c r="J70" s="156">
        <v>105444</v>
      </c>
      <c r="K70" s="156">
        <v>105444</v>
      </c>
      <c r="L70" s="370">
        <v>43024</v>
      </c>
      <c r="M70" s="156">
        <v>43024</v>
      </c>
      <c r="N70" s="156">
        <v>43024</v>
      </c>
      <c r="O70" s="156">
        <v>43024</v>
      </c>
      <c r="P70" s="371">
        <v>0</v>
      </c>
      <c r="Q70" s="371">
        <v>0</v>
      </c>
      <c r="R70" s="371">
        <v>0</v>
      </c>
      <c r="S70" s="371">
        <v>0</v>
      </c>
      <c r="T70" s="371">
        <v>0</v>
      </c>
      <c r="U70" s="371">
        <v>0</v>
      </c>
    </row>
    <row r="71" spans="2:21">
      <c r="B71" s="129" t="s">
        <v>697</v>
      </c>
      <c r="C71" s="156">
        <v>0</v>
      </c>
      <c r="D71" s="156">
        <v>0</v>
      </c>
      <c r="E71" s="156">
        <v>0</v>
      </c>
      <c r="F71" s="156">
        <v>0</v>
      </c>
      <c r="G71" s="156">
        <v>11861</v>
      </c>
      <c r="H71" s="156">
        <v>2643</v>
      </c>
      <c r="I71" s="156">
        <v>10771</v>
      </c>
      <c r="J71" s="156">
        <v>0</v>
      </c>
      <c r="K71" s="156">
        <v>1962</v>
      </c>
      <c r="L71" s="370">
        <v>0</v>
      </c>
      <c r="M71" s="156">
        <v>3068</v>
      </c>
      <c r="N71" s="156">
        <v>3546</v>
      </c>
      <c r="O71" s="156">
        <v>4056</v>
      </c>
      <c r="P71" s="371">
        <v>226</v>
      </c>
      <c r="Q71" s="371">
        <v>18417</v>
      </c>
      <c r="R71" s="371">
        <v>403</v>
      </c>
      <c r="S71" s="371">
        <v>14360</v>
      </c>
      <c r="T71" s="371">
        <v>18250</v>
      </c>
      <c r="U71" s="371">
        <v>0</v>
      </c>
    </row>
    <row r="72" spans="2:21">
      <c r="B72" s="129" t="s">
        <v>663</v>
      </c>
      <c r="C72" s="156">
        <v>13572</v>
      </c>
      <c r="D72" s="156">
        <v>1513</v>
      </c>
      <c r="E72" s="156">
        <v>1502</v>
      </c>
      <c r="F72" s="156">
        <v>12493</v>
      </c>
      <c r="G72" s="156">
        <v>12490</v>
      </c>
      <c r="H72" s="156">
        <v>25236</v>
      </c>
      <c r="I72" s="156">
        <v>26954</v>
      </c>
      <c r="J72" s="156">
        <v>28724</v>
      </c>
      <c r="K72" s="156">
        <v>32895</v>
      </c>
      <c r="L72" s="370">
        <v>24011</v>
      </c>
      <c r="M72" s="156">
        <v>25926</v>
      </c>
      <c r="N72" s="156">
        <v>108900</v>
      </c>
      <c r="O72" s="156">
        <v>108905</v>
      </c>
      <c r="P72" s="371">
        <v>110310</v>
      </c>
      <c r="Q72" s="371">
        <v>114129</v>
      </c>
      <c r="R72" s="371">
        <v>118801</v>
      </c>
      <c r="S72" s="371">
        <v>109649</v>
      </c>
      <c r="T72" s="371">
        <v>106982</v>
      </c>
      <c r="U72" s="371">
        <v>90063</v>
      </c>
    </row>
    <row r="73" spans="2:21">
      <c r="B73" s="129" t="s">
        <v>710</v>
      </c>
      <c r="C73" s="156">
        <v>1826930</v>
      </c>
      <c r="D73" s="156">
        <v>1880845</v>
      </c>
      <c r="E73" s="156">
        <v>1915916</v>
      </c>
      <c r="F73" s="156">
        <v>1943473</v>
      </c>
      <c r="G73" s="156">
        <v>1944839</v>
      </c>
      <c r="H73" s="156">
        <v>1848092</v>
      </c>
      <c r="I73" s="156">
        <v>1917881</v>
      </c>
      <c r="J73" s="156">
        <v>1966285</v>
      </c>
      <c r="K73" s="156">
        <v>2037978</v>
      </c>
      <c r="L73" s="370">
        <v>2198004</v>
      </c>
      <c r="M73" s="156">
        <v>2360020</v>
      </c>
      <c r="N73" s="156">
        <v>2334045</v>
      </c>
      <c r="O73" s="156">
        <v>2384120</v>
      </c>
      <c r="P73" s="371">
        <v>2928478</v>
      </c>
      <c r="Q73" s="371">
        <v>3001178</v>
      </c>
      <c r="R73" s="371">
        <v>3124557</v>
      </c>
      <c r="S73" s="371">
        <v>3253229</v>
      </c>
      <c r="T73" s="371">
        <v>3299479</v>
      </c>
      <c r="U73" s="371">
        <v>3462388</v>
      </c>
    </row>
    <row r="74" spans="2:21">
      <c r="B74" s="129" t="s">
        <v>711</v>
      </c>
      <c r="C74" s="156">
        <v>25457.256999999987</v>
      </c>
      <c r="D74" s="156">
        <v>22879.430109999994</v>
      </c>
      <c r="E74" s="156">
        <v>23656</v>
      </c>
      <c r="F74" s="156">
        <v>22868</v>
      </c>
      <c r="G74" s="156">
        <v>23870</v>
      </c>
      <c r="H74" s="156">
        <v>25539</v>
      </c>
      <c r="I74" s="156">
        <v>45400</v>
      </c>
      <c r="J74" s="156">
        <v>73791</v>
      </c>
      <c r="K74" s="156">
        <v>75697</v>
      </c>
      <c r="L74" s="370">
        <v>86377</v>
      </c>
      <c r="M74" s="156">
        <v>93465</v>
      </c>
      <c r="N74" s="156">
        <v>92414</v>
      </c>
      <c r="O74" s="156">
        <v>91002</v>
      </c>
      <c r="P74" s="371">
        <v>92991</v>
      </c>
      <c r="Q74" s="371">
        <v>90195</v>
      </c>
      <c r="R74" s="371">
        <v>98435</v>
      </c>
      <c r="S74" s="371">
        <v>96878</v>
      </c>
      <c r="T74" s="371">
        <v>93265</v>
      </c>
      <c r="U74" s="371">
        <v>88965</v>
      </c>
    </row>
    <row r="75" spans="2:21">
      <c r="B75" s="129" t="s">
        <v>712</v>
      </c>
      <c r="C75" s="156">
        <v>41843.266820000004</v>
      </c>
      <c r="D75" s="156">
        <v>37361.569890000006</v>
      </c>
      <c r="E75" s="156">
        <v>35535</v>
      </c>
      <c r="F75" s="156">
        <v>34404</v>
      </c>
      <c r="G75" s="156">
        <v>31630</v>
      </c>
      <c r="H75" s="156">
        <v>30142</v>
      </c>
      <c r="I75" s="156">
        <v>28136</v>
      </c>
      <c r="J75" s="156">
        <v>26692</v>
      </c>
      <c r="K75" s="156">
        <v>25069</v>
      </c>
      <c r="L75" s="370">
        <v>25196</v>
      </c>
      <c r="M75" s="156">
        <v>24227</v>
      </c>
      <c r="N75" s="156">
        <v>25603</v>
      </c>
      <c r="O75" s="156">
        <v>25377</v>
      </c>
      <c r="P75" s="371">
        <v>24499</v>
      </c>
      <c r="Q75" s="371">
        <v>506317</v>
      </c>
      <c r="R75" s="371">
        <v>508024</v>
      </c>
      <c r="S75" s="371">
        <v>496021</v>
      </c>
      <c r="T75" s="371">
        <v>496437</v>
      </c>
      <c r="U75" s="371">
        <v>490592</v>
      </c>
    </row>
    <row r="76" spans="2:21">
      <c r="B76" s="231" t="s">
        <v>713</v>
      </c>
      <c r="C76" s="232">
        <f t="shared" ref="C76:S76" si="17">SUM(C73:C75,C64:C72)</f>
        <v>13386655.52382</v>
      </c>
      <c r="D76" s="232">
        <f t="shared" si="17"/>
        <v>14608464.210179999</v>
      </c>
      <c r="E76" s="232">
        <f t="shared" si="17"/>
        <v>14504744.786459999</v>
      </c>
      <c r="F76" s="232">
        <f t="shared" si="17"/>
        <v>14413804</v>
      </c>
      <c r="G76" s="232">
        <f t="shared" si="17"/>
        <v>14849265</v>
      </c>
      <c r="H76" s="232">
        <f t="shared" si="17"/>
        <v>15642580</v>
      </c>
      <c r="I76" s="232">
        <f t="shared" si="17"/>
        <v>15913110</v>
      </c>
      <c r="J76" s="232">
        <f t="shared" si="17"/>
        <v>16310469</v>
      </c>
      <c r="K76" s="232">
        <f t="shared" si="17"/>
        <v>16399988</v>
      </c>
      <c r="L76" s="232">
        <f t="shared" si="17"/>
        <v>16665646</v>
      </c>
      <c r="M76" s="232">
        <f t="shared" si="17"/>
        <v>16960976</v>
      </c>
      <c r="N76" s="232">
        <f t="shared" si="17"/>
        <v>17464933</v>
      </c>
      <c r="O76" s="232">
        <f t="shared" si="17"/>
        <v>17735071</v>
      </c>
      <c r="P76" s="374">
        <f t="shared" si="17"/>
        <v>19203674</v>
      </c>
      <c r="Q76" s="374">
        <f t="shared" si="17"/>
        <v>21873413</v>
      </c>
      <c r="R76" s="374">
        <f t="shared" si="17"/>
        <v>23766391</v>
      </c>
      <c r="S76" s="374">
        <f t="shared" si="17"/>
        <v>24455307</v>
      </c>
      <c r="T76" s="374">
        <f t="shared" ref="T76" si="18">SUM(T73:T75,T63:T72)</f>
        <v>25228890</v>
      </c>
      <c r="U76" s="374">
        <v>25953709</v>
      </c>
    </row>
    <row r="77" spans="2:21">
      <c r="B77" s="231" t="s">
        <v>714</v>
      </c>
      <c r="C77" s="232">
        <f t="shared" ref="C77:S77" si="19">SUM(C76+C61)</f>
        <v>15066999.52382</v>
      </c>
      <c r="D77" s="232">
        <f t="shared" si="19"/>
        <v>17252173.11524</v>
      </c>
      <c r="E77" s="232">
        <f t="shared" si="19"/>
        <v>17417558</v>
      </c>
      <c r="F77" s="232">
        <f t="shared" si="19"/>
        <v>17534705</v>
      </c>
      <c r="G77" s="232">
        <f t="shared" si="19"/>
        <v>18907128</v>
      </c>
      <c r="H77" s="232">
        <f t="shared" si="19"/>
        <v>18542224</v>
      </c>
      <c r="I77" s="232">
        <f t="shared" si="19"/>
        <v>19169401</v>
      </c>
      <c r="J77" s="232">
        <f t="shared" si="19"/>
        <v>19908537</v>
      </c>
      <c r="K77" s="232">
        <f t="shared" si="19"/>
        <v>20014346</v>
      </c>
      <c r="L77" s="232">
        <f t="shared" si="19"/>
        <v>21599094</v>
      </c>
      <c r="M77" s="232">
        <f t="shared" si="19"/>
        <v>20731467</v>
      </c>
      <c r="N77" s="232">
        <f t="shared" si="19"/>
        <v>22431569</v>
      </c>
      <c r="O77" s="232">
        <f t="shared" si="19"/>
        <v>22168547</v>
      </c>
      <c r="P77" s="374">
        <f t="shared" si="19"/>
        <v>24711532</v>
      </c>
      <c r="Q77" s="374">
        <f t="shared" si="19"/>
        <v>26505399</v>
      </c>
      <c r="R77" s="374">
        <f t="shared" si="19"/>
        <v>27869531</v>
      </c>
      <c r="S77" s="374">
        <f t="shared" si="19"/>
        <v>28193896</v>
      </c>
      <c r="T77" s="374">
        <f>SUM(T76+T61)</f>
        <v>28976739</v>
      </c>
      <c r="U77" s="374">
        <v>30008395</v>
      </c>
    </row>
    <row r="78" spans="2:21">
      <c r="C78" s="158"/>
      <c r="D78" s="158"/>
      <c r="E78" s="158"/>
      <c r="F78" s="155"/>
      <c r="G78" s="155"/>
      <c r="H78" s="155"/>
      <c r="I78" s="155"/>
      <c r="J78" s="155"/>
      <c r="K78" s="155"/>
      <c r="L78" s="629"/>
      <c r="M78" s="155"/>
      <c r="N78" s="155"/>
      <c r="O78" s="155"/>
      <c r="P78" s="378"/>
      <c r="Q78" s="378"/>
      <c r="R78" s="378"/>
      <c r="S78" s="378"/>
    </row>
    <row r="79" spans="2:21" s="221" customFormat="1">
      <c r="B79" s="630" t="s">
        <v>715</v>
      </c>
      <c r="C79" s="235"/>
      <c r="D79" s="236"/>
      <c r="E79" s="236"/>
      <c r="F79" s="236"/>
      <c r="G79" s="236"/>
      <c r="H79" s="236"/>
      <c r="I79" s="236"/>
      <c r="J79" s="236"/>
      <c r="K79" s="236"/>
      <c r="L79" s="631"/>
      <c r="M79" s="236"/>
      <c r="N79" s="236"/>
      <c r="O79" s="236"/>
      <c r="P79" s="376"/>
      <c r="Q79" s="376"/>
      <c r="R79" s="376"/>
      <c r="S79" s="376"/>
      <c r="T79" s="376"/>
      <c r="U79" s="376"/>
    </row>
    <row r="80" spans="2:21">
      <c r="B80" s="630" t="s">
        <v>716</v>
      </c>
      <c r="C80" s="235"/>
      <c r="D80" s="236"/>
      <c r="E80" s="236"/>
      <c r="F80" s="236"/>
      <c r="G80" s="236"/>
      <c r="H80" s="236"/>
      <c r="I80" s="236"/>
      <c r="J80" s="236"/>
      <c r="K80" s="236"/>
      <c r="L80" s="631"/>
      <c r="M80" s="236"/>
      <c r="N80" s="236"/>
      <c r="O80" s="236"/>
      <c r="P80" s="376"/>
      <c r="Q80" s="376"/>
      <c r="R80" s="376"/>
      <c r="S80" s="376"/>
      <c r="T80" s="376"/>
      <c r="U80" s="376"/>
    </row>
    <row r="81" spans="2:21">
      <c r="B81" s="229" t="s">
        <v>691</v>
      </c>
      <c r="C81" s="230"/>
      <c r="D81" s="230"/>
      <c r="E81" s="230"/>
      <c r="F81" s="229"/>
      <c r="G81" s="229"/>
      <c r="H81" s="229"/>
      <c r="I81" s="229"/>
      <c r="J81" s="229"/>
      <c r="K81" s="229"/>
      <c r="L81" s="632"/>
      <c r="M81" s="229"/>
      <c r="N81" s="229"/>
      <c r="O81" s="229"/>
      <c r="P81" s="377"/>
      <c r="Q81" s="377"/>
      <c r="R81" s="377"/>
      <c r="S81" s="377"/>
      <c r="T81" s="377"/>
    </row>
    <row r="82" spans="2:21">
      <c r="B82" s="129" t="s">
        <v>717</v>
      </c>
      <c r="C82" s="156">
        <v>71679</v>
      </c>
      <c r="D82" s="156">
        <v>268588</v>
      </c>
      <c r="E82" s="156">
        <v>261786</v>
      </c>
      <c r="F82" s="156">
        <v>287106</v>
      </c>
      <c r="G82" s="156">
        <v>98254</v>
      </c>
      <c r="H82" s="156">
        <v>334067</v>
      </c>
      <c r="I82" s="156">
        <v>344159</v>
      </c>
      <c r="J82" s="156">
        <v>337582</v>
      </c>
      <c r="K82" s="156">
        <v>981588</v>
      </c>
      <c r="L82" s="370">
        <v>709928</v>
      </c>
      <c r="M82" s="156">
        <v>886355</v>
      </c>
      <c r="N82" s="156">
        <v>919444</v>
      </c>
      <c r="O82" s="156">
        <v>96334</v>
      </c>
      <c r="P82" s="371">
        <v>94628</v>
      </c>
      <c r="Q82" s="371">
        <v>461788</v>
      </c>
      <c r="R82" s="371">
        <v>1113809</v>
      </c>
      <c r="S82" s="242">
        <v>737590</v>
      </c>
      <c r="T82" s="242">
        <v>741848</v>
      </c>
      <c r="U82" s="242">
        <v>751685</v>
      </c>
    </row>
    <row r="83" spans="2:21">
      <c r="B83" s="129" t="s">
        <v>718</v>
      </c>
      <c r="C83" s="156">
        <v>192368</v>
      </c>
      <c r="D83" s="156">
        <v>182852</v>
      </c>
      <c r="E83" s="156">
        <v>183773</v>
      </c>
      <c r="F83" s="156">
        <v>183474</v>
      </c>
      <c r="G83" s="156">
        <v>197107</v>
      </c>
      <c r="H83" s="156">
        <v>23707</v>
      </c>
      <c r="I83" s="156">
        <v>22436</v>
      </c>
      <c r="J83" s="156">
        <v>15931</v>
      </c>
      <c r="K83" s="156">
        <v>26097</v>
      </c>
      <c r="L83" s="370">
        <v>367508</v>
      </c>
      <c r="M83" s="156">
        <v>371913</v>
      </c>
      <c r="N83" s="156">
        <v>363141</v>
      </c>
      <c r="O83" s="156">
        <v>542316</v>
      </c>
      <c r="P83" s="371">
        <v>217948</v>
      </c>
      <c r="Q83" s="371">
        <v>245489</v>
      </c>
      <c r="R83" s="371">
        <v>242011</v>
      </c>
      <c r="S83" s="242">
        <v>96144</v>
      </c>
      <c r="T83" s="242">
        <v>59341</v>
      </c>
      <c r="U83" s="242">
        <v>108342</v>
      </c>
    </row>
    <row r="84" spans="2:21">
      <c r="B84" s="129" t="s">
        <v>719</v>
      </c>
      <c r="C84" s="156">
        <v>0</v>
      </c>
      <c r="D84" s="156">
        <v>0</v>
      </c>
      <c r="E84" s="156">
        <v>0</v>
      </c>
      <c r="F84" s="156">
        <v>0</v>
      </c>
      <c r="G84" s="156">
        <v>0</v>
      </c>
      <c r="H84" s="156">
        <v>0</v>
      </c>
      <c r="I84" s="156">
        <v>0</v>
      </c>
      <c r="J84" s="156">
        <v>7693</v>
      </c>
      <c r="K84" s="156">
        <v>0</v>
      </c>
      <c r="L84" s="370">
        <v>9948</v>
      </c>
      <c r="M84" s="156">
        <v>0</v>
      </c>
      <c r="N84" s="156">
        <v>0</v>
      </c>
      <c r="O84" s="156">
        <v>10601</v>
      </c>
      <c r="P84" s="371">
        <v>8795</v>
      </c>
      <c r="Q84" s="371">
        <v>7816</v>
      </c>
      <c r="R84" s="371">
        <v>11139</v>
      </c>
      <c r="S84" s="242">
        <v>12359</v>
      </c>
      <c r="T84" s="242">
        <v>11911</v>
      </c>
      <c r="U84" s="242">
        <v>11703</v>
      </c>
    </row>
    <row r="85" spans="2:21">
      <c r="B85" s="129" t="s">
        <v>697</v>
      </c>
      <c r="C85" s="156">
        <v>0</v>
      </c>
      <c r="D85" s="156">
        <v>0</v>
      </c>
      <c r="E85" s="156">
        <v>0</v>
      </c>
      <c r="F85" s="156">
        <v>0</v>
      </c>
      <c r="G85" s="156">
        <v>0</v>
      </c>
      <c r="H85" s="156">
        <v>0</v>
      </c>
      <c r="I85" s="156">
        <v>10565</v>
      </c>
      <c r="J85" s="156">
        <v>0</v>
      </c>
      <c r="K85" s="156">
        <v>9772</v>
      </c>
      <c r="L85" s="378" t="s">
        <v>470</v>
      </c>
      <c r="M85" s="156">
        <v>9456</v>
      </c>
      <c r="N85" s="156">
        <v>11179</v>
      </c>
      <c r="O85" s="156">
        <v>0</v>
      </c>
      <c r="P85" s="378" t="s">
        <v>470</v>
      </c>
      <c r="Q85" s="378" t="s">
        <v>470</v>
      </c>
      <c r="R85" s="378" t="s">
        <v>470</v>
      </c>
      <c r="S85" s="242" t="s">
        <v>470</v>
      </c>
      <c r="T85" s="242">
        <v>1931</v>
      </c>
      <c r="U85" s="242">
        <v>18142</v>
      </c>
    </row>
    <row r="86" spans="2:21">
      <c r="B86" s="129" t="s">
        <v>720</v>
      </c>
      <c r="C86" s="156">
        <v>41482</v>
      </c>
      <c r="D86" s="156">
        <v>69923</v>
      </c>
      <c r="E86" s="156">
        <v>49255</v>
      </c>
      <c r="F86" s="156">
        <v>58806</v>
      </c>
      <c r="G86" s="156">
        <v>68022</v>
      </c>
      <c r="H86" s="156">
        <v>88358</v>
      </c>
      <c r="I86" s="156">
        <v>72276</v>
      </c>
      <c r="J86" s="156">
        <v>70721</v>
      </c>
      <c r="K86" s="156">
        <v>72057</v>
      </c>
      <c r="L86" s="370">
        <v>167774</v>
      </c>
      <c r="M86" s="156">
        <v>167858</v>
      </c>
      <c r="N86" s="156">
        <v>139217</v>
      </c>
      <c r="O86" s="156">
        <v>112304</v>
      </c>
      <c r="P86" s="371">
        <v>153346</v>
      </c>
      <c r="Q86" s="371">
        <v>100371</v>
      </c>
      <c r="R86" s="371">
        <v>90525</v>
      </c>
      <c r="S86" s="242">
        <v>70097</v>
      </c>
      <c r="T86" s="242">
        <v>83666</v>
      </c>
      <c r="U86" s="242">
        <v>83243</v>
      </c>
    </row>
    <row r="87" spans="2:21">
      <c r="B87" s="129" t="s">
        <v>721</v>
      </c>
      <c r="C87" s="156">
        <v>30053</v>
      </c>
      <c r="D87" s="156">
        <v>90502</v>
      </c>
      <c r="E87" s="156">
        <v>224543</v>
      </c>
      <c r="F87" s="156">
        <v>389278</v>
      </c>
      <c r="G87" s="156">
        <v>540175</v>
      </c>
      <c r="H87" s="156">
        <v>54382</v>
      </c>
      <c r="I87" s="156">
        <v>163259</v>
      </c>
      <c r="J87" s="156">
        <v>293111</v>
      </c>
      <c r="K87" s="156">
        <v>287386</v>
      </c>
      <c r="L87" s="370">
        <v>92106</v>
      </c>
      <c r="M87" s="156">
        <v>127657</v>
      </c>
      <c r="N87" s="156">
        <v>262320</v>
      </c>
      <c r="O87" s="156">
        <v>478040</v>
      </c>
      <c r="P87" s="371">
        <v>255614</v>
      </c>
      <c r="Q87" s="371">
        <v>268737</v>
      </c>
      <c r="R87" s="371">
        <v>394093</v>
      </c>
      <c r="S87" s="242">
        <v>483446</v>
      </c>
      <c r="T87" s="242">
        <v>61025</v>
      </c>
      <c r="U87" s="242">
        <v>94811</v>
      </c>
    </row>
    <row r="88" spans="2:21">
      <c r="B88" s="129" t="s">
        <v>722</v>
      </c>
      <c r="C88" s="156">
        <v>17540</v>
      </c>
      <c r="D88" s="156">
        <v>57997</v>
      </c>
      <c r="E88" s="156">
        <v>0</v>
      </c>
      <c r="F88" s="156">
        <v>0</v>
      </c>
      <c r="G88" s="156">
        <v>0</v>
      </c>
      <c r="H88" s="156">
        <v>0</v>
      </c>
      <c r="I88" s="156">
        <v>0</v>
      </c>
      <c r="J88" s="156">
        <v>0</v>
      </c>
      <c r="K88" s="156">
        <v>0</v>
      </c>
      <c r="L88" s="370">
        <v>0</v>
      </c>
      <c r="M88" s="156">
        <v>0</v>
      </c>
      <c r="N88" s="156">
        <v>0</v>
      </c>
      <c r="O88" s="156">
        <v>0</v>
      </c>
      <c r="P88" s="371">
        <v>0</v>
      </c>
      <c r="Q88" s="371">
        <v>0</v>
      </c>
      <c r="R88" s="371">
        <v>0</v>
      </c>
      <c r="S88" s="242">
        <v>0</v>
      </c>
      <c r="T88" s="242">
        <v>0</v>
      </c>
      <c r="U88" s="242">
        <v>0</v>
      </c>
    </row>
    <row r="89" spans="2:21">
      <c r="B89" s="129" t="s">
        <v>723</v>
      </c>
      <c r="C89" s="156">
        <v>12751</v>
      </c>
      <c r="D89" s="156">
        <v>16550</v>
      </c>
      <c r="E89" s="156">
        <v>32399</v>
      </c>
      <c r="F89" s="156">
        <v>39059</v>
      </c>
      <c r="G89" s="156">
        <v>39260</v>
      </c>
      <c r="H89" s="156">
        <v>40262</v>
      </c>
      <c r="I89" s="156">
        <v>39302</v>
      </c>
      <c r="J89" s="156">
        <v>44878</v>
      </c>
      <c r="K89" s="156">
        <v>45687</v>
      </c>
      <c r="L89" s="370">
        <v>48336</v>
      </c>
      <c r="M89" s="156">
        <v>48970</v>
      </c>
      <c r="N89" s="156">
        <v>52653</v>
      </c>
      <c r="O89" s="156">
        <v>52518</v>
      </c>
      <c r="P89" s="371">
        <v>49457</v>
      </c>
      <c r="Q89" s="371">
        <v>44836</v>
      </c>
      <c r="R89" s="371">
        <v>34900</v>
      </c>
      <c r="S89" s="242">
        <v>48778</v>
      </c>
      <c r="T89" s="242">
        <v>60851</v>
      </c>
      <c r="U89" s="242">
        <v>65207</v>
      </c>
    </row>
    <row r="90" spans="2:21">
      <c r="B90" s="129" t="s">
        <v>766</v>
      </c>
      <c r="C90" s="156"/>
      <c r="D90" s="156"/>
      <c r="E90" s="156"/>
      <c r="F90" s="156"/>
      <c r="G90" s="156"/>
      <c r="H90" s="156"/>
      <c r="I90" s="156"/>
      <c r="J90" s="156"/>
      <c r="K90" s="156"/>
      <c r="L90" s="370"/>
      <c r="M90" s="156"/>
      <c r="N90" s="156"/>
      <c r="O90" s="156"/>
      <c r="P90" s="371" t="s">
        <v>470</v>
      </c>
      <c r="Q90" s="371">
        <v>67260</v>
      </c>
      <c r="R90" s="371">
        <v>0</v>
      </c>
      <c r="S90" s="242" t="s">
        <v>470</v>
      </c>
      <c r="T90" s="242">
        <v>0</v>
      </c>
      <c r="U90" s="242">
        <v>0</v>
      </c>
    </row>
    <row r="91" spans="2:21">
      <c r="B91" s="129" t="s">
        <v>724</v>
      </c>
      <c r="C91" s="156">
        <v>139946</v>
      </c>
      <c r="D91" s="156">
        <v>3112</v>
      </c>
      <c r="E91" s="156">
        <v>3111</v>
      </c>
      <c r="F91" s="156">
        <v>5159</v>
      </c>
      <c r="G91" s="156">
        <v>5137</v>
      </c>
      <c r="H91" s="156">
        <v>7835</v>
      </c>
      <c r="I91" s="156">
        <v>7831</v>
      </c>
      <c r="J91" s="156">
        <v>7798</v>
      </c>
      <c r="K91" s="156">
        <v>8411</v>
      </c>
      <c r="L91" s="370">
        <v>102079</v>
      </c>
      <c r="M91" s="156">
        <v>9731</v>
      </c>
      <c r="N91" s="156">
        <v>10102</v>
      </c>
      <c r="O91" s="156">
        <v>10406</v>
      </c>
      <c r="P91" s="371">
        <v>500513</v>
      </c>
      <c r="Q91" s="371">
        <v>1068548</v>
      </c>
      <c r="R91" s="371">
        <v>16236</v>
      </c>
      <c r="S91" s="242">
        <v>13467</v>
      </c>
      <c r="T91" s="242">
        <v>110543</v>
      </c>
      <c r="U91" s="242">
        <v>12828</v>
      </c>
    </row>
    <row r="92" spans="2:21">
      <c r="B92" s="129" t="s">
        <v>1065</v>
      </c>
      <c r="C92" s="156">
        <v>33610</v>
      </c>
      <c r="D92" s="156">
        <v>36344</v>
      </c>
      <c r="E92" s="156">
        <v>29714</v>
      </c>
      <c r="F92" s="156">
        <v>40457</v>
      </c>
      <c r="G92" s="156">
        <v>42515</v>
      </c>
      <c r="H92" s="156">
        <v>37047</v>
      </c>
      <c r="I92" s="156">
        <v>29156</v>
      </c>
      <c r="J92" s="156">
        <v>38239</v>
      </c>
      <c r="K92" s="156">
        <v>41182</v>
      </c>
      <c r="L92" s="370">
        <v>33341</v>
      </c>
      <c r="M92" s="156">
        <v>26512</v>
      </c>
      <c r="N92" s="156">
        <v>37797</v>
      </c>
      <c r="O92" s="156">
        <v>48833</v>
      </c>
      <c r="P92" s="371">
        <v>45094</v>
      </c>
      <c r="Q92" s="371">
        <v>36212</v>
      </c>
      <c r="R92" s="371">
        <v>45062</v>
      </c>
      <c r="S92" s="242">
        <v>50475</v>
      </c>
      <c r="T92" s="242">
        <v>46507</v>
      </c>
      <c r="U92" s="242">
        <v>36651</v>
      </c>
    </row>
    <row r="93" spans="2:21">
      <c r="B93" s="129" t="s">
        <v>726</v>
      </c>
      <c r="C93" s="156">
        <v>5495</v>
      </c>
      <c r="D93" s="156">
        <v>2056</v>
      </c>
      <c r="E93" s="156">
        <v>3309</v>
      </c>
      <c r="F93" s="156">
        <v>4655</v>
      </c>
      <c r="G93" s="156">
        <v>3579</v>
      </c>
      <c r="H93" s="156">
        <v>4250</v>
      </c>
      <c r="I93" s="156">
        <v>5103</v>
      </c>
      <c r="J93" s="156">
        <v>4157</v>
      </c>
      <c r="K93" s="156">
        <v>3782</v>
      </c>
      <c r="L93" s="370">
        <v>2173</v>
      </c>
      <c r="M93" s="156">
        <v>2176</v>
      </c>
      <c r="N93" s="156">
        <v>2730</v>
      </c>
      <c r="O93" s="156">
        <v>868</v>
      </c>
      <c r="P93" s="371">
        <v>871</v>
      </c>
      <c r="Q93" s="371">
        <v>855</v>
      </c>
      <c r="R93" s="371">
        <v>858</v>
      </c>
      <c r="S93" s="242">
        <v>858</v>
      </c>
      <c r="T93" s="242">
        <v>858</v>
      </c>
      <c r="U93" s="242">
        <v>939</v>
      </c>
    </row>
    <row r="94" spans="2:21">
      <c r="B94" s="129" t="s">
        <v>727</v>
      </c>
      <c r="C94" s="156">
        <v>0</v>
      </c>
      <c r="D94" s="156">
        <v>0</v>
      </c>
      <c r="E94" s="156">
        <v>0</v>
      </c>
      <c r="F94" s="156">
        <v>0</v>
      </c>
      <c r="G94" s="156">
        <v>1860</v>
      </c>
      <c r="H94" s="156">
        <v>2480</v>
      </c>
      <c r="I94" s="156">
        <v>2480</v>
      </c>
      <c r="J94" s="156">
        <v>2480</v>
      </c>
      <c r="K94" s="156">
        <v>2480</v>
      </c>
      <c r="L94" s="370">
        <v>2480</v>
      </c>
      <c r="M94" s="156">
        <v>2480</v>
      </c>
      <c r="N94" s="156">
        <v>2480</v>
      </c>
      <c r="O94" s="156">
        <v>2480</v>
      </c>
      <c r="P94" s="371">
        <v>2480</v>
      </c>
      <c r="Q94" s="371">
        <v>2480</v>
      </c>
      <c r="R94" s="371">
        <v>2480</v>
      </c>
      <c r="S94" s="242">
        <v>2480</v>
      </c>
      <c r="T94" s="242">
        <v>0</v>
      </c>
      <c r="U94" s="242">
        <v>2480</v>
      </c>
    </row>
    <row r="95" spans="2:21" ht="14.1" customHeight="1">
      <c r="B95" s="129" t="s">
        <v>663</v>
      </c>
      <c r="C95" s="156">
        <v>53047</v>
      </c>
      <c r="D95" s="156">
        <v>61180</v>
      </c>
      <c r="E95" s="156">
        <v>57876.328179999997</v>
      </c>
      <c r="F95" s="156">
        <v>16385</v>
      </c>
      <c r="G95" s="156">
        <v>13852</v>
      </c>
      <c r="H95" s="156">
        <v>34310</v>
      </c>
      <c r="I95" s="156">
        <v>27472</v>
      </c>
      <c r="J95" s="156">
        <v>56345</v>
      </c>
      <c r="K95" s="156">
        <v>70150</v>
      </c>
      <c r="L95" s="370">
        <v>80152</v>
      </c>
      <c r="M95" s="156">
        <v>55374</v>
      </c>
      <c r="N95" s="156">
        <v>34641</v>
      </c>
      <c r="O95" s="156">
        <v>45567</v>
      </c>
      <c r="P95" s="371">
        <v>43751</v>
      </c>
      <c r="Q95" s="371">
        <v>56930</v>
      </c>
      <c r="R95" s="371">
        <v>51770</v>
      </c>
      <c r="S95" s="242">
        <v>54165</v>
      </c>
      <c r="T95" s="242">
        <v>50713</v>
      </c>
      <c r="U95" s="242">
        <v>46184</v>
      </c>
    </row>
    <row r="96" spans="2:21">
      <c r="B96" s="231"/>
      <c r="C96" s="232">
        <f>SUM(C82:C95)</f>
        <v>597971</v>
      </c>
      <c r="D96" s="232">
        <f>SUM(D82:D95)</f>
        <v>789104</v>
      </c>
      <c r="E96" s="232">
        <f t="shared" ref="E96:M96" si="20">SUM(E82:E95)</f>
        <v>845766.32817999995</v>
      </c>
      <c r="F96" s="232">
        <f t="shared" si="20"/>
        <v>1024379</v>
      </c>
      <c r="G96" s="232">
        <f t="shared" si="20"/>
        <v>1009761</v>
      </c>
      <c r="H96" s="232">
        <f t="shared" si="20"/>
        <v>626698</v>
      </c>
      <c r="I96" s="232">
        <f t="shared" si="20"/>
        <v>724039</v>
      </c>
      <c r="J96" s="232">
        <f t="shared" si="20"/>
        <v>878935</v>
      </c>
      <c r="K96" s="232">
        <f>SUM(K82:K95)</f>
        <v>1548592</v>
      </c>
      <c r="L96" s="232">
        <f t="shared" si="20"/>
        <v>1615825</v>
      </c>
      <c r="M96" s="232">
        <f t="shared" si="20"/>
        <v>1708482</v>
      </c>
      <c r="N96" s="232">
        <f>SUM(N82:N95)</f>
        <v>1835704</v>
      </c>
      <c r="O96" s="232">
        <f>SUM(O82:O95)</f>
        <v>1400267</v>
      </c>
      <c r="P96" s="374">
        <f>SUM(P82:P95)</f>
        <v>1372497</v>
      </c>
      <c r="Q96" s="374">
        <f>SUM(Q82:Q95)</f>
        <v>2361322</v>
      </c>
      <c r="R96" s="374">
        <f>SUM(R82:R95)</f>
        <v>2002883</v>
      </c>
      <c r="S96" s="374">
        <f t="shared" ref="S96" si="21">SUM(S82:S95)</f>
        <v>1569859</v>
      </c>
      <c r="T96" s="374">
        <v>1229194</v>
      </c>
      <c r="U96" s="374">
        <v>1232215</v>
      </c>
    </row>
    <row r="97" spans="2:27">
      <c r="B97" s="233" t="s">
        <v>703</v>
      </c>
      <c r="C97" s="234"/>
      <c r="D97" s="234"/>
      <c r="E97" s="234"/>
      <c r="F97" s="233"/>
      <c r="G97" s="233"/>
      <c r="H97" s="233"/>
      <c r="I97" s="233"/>
      <c r="J97" s="233"/>
      <c r="K97" s="233"/>
      <c r="L97" s="633"/>
      <c r="M97" s="233"/>
      <c r="N97" s="233"/>
      <c r="O97" s="233"/>
      <c r="P97" s="375"/>
      <c r="Q97" s="375"/>
      <c r="R97" s="375"/>
      <c r="S97" s="375"/>
      <c r="T97" s="375"/>
      <c r="U97" s="375"/>
    </row>
    <row r="98" spans="2:27">
      <c r="B98" s="129" t="s">
        <v>717</v>
      </c>
      <c r="C98" s="156">
        <v>432472</v>
      </c>
      <c r="D98" s="156">
        <v>690541</v>
      </c>
      <c r="E98" s="156">
        <v>677182</v>
      </c>
      <c r="F98" s="156">
        <v>657248</v>
      </c>
      <c r="G98" s="156">
        <v>1258364</v>
      </c>
      <c r="H98" s="156">
        <v>1215689</v>
      </c>
      <c r="I98" s="156">
        <v>1273554</v>
      </c>
      <c r="J98" s="156">
        <v>1264267</v>
      </c>
      <c r="K98" s="156">
        <v>660197</v>
      </c>
      <c r="L98" s="370">
        <v>637448</v>
      </c>
      <c r="M98" s="156">
        <v>620011</v>
      </c>
      <c r="N98" s="156">
        <v>1248161</v>
      </c>
      <c r="O98" s="156">
        <v>1228231</v>
      </c>
      <c r="P98" s="371">
        <v>1208301</v>
      </c>
      <c r="Q98" s="371">
        <v>1182886</v>
      </c>
      <c r="R98" s="371">
        <v>1722627</v>
      </c>
      <c r="S98" s="242">
        <v>1721742</v>
      </c>
      <c r="T98" s="242">
        <v>1728681</v>
      </c>
      <c r="U98" s="242">
        <v>1953199</v>
      </c>
    </row>
    <row r="99" spans="2:27">
      <c r="B99" s="129" t="s">
        <v>718</v>
      </c>
      <c r="C99" s="156">
        <v>313931</v>
      </c>
      <c r="D99" s="156">
        <v>801007</v>
      </c>
      <c r="E99" s="156">
        <v>806204</v>
      </c>
      <c r="F99" s="156">
        <v>1420052</v>
      </c>
      <c r="G99" s="156">
        <v>1437775</v>
      </c>
      <c r="H99" s="156">
        <v>1441504</v>
      </c>
      <c r="I99" s="156">
        <v>1457692</v>
      </c>
      <c r="J99" s="156">
        <v>1475140</v>
      </c>
      <c r="K99" s="156">
        <v>1480445</v>
      </c>
      <c r="L99" s="370">
        <v>1528971</v>
      </c>
      <c r="M99" s="156">
        <v>1554166</v>
      </c>
      <c r="N99" s="156">
        <v>1545549</v>
      </c>
      <c r="O99" s="156">
        <v>1392099</v>
      </c>
      <c r="P99" s="371">
        <v>2961318</v>
      </c>
      <c r="Q99" s="371">
        <v>3664357</v>
      </c>
      <c r="R99" s="371">
        <v>3707753</v>
      </c>
      <c r="S99" s="242">
        <v>3788738</v>
      </c>
      <c r="T99" s="242">
        <v>4829761</v>
      </c>
      <c r="U99" s="242">
        <v>4938992</v>
      </c>
    </row>
    <row r="100" spans="2:27">
      <c r="B100" s="129" t="s">
        <v>719</v>
      </c>
      <c r="C100" s="156">
        <v>0</v>
      </c>
      <c r="D100" s="156">
        <v>0</v>
      </c>
      <c r="E100" s="156">
        <v>0</v>
      </c>
      <c r="F100" s="156">
        <v>0</v>
      </c>
      <c r="G100" s="156">
        <v>0</v>
      </c>
      <c r="H100" s="156">
        <v>0</v>
      </c>
      <c r="I100" s="156">
        <v>0</v>
      </c>
      <c r="J100" s="156">
        <v>42872</v>
      </c>
      <c r="K100" s="156">
        <v>42449</v>
      </c>
      <c r="L100" s="370">
        <v>39948</v>
      </c>
      <c r="M100" s="156">
        <v>47616</v>
      </c>
      <c r="N100" s="156">
        <v>45547</v>
      </c>
      <c r="O100" s="156">
        <v>46627</v>
      </c>
      <c r="P100" s="371">
        <v>44742</v>
      </c>
      <c r="Q100" s="371">
        <v>42856</v>
      </c>
      <c r="R100" s="371">
        <v>49135</v>
      </c>
      <c r="S100" s="242">
        <v>47902</v>
      </c>
      <c r="T100" s="242">
        <v>45005</v>
      </c>
      <c r="U100" s="242">
        <v>42927</v>
      </c>
    </row>
    <row r="101" spans="2:27">
      <c r="B101" s="129" t="s">
        <v>697</v>
      </c>
      <c r="C101" s="156">
        <v>0</v>
      </c>
      <c r="D101" s="156">
        <v>0</v>
      </c>
      <c r="E101" s="156">
        <v>0</v>
      </c>
      <c r="F101" s="156">
        <v>0</v>
      </c>
      <c r="G101" s="156">
        <v>0</v>
      </c>
      <c r="H101" s="156">
        <v>0</v>
      </c>
      <c r="I101" s="156">
        <v>9984</v>
      </c>
      <c r="J101" s="156">
        <v>2760</v>
      </c>
      <c r="K101" s="156">
        <v>0</v>
      </c>
      <c r="L101" s="370">
        <v>135</v>
      </c>
      <c r="M101" s="156">
        <v>0</v>
      </c>
      <c r="N101" s="156">
        <v>0</v>
      </c>
      <c r="O101" s="156">
        <v>0</v>
      </c>
      <c r="P101" s="371" t="s">
        <v>470</v>
      </c>
      <c r="Q101" s="371" t="s">
        <v>470</v>
      </c>
      <c r="R101" s="371" t="s">
        <v>470</v>
      </c>
      <c r="S101" s="242" t="s">
        <v>470</v>
      </c>
      <c r="T101" s="242" t="s">
        <v>470</v>
      </c>
      <c r="U101" s="242">
        <v>6561</v>
      </c>
    </row>
    <row r="102" spans="2:27">
      <c r="B102" s="129" t="s">
        <v>720</v>
      </c>
      <c r="C102" s="156"/>
      <c r="D102" s="156"/>
      <c r="E102" s="156"/>
      <c r="F102" s="156"/>
      <c r="G102" s="156"/>
      <c r="H102" s="156"/>
      <c r="I102" s="156"/>
      <c r="J102" s="156"/>
      <c r="K102" s="156"/>
      <c r="L102" s="370"/>
      <c r="M102" s="156"/>
      <c r="N102" s="156"/>
      <c r="O102" s="156"/>
      <c r="P102" s="371" t="s">
        <v>470</v>
      </c>
      <c r="Q102" s="371" t="s">
        <v>470</v>
      </c>
      <c r="R102" s="371">
        <v>14535</v>
      </c>
      <c r="S102" s="242">
        <v>32213</v>
      </c>
      <c r="T102" s="242">
        <v>6336</v>
      </c>
      <c r="U102" s="242">
        <v>6323</v>
      </c>
    </row>
    <row r="103" spans="2:27" s="744" customFormat="1">
      <c r="B103" s="129" t="s">
        <v>1314</v>
      </c>
      <c r="C103" s="156"/>
      <c r="D103" s="156"/>
      <c r="E103" s="156"/>
      <c r="F103" s="156"/>
      <c r="G103" s="156"/>
      <c r="H103" s="156"/>
      <c r="I103" s="156"/>
      <c r="J103" s="156"/>
      <c r="K103" s="156"/>
      <c r="L103" s="370"/>
      <c r="M103" s="156"/>
      <c r="N103" s="156"/>
      <c r="O103" s="156"/>
      <c r="P103" s="371"/>
      <c r="Q103" s="371"/>
      <c r="R103" s="371"/>
      <c r="S103" s="242"/>
      <c r="T103" s="242"/>
      <c r="U103" s="242">
        <v>125711</v>
      </c>
      <c r="V103" s="221"/>
      <c r="W103" s="221"/>
      <c r="X103" s="221"/>
      <c r="Y103" s="221"/>
      <c r="Z103" s="221"/>
      <c r="AA103" s="221"/>
    </row>
    <row r="104" spans="2:27">
      <c r="B104" s="129" t="s">
        <v>966</v>
      </c>
      <c r="C104" s="156"/>
      <c r="D104" s="156"/>
      <c r="E104" s="156"/>
      <c r="F104" s="156"/>
      <c r="G104" s="156"/>
      <c r="H104" s="156"/>
      <c r="I104" s="156"/>
      <c r="J104" s="156"/>
      <c r="K104" s="156"/>
      <c r="L104" s="371" t="s">
        <v>470</v>
      </c>
      <c r="M104" s="371" t="s">
        <v>470</v>
      </c>
      <c r="N104" s="371" t="s">
        <v>470</v>
      </c>
      <c r="O104" s="371" t="s">
        <v>470</v>
      </c>
      <c r="P104" s="371">
        <v>381977</v>
      </c>
      <c r="Q104" s="371">
        <v>394078</v>
      </c>
      <c r="R104" s="371">
        <v>406048</v>
      </c>
      <c r="S104" s="242">
        <v>417940</v>
      </c>
      <c r="T104" s="242">
        <v>465454</v>
      </c>
      <c r="U104" s="242">
        <v>481625</v>
      </c>
    </row>
    <row r="105" spans="2:27">
      <c r="B105" s="129" t="s">
        <v>722</v>
      </c>
      <c r="C105" s="156">
        <v>119857</v>
      </c>
      <c r="D105" s="156">
        <v>0</v>
      </c>
      <c r="E105" s="156">
        <v>0</v>
      </c>
      <c r="F105" s="156">
        <v>0</v>
      </c>
      <c r="G105" s="156">
        <v>102672</v>
      </c>
      <c r="H105" s="156">
        <v>0</v>
      </c>
      <c r="I105" s="156">
        <v>0</v>
      </c>
      <c r="J105" s="156">
        <v>0</v>
      </c>
      <c r="K105" s="156">
        <v>0</v>
      </c>
      <c r="L105" s="370">
        <v>0</v>
      </c>
      <c r="M105" s="156">
        <v>0</v>
      </c>
      <c r="N105" s="156">
        <v>0</v>
      </c>
      <c r="O105" s="156">
        <v>0</v>
      </c>
      <c r="P105" s="371">
        <v>0</v>
      </c>
      <c r="Q105" s="371">
        <v>0</v>
      </c>
      <c r="R105" s="371">
        <v>0</v>
      </c>
      <c r="S105" s="242">
        <v>0</v>
      </c>
      <c r="T105" s="242">
        <v>0</v>
      </c>
      <c r="U105" s="242">
        <v>0</v>
      </c>
    </row>
    <row r="106" spans="2:27">
      <c r="B106" s="129" t="s">
        <v>728</v>
      </c>
      <c r="C106" s="156">
        <v>989445</v>
      </c>
      <c r="D106" s="156">
        <v>1147381</v>
      </c>
      <c r="E106" s="156">
        <v>1124479</v>
      </c>
      <c r="F106" s="156">
        <v>1104911</v>
      </c>
      <c r="G106" s="156">
        <v>2343209</v>
      </c>
      <c r="H106" s="156">
        <v>1176566</v>
      </c>
      <c r="I106" s="156">
        <v>1177627</v>
      </c>
      <c r="J106" s="156">
        <v>1197183</v>
      </c>
      <c r="K106" s="156">
        <v>1192371</v>
      </c>
      <c r="L106" s="370">
        <v>1185323</v>
      </c>
      <c r="M106" s="156">
        <v>1179839</v>
      </c>
      <c r="N106" s="156">
        <v>1264433</v>
      </c>
      <c r="O106" s="156">
        <v>1256820</v>
      </c>
      <c r="P106" s="371">
        <v>1318796</v>
      </c>
      <c r="Q106" s="371">
        <v>1527911</v>
      </c>
      <c r="R106" s="371">
        <v>1578813</v>
      </c>
      <c r="S106" s="242">
        <v>1635997</v>
      </c>
      <c r="T106" s="242">
        <v>1694586</v>
      </c>
      <c r="U106" s="242">
        <v>1743514</v>
      </c>
    </row>
    <row r="107" spans="2:27">
      <c r="B107" s="129" t="s">
        <v>707</v>
      </c>
      <c r="C107" s="156">
        <v>2106603</v>
      </c>
      <c r="D107" s="156">
        <v>2418125</v>
      </c>
      <c r="E107" s="156">
        <v>2347207</v>
      </c>
      <c r="F107" s="156">
        <v>2283080</v>
      </c>
      <c r="G107" s="156">
        <v>1125728</v>
      </c>
      <c r="H107" s="156">
        <v>2603438</v>
      </c>
      <c r="I107" s="156">
        <v>2638945</v>
      </c>
      <c r="J107" s="156">
        <v>2699617</v>
      </c>
      <c r="K107" s="156">
        <v>2686190</v>
      </c>
      <c r="L107" s="370">
        <v>2673970</v>
      </c>
      <c r="M107" s="156">
        <v>2742928</v>
      </c>
      <c r="N107" s="156">
        <v>3012528</v>
      </c>
      <c r="O107" s="156">
        <v>2951233</v>
      </c>
      <c r="P107" s="371">
        <v>2955826</v>
      </c>
      <c r="Q107" s="371">
        <v>3439088</v>
      </c>
      <c r="R107" s="371">
        <v>3687902</v>
      </c>
      <c r="S107" s="242">
        <v>3841197</v>
      </c>
      <c r="T107" s="242">
        <v>3987167</v>
      </c>
      <c r="U107" s="242">
        <v>4114555</v>
      </c>
    </row>
    <row r="108" spans="2:27">
      <c r="B108" s="129" t="s">
        <v>723</v>
      </c>
      <c r="C108" s="156">
        <v>32509</v>
      </c>
      <c r="D108" s="156">
        <v>54250</v>
      </c>
      <c r="E108" s="156">
        <v>40848</v>
      </c>
      <c r="F108" s="156">
        <v>42962</v>
      </c>
      <c r="G108" s="156">
        <v>20333</v>
      </c>
      <c r="H108" s="156">
        <v>35925</v>
      </c>
      <c r="I108" s="156">
        <v>39380</v>
      </c>
      <c r="J108" s="156">
        <v>37756</v>
      </c>
      <c r="K108" s="156">
        <v>41836</v>
      </c>
      <c r="L108" s="370">
        <v>41236</v>
      </c>
      <c r="M108" s="156">
        <v>34179</v>
      </c>
      <c r="N108" s="156">
        <v>40742</v>
      </c>
      <c r="O108" s="156">
        <v>42419</v>
      </c>
      <c r="P108" s="371">
        <v>48065</v>
      </c>
      <c r="Q108" s="371">
        <v>50331</v>
      </c>
      <c r="R108" s="371">
        <v>50036</v>
      </c>
      <c r="S108" s="242">
        <v>35141</v>
      </c>
      <c r="T108" s="242">
        <v>37211</v>
      </c>
      <c r="U108" s="242">
        <v>22461</v>
      </c>
    </row>
    <row r="109" spans="2:27">
      <c r="B109" s="129" t="s">
        <v>725</v>
      </c>
      <c r="C109" s="156">
        <v>153035</v>
      </c>
      <c r="D109" s="156">
        <v>121553</v>
      </c>
      <c r="E109" s="156">
        <v>125321</v>
      </c>
      <c r="F109" s="156">
        <v>113686</v>
      </c>
      <c r="G109" s="156">
        <v>34827</v>
      </c>
      <c r="H109" s="156">
        <v>90708</v>
      </c>
      <c r="I109" s="156">
        <v>91036</v>
      </c>
      <c r="J109" s="156">
        <v>92755</v>
      </c>
      <c r="K109" s="156">
        <v>86780</v>
      </c>
      <c r="L109" s="370">
        <v>62367</v>
      </c>
      <c r="M109" s="156">
        <v>59509</v>
      </c>
      <c r="N109" s="156">
        <v>58816</v>
      </c>
      <c r="O109" s="156">
        <v>83168</v>
      </c>
      <c r="P109" s="371">
        <v>88682</v>
      </c>
      <c r="Q109" s="371">
        <v>128730</v>
      </c>
      <c r="R109" s="371">
        <v>119037</v>
      </c>
      <c r="S109" s="242">
        <v>116588</v>
      </c>
      <c r="T109" s="242">
        <v>124758</v>
      </c>
      <c r="U109" s="242">
        <v>0</v>
      </c>
    </row>
    <row r="110" spans="2:27" ht="18" customHeight="1">
      <c r="B110" s="129" t="s">
        <v>729</v>
      </c>
      <c r="C110" s="156">
        <v>0</v>
      </c>
      <c r="D110" s="156">
        <v>24053</v>
      </c>
      <c r="E110" s="156">
        <v>0</v>
      </c>
      <c r="F110" s="156">
        <v>0</v>
      </c>
      <c r="G110" s="156">
        <v>0</v>
      </c>
      <c r="H110" s="156">
        <v>19093</v>
      </c>
      <c r="I110" s="156">
        <v>18473</v>
      </c>
      <c r="J110" s="156">
        <v>17853</v>
      </c>
      <c r="K110" s="156">
        <v>17232</v>
      </c>
      <c r="L110" s="370">
        <v>16612</v>
      </c>
      <c r="M110" s="156">
        <v>15992</v>
      </c>
      <c r="N110" s="156">
        <v>15372</v>
      </c>
      <c r="O110" s="156">
        <v>14752</v>
      </c>
      <c r="P110" s="371">
        <v>14132</v>
      </c>
      <c r="Q110" s="371">
        <v>13512</v>
      </c>
      <c r="R110" s="371">
        <v>12892</v>
      </c>
      <c r="S110" s="242">
        <v>12272</v>
      </c>
      <c r="T110" s="242">
        <v>0</v>
      </c>
      <c r="U110" s="242">
        <v>0</v>
      </c>
    </row>
    <row r="111" spans="2:27">
      <c r="B111" s="129" t="s">
        <v>663</v>
      </c>
      <c r="C111" s="156">
        <v>24053</v>
      </c>
      <c r="D111" s="156">
        <v>6503</v>
      </c>
      <c r="E111" s="156">
        <v>27454.67182</v>
      </c>
      <c r="F111" s="156">
        <v>53841</v>
      </c>
      <c r="G111" s="156">
        <v>34532</v>
      </c>
      <c r="H111" s="156">
        <v>33078</v>
      </c>
      <c r="I111" s="156">
        <v>33602</v>
      </c>
      <c r="J111" s="156">
        <v>34572</v>
      </c>
      <c r="K111" s="156">
        <v>35152</v>
      </c>
      <c r="L111" s="370">
        <v>35652</v>
      </c>
      <c r="M111" s="156">
        <v>46714</v>
      </c>
      <c r="N111" s="156">
        <v>48201</v>
      </c>
      <c r="O111" s="156">
        <v>93739</v>
      </c>
      <c r="P111" s="371">
        <v>77624</v>
      </c>
      <c r="Q111" s="371">
        <v>36621</v>
      </c>
      <c r="R111" s="371">
        <v>37118</v>
      </c>
      <c r="S111" s="242">
        <v>41193</v>
      </c>
      <c r="T111" s="242">
        <v>35851</v>
      </c>
      <c r="U111" s="242">
        <v>33982</v>
      </c>
    </row>
    <row r="112" spans="2:27" ht="21.95" customHeight="1">
      <c r="B112" s="231" t="s">
        <v>730</v>
      </c>
      <c r="C112" s="232">
        <f t="shared" ref="C112:S112" si="22">SUM(C98:C111)</f>
        <v>4171905</v>
      </c>
      <c r="D112" s="232">
        <f t="shared" si="22"/>
        <v>5263413</v>
      </c>
      <c r="E112" s="232">
        <f t="shared" si="22"/>
        <v>5148695.6718199998</v>
      </c>
      <c r="F112" s="237">
        <f t="shared" si="22"/>
        <v>5675780</v>
      </c>
      <c r="G112" s="237">
        <f t="shared" si="22"/>
        <v>6357440</v>
      </c>
      <c r="H112" s="237">
        <f t="shared" si="22"/>
        <v>6616001</v>
      </c>
      <c r="I112" s="237">
        <f t="shared" si="22"/>
        <v>6740293</v>
      </c>
      <c r="J112" s="237">
        <f t="shared" si="22"/>
        <v>6864775</v>
      </c>
      <c r="K112" s="237">
        <f t="shared" si="22"/>
        <v>6242652</v>
      </c>
      <c r="L112" s="237">
        <f t="shared" si="22"/>
        <v>6221662</v>
      </c>
      <c r="M112" s="237">
        <f t="shared" si="22"/>
        <v>6300954</v>
      </c>
      <c r="N112" s="237">
        <f t="shared" si="22"/>
        <v>7279349</v>
      </c>
      <c r="O112" s="237">
        <f t="shared" si="22"/>
        <v>7109088</v>
      </c>
      <c r="P112" s="374">
        <f t="shared" si="22"/>
        <v>9099463</v>
      </c>
      <c r="Q112" s="374">
        <f t="shared" si="22"/>
        <v>10480370</v>
      </c>
      <c r="R112" s="374">
        <f t="shared" si="22"/>
        <v>11385896</v>
      </c>
      <c r="S112" s="374">
        <f t="shared" si="22"/>
        <v>11690923</v>
      </c>
      <c r="T112" s="374">
        <v>12954810</v>
      </c>
      <c r="U112" s="374">
        <v>13469850</v>
      </c>
    </row>
    <row r="113" spans="1:21">
      <c r="C113" s="155"/>
      <c r="D113" s="155"/>
      <c r="E113" s="158"/>
      <c r="L113" s="599"/>
      <c r="P113" s="378"/>
      <c r="Q113" s="378"/>
      <c r="R113" s="378"/>
      <c r="S113" s="378"/>
    </row>
    <row r="114" spans="1:21">
      <c r="B114" s="129" t="s">
        <v>688</v>
      </c>
      <c r="C114" s="156">
        <v>178733</v>
      </c>
      <c r="D114" s="156">
        <v>214939</v>
      </c>
      <c r="E114" s="156">
        <v>201431</v>
      </c>
      <c r="F114" s="156">
        <v>212706</v>
      </c>
      <c r="G114" s="156">
        <v>226286</v>
      </c>
      <c r="H114" s="156">
        <v>230878</v>
      </c>
      <c r="I114" s="156">
        <v>282713</v>
      </c>
      <c r="J114" s="156">
        <v>287177</v>
      </c>
      <c r="K114" s="156">
        <v>273453</v>
      </c>
      <c r="L114" s="370">
        <v>1967288</v>
      </c>
      <c r="M114" s="156">
        <v>502442</v>
      </c>
      <c r="N114" s="156">
        <v>369210</v>
      </c>
      <c r="O114" s="156">
        <v>327872</v>
      </c>
      <c r="P114" s="371" t="s">
        <v>470</v>
      </c>
      <c r="Q114" s="371" t="s">
        <v>470</v>
      </c>
      <c r="R114" s="371" t="s">
        <v>470</v>
      </c>
      <c r="S114" s="371"/>
      <c r="T114" s="371" t="s">
        <v>470</v>
      </c>
    </row>
    <row r="115" spans="1:21">
      <c r="B115" s="159"/>
      <c r="C115" s="160"/>
      <c r="D115" s="160"/>
      <c r="E115" s="161"/>
      <c r="F115" s="160"/>
      <c r="G115" s="160"/>
      <c r="H115" s="160"/>
      <c r="I115" s="159"/>
      <c r="J115" s="160"/>
      <c r="K115" s="160"/>
      <c r="L115" s="634"/>
      <c r="M115" s="160"/>
      <c r="N115" s="160"/>
      <c r="O115" s="160"/>
      <c r="P115" s="379"/>
      <c r="Q115" s="379"/>
      <c r="R115" s="379"/>
      <c r="S115" s="379"/>
    </row>
    <row r="116" spans="1:21">
      <c r="B116" s="233" t="s">
        <v>731</v>
      </c>
      <c r="C116" s="234"/>
      <c r="D116" s="234"/>
      <c r="E116" s="234"/>
      <c r="F116" s="234"/>
      <c r="G116" s="234"/>
      <c r="H116" s="234"/>
      <c r="I116" s="233"/>
      <c r="J116" s="234"/>
      <c r="K116" s="234"/>
      <c r="L116" s="628"/>
      <c r="M116" s="234"/>
      <c r="N116" s="234"/>
      <c r="O116" s="234"/>
      <c r="P116" s="375"/>
      <c r="Q116" s="375"/>
      <c r="R116" s="375"/>
      <c r="S116" s="375"/>
      <c r="T116" s="375"/>
      <c r="U116" s="375"/>
    </row>
    <row r="117" spans="1:21">
      <c r="B117" s="129" t="s">
        <v>732</v>
      </c>
      <c r="C117" s="156">
        <v>2372437</v>
      </c>
      <c r="D117" s="156">
        <v>3590020</v>
      </c>
      <c r="E117" s="156">
        <v>3590020</v>
      </c>
      <c r="F117" s="156">
        <v>3590020</v>
      </c>
      <c r="G117" s="156">
        <v>3590020</v>
      </c>
      <c r="H117" s="156">
        <v>3590020</v>
      </c>
      <c r="I117" s="156">
        <v>3590020</v>
      </c>
      <c r="J117" s="156">
        <v>3590020</v>
      </c>
      <c r="K117" s="156">
        <v>3590020</v>
      </c>
      <c r="L117" s="370">
        <v>3590020</v>
      </c>
      <c r="M117" s="156">
        <v>3590020</v>
      </c>
      <c r="N117" s="156">
        <v>3590020</v>
      </c>
      <c r="O117" s="156">
        <v>3590020</v>
      </c>
      <c r="P117" s="371">
        <v>3590020</v>
      </c>
      <c r="Q117" s="371">
        <v>3590020</v>
      </c>
      <c r="R117" s="371">
        <v>3590020</v>
      </c>
      <c r="S117" s="242">
        <v>3590020</v>
      </c>
      <c r="T117" s="242">
        <v>3590020</v>
      </c>
      <c r="U117" s="242">
        <v>3590020</v>
      </c>
    </row>
    <row r="118" spans="1:21">
      <c r="B118" s="129" t="s">
        <v>733</v>
      </c>
      <c r="C118" s="156">
        <v>1217583</v>
      </c>
      <c r="D118" s="156">
        <v>666</v>
      </c>
      <c r="E118" s="156">
        <v>666</v>
      </c>
      <c r="F118" s="156">
        <v>666</v>
      </c>
      <c r="G118" s="156">
        <v>666</v>
      </c>
      <c r="H118" s="156">
        <v>666</v>
      </c>
      <c r="I118" s="156">
        <v>666</v>
      </c>
      <c r="J118" s="156">
        <v>666</v>
      </c>
      <c r="K118" s="156">
        <v>666</v>
      </c>
      <c r="L118" s="370">
        <v>666</v>
      </c>
      <c r="M118" s="156">
        <v>666</v>
      </c>
      <c r="N118" s="156">
        <v>666</v>
      </c>
      <c r="O118" s="156">
        <v>666</v>
      </c>
      <c r="P118" s="371">
        <v>666</v>
      </c>
      <c r="Q118" s="371">
        <v>666</v>
      </c>
      <c r="R118" s="371">
        <v>666</v>
      </c>
      <c r="S118" s="242">
        <v>666</v>
      </c>
      <c r="T118" s="242">
        <v>666</v>
      </c>
      <c r="U118" s="242">
        <v>666</v>
      </c>
    </row>
    <row r="119" spans="1:21">
      <c r="B119" s="129" t="s">
        <v>734</v>
      </c>
      <c r="C119" s="156">
        <v>6527704</v>
      </c>
      <c r="D119" s="156">
        <v>7394031</v>
      </c>
      <c r="E119" s="156">
        <v>7394031</v>
      </c>
      <c r="F119" s="156">
        <v>6549032</v>
      </c>
      <c r="G119" s="156">
        <v>6549032</v>
      </c>
      <c r="H119" s="156">
        <v>7404769</v>
      </c>
      <c r="I119" s="156">
        <v>7404769</v>
      </c>
      <c r="J119" s="156">
        <v>7404769</v>
      </c>
      <c r="K119" s="156">
        <v>7404769</v>
      </c>
      <c r="L119" s="370">
        <v>8172442</v>
      </c>
      <c r="M119" s="156">
        <v>8172442</v>
      </c>
      <c r="N119" s="156">
        <v>8172442</v>
      </c>
      <c r="O119" s="156">
        <v>8172442</v>
      </c>
      <c r="P119" s="371">
        <v>9863692</v>
      </c>
      <c r="Q119" s="371">
        <v>9332529</v>
      </c>
      <c r="R119" s="371">
        <v>9332529</v>
      </c>
      <c r="S119" s="242">
        <v>9332529</v>
      </c>
      <c r="T119" s="242">
        <v>11045897</v>
      </c>
      <c r="U119" s="242">
        <v>11588971</v>
      </c>
    </row>
    <row r="120" spans="1:21">
      <c r="B120" s="129" t="s">
        <v>1066</v>
      </c>
      <c r="C120" s="156"/>
      <c r="D120" s="156"/>
      <c r="E120" s="156"/>
      <c r="F120" s="156"/>
      <c r="G120" s="156"/>
      <c r="H120" s="156"/>
      <c r="I120" s="156"/>
      <c r="J120" s="156"/>
      <c r="K120" s="156"/>
      <c r="L120" s="371" t="s">
        <v>470</v>
      </c>
      <c r="M120" s="156"/>
      <c r="N120" s="156"/>
      <c r="O120" s="156"/>
      <c r="P120" s="371">
        <v>-364659</v>
      </c>
      <c r="Q120" s="371">
        <v>-364659</v>
      </c>
      <c r="R120" s="371">
        <v>-240676</v>
      </c>
      <c r="S120" s="242">
        <v>-240676</v>
      </c>
      <c r="T120" s="242">
        <v>0</v>
      </c>
      <c r="U120" s="242">
        <v>-283180</v>
      </c>
    </row>
    <row r="121" spans="1:21">
      <c r="B121" s="129" t="s">
        <v>735</v>
      </c>
      <c r="C121" s="156">
        <v>0</v>
      </c>
      <c r="D121" s="156">
        <v>0</v>
      </c>
      <c r="E121" s="156">
        <v>236948</v>
      </c>
      <c r="F121" s="156">
        <v>482122</v>
      </c>
      <c r="G121" s="156">
        <v>1173923</v>
      </c>
      <c r="H121" s="156">
        <v>73192</v>
      </c>
      <c r="I121" s="156">
        <v>73389</v>
      </c>
      <c r="J121" s="156">
        <v>70369</v>
      </c>
      <c r="K121" s="156">
        <v>77405</v>
      </c>
      <c r="L121" s="370">
        <v>31191</v>
      </c>
      <c r="M121" s="156">
        <v>63630</v>
      </c>
      <c r="N121" s="156">
        <v>62841</v>
      </c>
      <c r="O121" s="156">
        <v>53225</v>
      </c>
      <c r="P121" s="371">
        <v>140114</v>
      </c>
      <c r="Q121" s="371">
        <v>166601</v>
      </c>
      <c r="R121" s="371">
        <v>17481</v>
      </c>
      <c r="S121" s="242">
        <v>32052</v>
      </c>
      <c r="T121" s="242">
        <v>-237377</v>
      </c>
      <c r="U121" s="242">
        <v>0</v>
      </c>
    </row>
    <row r="122" spans="1:21">
      <c r="B122" s="129" t="s">
        <v>1067</v>
      </c>
      <c r="C122" s="156"/>
      <c r="D122" s="156"/>
      <c r="E122" s="156"/>
      <c r="F122" s="156"/>
      <c r="G122" s="156"/>
      <c r="H122" s="156"/>
      <c r="I122" s="156"/>
      <c r="J122" s="156"/>
      <c r="K122" s="156"/>
      <c r="L122" s="370"/>
      <c r="M122" s="156"/>
      <c r="N122" s="156"/>
      <c r="O122" s="156"/>
      <c r="P122" s="371">
        <v>114129</v>
      </c>
      <c r="Q122" s="371">
        <v>582624</v>
      </c>
      <c r="R122" s="371">
        <v>1432623</v>
      </c>
      <c r="S122" s="242">
        <v>1828402</v>
      </c>
      <c r="T122" s="242">
        <v>0</v>
      </c>
      <c r="U122" s="242">
        <v>0</v>
      </c>
    </row>
    <row r="123" spans="1:21">
      <c r="B123" s="129" t="s">
        <v>736</v>
      </c>
      <c r="C123" s="156">
        <v>0</v>
      </c>
      <c r="D123" s="156">
        <v>0</v>
      </c>
      <c r="E123" s="156">
        <v>0</v>
      </c>
      <c r="F123" s="156">
        <v>0</v>
      </c>
      <c r="G123" s="156">
        <v>0</v>
      </c>
      <c r="H123" s="156">
        <v>0</v>
      </c>
      <c r="I123" s="156">
        <v>353512</v>
      </c>
      <c r="J123" s="156">
        <v>811826</v>
      </c>
      <c r="K123" s="156">
        <v>876789</v>
      </c>
      <c r="L123" s="370">
        <v>0</v>
      </c>
      <c r="M123" s="156">
        <v>392831</v>
      </c>
      <c r="N123" s="156">
        <v>1121337</v>
      </c>
      <c r="O123" s="156">
        <v>1514967</v>
      </c>
      <c r="P123" s="371">
        <v>524450</v>
      </c>
      <c r="Q123" s="371">
        <v>0</v>
      </c>
      <c r="R123" s="371">
        <v>0</v>
      </c>
      <c r="S123" s="242">
        <v>0</v>
      </c>
      <c r="T123" s="242">
        <v>0</v>
      </c>
      <c r="U123" s="242">
        <v>0</v>
      </c>
    </row>
    <row r="124" spans="1:21">
      <c r="B124" s="231" t="s">
        <v>738</v>
      </c>
      <c r="C124" s="635">
        <f t="shared" ref="C124:K124" si="23">SUM(C114:C123)</f>
        <v>10296457</v>
      </c>
      <c r="D124" s="635">
        <f t="shared" si="23"/>
        <v>11199656</v>
      </c>
      <c r="E124" s="635">
        <f t="shared" si="23"/>
        <v>11423096</v>
      </c>
      <c r="F124" s="635">
        <f t="shared" si="23"/>
        <v>10834546</v>
      </c>
      <c r="G124" s="635">
        <f t="shared" si="23"/>
        <v>11539927</v>
      </c>
      <c r="H124" s="635">
        <f t="shared" si="23"/>
        <v>11299525</v>
      </c>
      <c r="I124" s="635">
        <f t="shared" si="23"/>
        <v>11705069</v>
      </c>
      <c r="J124" s="635">
        <f t="shared" si="23"/>
        <v>12164827</v>
      </c>
      <c r="K124" s="635">
        <f t="shared" si="23"/>
        <v>12223102</v>
      </c>
      <c r="L124" s="374">
        <f>SUM(L117:L123)</f>
        <v>11794319</v>
      </c>
      <c r="M124" s="635">
        <f>SUM(M114:M123)</f>
        <v>12722031</v>
      </c>
      <c r="N124" s="635">
        <f>SUM(N114:N123)</f>
        <v>13316516</v>
      </c>
      <c r="O124" s="635">
        <f>SUM(O114:O123)</f>
        <v>13659192</v>
      </c>
      <c r="P124" s="374">
        <f>SUM(P117:P123)</f>
        <v>13868412</v>
      </c>
      <c r="Q124" s="374">
        <f>SUM(Q117:Q123)</f>
        <v>13307781</v>
      </c>
      <c r="R124" s="374">
        <f>SUM(R117:R123)</f>
        <v>14132643</v>
      </c>
      <c r="S124" s="374">
        <f>SUM(S117:S123)</f>
        <v>14542993</v>
      </c>
      <c r="T124" s="374">
        <v>14399206</v>
      </c>
      <c r="U124" s="374">
        <v>14896477</v>
      </c>
    </row>
    <row r="125" spans="1:21">
      <c r="A125" s="249"/>
      <c r="B125" s="129" t="s">
        <v>968</v>
      </c>
      <c r="C125" s="636"/>
      <c r="D125" s="636"/>
      <c r="E125" s="636"/>
      <c r="F125" s="636"/>
      <c r="G125" s="636"/>
      <c r="H125" s="636"/>
      <c r="I125" s="636"/>
      <c r="J125" s="636"/>
      <c r="K125" s="636"/>
      <c r="L125" s="242">
        <v>1967288</v>
      </c>
      <c r="M125" s="242"/>
      <c r="N125" s="242"/>
      <c r="O125" s="242"/>
      <c r="P125" s="242">
        <v>371159</v>
      </c>
      <c r="Q125" s="242">
        <v>355926</v>
      </c>
      <c r="R125" s="242">
        <v>348109</v>
      </c>
      <c r="S125" s="242">
        <v>390121</v>
      </c>
      <c r="T125" s="242">
        <v>393529</v>
      </c>
      <c r="U125" s="242">
        <v>409853</v>
      </c>
    </row>
    <row r="126" spans="1:21">
      <c r="B126" s="231" t="s">
        <v>739</v>
      </c>
      <c r="C126" s="635">
        <f t="shared" ref="C126:K126" si="24">SUM(C124+C112+C96)</f>
        <v>15066333</v>
      </c>
      <c r="D126" s="635">
        <f t="shared" si="24"/>
        <v>17252173</v>
      </c>
      <c r="E126" s="635">
        <f t="shared" si="24"/>
        <v>17417558</v>
      </c>
      <c r="F126" s="635">
        <f t="shared" si="24"/>
        <v>17534705</v>
      </c>
      <c r="G126" s="635">
        <f t="shared" si="24"/>
        <v>18907128</v>
      </c>
      <c r="H126" s="635">
        <f t="shared" si="24"/>
        <v>18542224</v>
      </c>
      <c r="I126" s="635">
        <f t="shared" si="24"/>
        <v>19169401</v>
      </c>
      <c r="J126" s="635">
        <f t="shared" si="24"/>
        <v>19908537</v>
      </c>
      <c r="K126" s="635">
        <f t="shared" si="24"/>
        <v>20014346</v>
      </c>
      <c r="L126" s="374">
        <f>SUM(L124+L112+L96+L125)</f>
        <v>21599094</v>
      </c>
      <c r="M126" s="635">
        <f>SUM(M124+M112+M96)</f>
        <v>20731467</v>
      </c>
      <c r="N126" s="635">
        <f>SUM(N124+N112+N96)</f>
        <v>22431569</v>
      </c>
      <c r="O126" s="635">
        <f>SUM(O124+O112+O96)</f>
        <v>22168547</v>
      </c>
      <c r="P126" s="374">
        <f>SUM(P124+P112+P96+P125)</f>
        <v>24711531</v>
      </c>
      <c r="Q126" s="374">
        <f>SUM(Q124+Q112+Q96+Q125)</f>
        <v>26505399</v>
      </c>
      <c r="R126" s="374">
        <f>SUM(R124+R112+R96+R125)</f>
        <v>27869531</v>
      </c>
      <c r="S126" s="374">
        <f>SUM(S124+S112+S96+S125)</f>
        <v>28193896</v>
      </c>
      <c r="T126" s="374">
        <v>28976739</v>
      </c>
      <c r="U126" s="374">
        <v>30008395</v>
      </c>
    </row>
    <row r="127" spans="1:21">
      <c r="C127" s="114">
        <f t="shared" ref="C127:R127" si="25">+C126-C77</f>
        <v>-666.52381999976933</v>
      </c>
      <c r="D127" s="114">
        <f t="shared" si="25"/>
        <v>-0.11524000018835068</v>
      </c>
      <c r="E127" s="114">
        <f t="shared" si="25"/>
        <v>0</v>
      </c>
      <c r="F127" s="114">
        <f t="shared" si="25"/>
        <v>0</v>
      </c>
      <c r="G127" s="114">
        <f t="shared" si="25"/>
        <v>0</v>
      </c>
      <c r="H127" s="114">
        <f t="shared" si="25"/>
        <v>0</v>
      </c>
      <c r="I127" s="114">
        <f t="shared" si="25"/>
        <v>0</v>
      </c>
      <c r="J127" s="114">
        <f t="shared" si="25"/>
        <v>0</v>
      </c>
      <c r="K127" s="114">
        <f t="shared" si="25"/>
        <v>0</v>
      </c>
      <c r="L127" s="114">
        <f t="shared" si="25"/>
        <v>0</v>
      </c>
      <c r="M127" s="114">
        <f t="shared" si="25"/>
        <v>0</v>
      </c>
      <c r="N127" s="114">
        <f t="shared" si="25"/>
        <v>0</v>
      </c>
      <c r="O127" s="114">
        <f t="shared" si="25"/>
        <v>0</v>
      </c>
      <c r="P127" s="114">
        <f t="shared" si="25"/>
        <v>-1</v>
      </c>
      <c r="Q127" s="114">
        <f t="shared" si="25"/>
        <v>0</v>
      </c>
      <c r="R127" s="114">
        <f t="shared" si="25"/>
        <v>0</v>
      </c>
      <c r="S127" s="378"/>
    </row>
    <row r="128" spans="1:21">
      <c r="L128" s="599"/>
      <c r="P128" s="378"/>
      <c r="Q128" s="378"/>
      <c r="R128" s="378"/>
      <c r="S128" s="378"/>
    </row>
    <row r="129" spans="2:21" ht="15" customHeight="1">
      <c r="B129" s="149" t="s">
        <v>1068</v>
      </c>
      <c r="L129" s="599"/>
      <c r="P129" s="378"/>
      <c r="Q129" s="378"/>
      <c r="R129" s="378"/>
      <c r="S129" s="378"/>
    </row>
    <row r="130" spans="2:21">
      <c r="B130" s="21" t="s">
        <v>1064</v>
      </c>
      <c r="L130" s="599"/>
      <c r="P130" s="378"/>
      <c r="Q130" s="378"/>
      <c r="R130" s="378"/>
      <c r="S130" s="378"/>
    </row>
    <row r="131" spans="2:21">
      <c r="L131" s="599"/>
      <c r="P131" s="378"/>
      <c r="Q131" s="378"/>
      <c r="R131" s="378"/>
      <c r="S131" s="378"/>
    </row>
    <row r="132" spans="2:21" ht="14.45" customHeight="1">
      <c r="B132" s="833" t="s">
        <v>740</v>
      </c>
      <c r="C132" s="831" t="s">
        <v>649</v>
      </c>
      <c r="D132" s="831"/>
      <c r="E132" s="831"/>
      <c r="F132" s="831"/>
      <c r="G132" s="831"/>
      <c r="H132" s="831"/>
      <c r="I132" s="831"/>
      <c r="J132" s="831"/>
      <c r="K132" s="831"/>
      <c r="L132" s="831"/>
      <c r="M132" s="831"/>
      <c r="N132" s="831"/>
      <c r="O132" s="831"/>
      <c r="P132" s="831"/>
      <c r="Q132" s="437"/>
      <c r="R132" s="437"/>
      <c r="S132" s="695"/>
      <c r="T132" s="695"/>
      <c r="U132" s="622"/>
    </row>
    <row r="133" spans="2:21">
      <c r="B133" s="833"/>
      <c r="C133" s="225">
        <v>2016</v>
      </c>
      <c r="D133" s="226">
        <v>2017</v>
      </c>
      <c r="E133" s="226" t="s">
        <v>650</v>
      </c>
      <c r="F133" s="226" t="s">
        <v>651</v>
      </c>
      <c r="G133" s="226" t="s">
        <v>652</v>
      </c>
      <c r="H133" s="226" t="s">
        <v>653</v>
      </c>
      <c r="I133" s="226" t="s">
        <v>654</v>
      </c>
      <c r="J133" s="226" t="s">
        <v>655</v>
      </c>
      <c r="K133" s="226" t="s">
        <v>656</v>
      </c>
      <c r="L133" s="623" t="s">
        <v>657</v>
      </c>
      <c r="M133" s="226" t="s">
        <v>658</v>
      </c>
      <c r="N133" s="226" t="s">
        <v>659</v>
      </c>
      <c r="O133" s="226" t="s">
        <v>626</v>
      </c>
      <c r="P133" s="438" t="s">
        <v>958</v>
      </c>
      <c r="Q133" s="438" t="s">
        <v>1014</v>
      </c>
      <c r="R133" s="438" t="s">
        <v>1048</v>
      </c>
      <c r="S133" s="438" t="s">
        <v>1187</v>
      </c>
      <c r="T133" s="438" t="s">
        <v>1239</v>
      </c>
      <c r="U133" s="438" t="s">
        <v>1292</v>
      </c>
    </row>
    <row r="134" spans="2:21">
      <c r="B134" s="129" t="s">
        <v>741</v>
      </c>
      <c r="C134" s="156">
        <v>1099482.87901</v>
      </c>
      <c r="D134" s="156">
        <v>2039364</v>
      </c>
      <c r="E134" s="156">
        <f t="shared" ref="E134:N134" si="26">SUM(E135:E136)</f>
        <v>834640</v>
      </c>
      <c r="F134" s="156">
        <f t="shared" si="26"/>
        <v>844171</v>
      </c>
      <c r="G134" s="156">
        <f t="shared" si="26"/>
        <v>716485</v>
      </c>
      <c r="H134" s="156">
        <f t="shared" si="26"/>
        <v>808236</v>
      </c>
      <c r="I134" s="156">
        <f t="shared" si="26"/>
        <v>806853</v>
      </c>
      <c r="J134" s="156">
        <f t="shared" si="26"/>
        <v>807586</v>
      </c>
      <c r="K134" s="156">
        <f t="shared" si="26"/>
        <v>782483</v>
      </c>
      <c r="L134" s="370">
        <f t="shared" si="26"/>
        <v>852480</v>
      </c>
      <c r="M134" s="156">
        <f t="shared" si="26"/>
        <v>851478</v>
      </c>
      <c r="N134" s="156">
        <f t="shared" si="26"/>
        <v>1700533</v>
      </c>
      <c r="O134" s="156">
        <f>SUM(O135:O136)</f>
        <v>956151</v>
      </c>
      <c r="P134" s="371">
        <f>P135+P136</f>
        <v>989357</v>
      </c>
      <c r="Q134" s="371">
        <f>Q135+Q136</f>
        <v>1000176</v>
      </c>
      <c r="R134" s="371">
        <v>922052.06234039995</v>
      </c>
      <c r="S134" s="242">
        <f t="shared" ref="S134:T134" si="27">S135+S136</f>
        <v>913149.23843959998</v>
      </c>
      <c r="T134" s="242">
        <f t="shared" si="27"/>
        <v>829950</v>
      </c>
      <c r="U134" s="242">
        <v>843349</v>
      </c>
    </row>
    <row r="135" spans="2:21">
      <c r="B135" s="129" t="s">
        <v>742</v>
      </c>
      <c r="C135" s="156">
        <v>1076083</v>
      </c>
      <c r="D135" s="156">
        <v>2013296</v>
      </c>
      <c r="E135" s="156">
        <v>827908</v>
      </c>
      <c r="F135" s="156">
        <v>837376</v>
      </c>
      <c r="G135" s="156">
        <v>709948</v>
      </c>
      <c r="H135" s="156">
        <v>801395</v>
      </c>
      <c r="I135" s="156">
        <v>799831</v>
      </c>
      <c r="J135" s="156">
        <v>800431</v>
      </c>
      <c r="K135" s="156">
        <v>772603</v>
      </c>
      <c r="L135" s="370">
        <v>844689</v>
      </c>
      <c r="M135" s="156">
        <v>843778</v>
      </c>
      <c r="N135" s="156">
        <v>1693051</v>
      </c>
      <c r="O135" s="156">
        <v>944448</v>
      </c>
      <c r="P135" s="436">
        <v>970710</v>
      </c>
      <c r="Q135" s="371">
        <v>991025</v>
      </c>
      <c r="R135" s="371">
        <v>898410</v>
      </c>
      <c r="S135" s="242">
        <v>896986</v>
      </c>
      <c r="T135" s="242">
        <v>820516</v>
      </c>
      <c r="U135" s="242">
        <v>838279</v>
      </c>
    </row>
    <row r="136" spans="2:21">
      <c r="B136" s="129" t="s">
        <v>701</v>
      </c>
      <c r="C136" s="156">
        <v>23399.879010000001</v>
      </c>
      <c r="D136" s="156">
        <v>26068</v>
      </c>
      <c r="E136" s="156">
        <v>6732</v>
      </c>
      <c r="F136" s="156">
        <v>6795</v>
      </c>
      <c r="G136" s="156">
        <v>6537</v>
      </c>
      <c r="H136" s="156">
        <v>6841</v>
      </c>
      <c r="I136" s="156">
        <v>7022</v>
      </c>
      <c r="J136" s="156">
        <v>7155</v>
      </c>
      <c r="K136" s="156">
        <v>9880</v>
      </c>
      <c r="L136" s="370">
        <v>7791</v>
      </c>
      <c r="M136" s="156">
        <v>7700</v>
      </c>
      <c r="N136" s="156">
        <v>7482</v>
      </c>
      <c r="O136" s="156">
        <v>11703</v>
      </c>
      <c r="P136" s="436">
        <v>18647</v>
      </c>
      <c r="Q136" s="371">
        <v>9151</v>
      </c>
      <c r="R136" s="371">
        <v>23642.062340399996</v>
      </c>
      <c r="S136" s="242">
        <v>16163.238439600005</v>
      </c>
      <c r="T136" s="242">
        <v>9434</v>
      </c>
      <c r="U136" s="242">
        <v>5070</v>
      </c>
    </row>
    <row r="137" spans="2:21">
      <c r="B137" s="129" t="s">
        <v>743</v>
      </c>
      <c r="C137" s="156">
        <v>-148298</v>
      </c>
      <c r="D137" s="156">
        <v>-261532</v>
      </c>
      <c r="E137" s="156">
        <v>-102316</v>
      </c>
      <c r="F137" s="156">
        <v>-104763</v>
      </c>
      <c r="G137" s="156">
        <v>-110622</v>
      </c>
      <c r="H137" s="156">
        <v>-118540</v>
      </c>
      <c r="I137" s="156">
        <v>-112689</v>
      </c>
      <c r="J137" s="156">
        <v>-115180</v>
      </c>
      <c r="K137" s="156">
        <v>-123950</v>
      </c>
      <c r="L137" s="370">
        <v>-123020</v>
      </c>
      <c r="M137" s="371">
        <v>-117137</v>
      </c>
      <c r="N137" s="156">
        <v>-203946</v>
      </c>
      <c r="O137" s="156">
        <v>-134892</v>
      </c>
      <c r="P137" s="371">
        <v>-150363</v>
      </c>
      <c r="Q137" s="371">
        <v>-147343</v>
      </c>
      <c r="R137" s="371">
        <v>-129734</v>
      </c>
      <c r="S137" s="242">
        <v>-154770</v>
      </c>
      <c r="T137" s="242">
        <v>-165237</v>
      </c>
      <c r="U137" s="242">
        <v>-127927</v>
      </c>
    </row>
    <row r="138" spans="2:21">
      <c r="B138" s="227" t="s">
        <v>744</v>
      </c>
      <c r="C138" s="228">
        <f>SUM(C135:C137)</f>
        <v>951184.87901000003</v>
      </c>
      <c r="D138" s="228">
        <f>SUM(D135:D137)</f>
        <v>1777832</v>
      </c>
      <c r="E138" s="228">
        <f t="shared" ref="E138:P138" si="28">SUM(E135:E137)</f>
        <v>732324</v>
      </c>
      <c r="F138" s="228">
        <f t="shared" si="28"/>
        <v>739408</v>
      </c>
      <c r="G138" s="228">
        <f t="shared" si="28"/>
        <v>605863</v>
      </c>
      <c r="H138" s="228">
        <f t="shared" si="28"/>
        <v>689696</v>
      </c>
      <c r="I138" s="228">
        <f t="shared" si="28"/>
        <v>694164</v>
      </c>
      <c r="J138" s="228">
        <f t="shared" si="28"/>
        <v>692406</v>
      </c>
      <c r="K138" s="228">
        <f t="shared" si="28"/>
        <v>658533</v>
      </c>
      <c r="L138" s="624">
        <f t="shared" si="28"/>
        <v>729460</v>
      </c>
      <c r="M138" s="228">
        <f t="shared" si="28"/>
        <v>734341</v>
      </c>
      <c r="N138" s="228">
        <f t="shared" si="28"/>
        <v>1496587</v>
      </c>
      <c r="O138" s="228">
        <f t="shared" si="28"/>
        <v>821259</v>
      </c>
      <c r="P138" s="228">
        <f t="shared" si="28"/>
        <v>838994</v>
      </c>
      <c r="Q138" s="228">
        <f>SUM(Q135:Q137)</f>
        <v>852833</v>
      </c>
      <c r="R138" s="228">
        <f>SUM(R135:R137)</f>
        <v>792318.06234039995</v>
      </c>
      <c r="S138" s="696">
        <f>SUM(S135:S137)</f>
        <v>758379.23843959998</v>
      </c>
      <c r="T138" s="696">
        <f>SUM(T135:T137)</f>
        <v>664713</v>
      </c>
      <c r="U138" s="696">
        <v>715422</v>
      </c>
    </row>
    <row r="139" spans="2:21">
      <c r="B139" s="227" t="s">
        <v>745</v>
      </c>
      <c r="C139" s="228">
        <f>SUM(C140:C144)</f>
        <v>-528915.87901000003</v>
      </c>
      <c r="D139" s="228">
        <f t="shared" ref="D139:P139" si="29">SUM(D140:D144)</f>
        <v>-811211</v>
      </c>
      <c r="E139" s="228">
        <f>SUM(E140:E144)</f>
        <v>-259669</v>
      </c>
      <c r="F139" s="228">
        <f t="shared" si="29"/>
        <v>-266599.70914000017</v>
      </c>
      <c r="G139" s="228">
        <f t="shared" si="29"/>
        <v>-265301.68775999983</v>
      </c>
      <c r="H139" s="228">
        <f>SUM(H140:H144)</f>
        <v>-310723</v>
      </c>
      <c r="I139" s="228">
        <f t="shared" si="29"/>
        <v>-275211</v>
      </c>
      <c r="J139" s="228">
        <f t="shared" si="29"/>
        <v>-315199</v>
      </c>
      <c r="K139" s="228">
        <f t="shared" si="29"/>
        <v>-293376</v>
      </c>
      <c r="L139" s="624">
        <f t="shared" si="29"/>
        <v>-274963</v>
      </c>
      <c r="M139" s="228">
        <f>SUM(M140:M144)</f>
        <v>-270109</v>
      </c>
      <c r="N139" s="228">
        <f t="shared" si="29"/>
        <v>-266759</v>
      </c>
      <c r="O139" s="228">
        <f t="shared" si="29"/>
        <v>-279007</v>
      </c>
      <c r="P139" s="228">
        <f t="shared" si="29"/>
        <v>-335923</v>
      </c>
      <c r="Q139" s="228">
        <f>SUM(Q140:Q144)</f>
        <v>-279729</v>
      </c>
      <c r="R139" s="228">
        <f>SUM(R140:R144)</f>
        <v>-298611.75536040001</v>
      </c>
      <c r="S139" s="693">
        <f t="shared" ref="S139:T139" si="30">SUM(S140:S144)</f>
        <v>-297045.54541960004</v>
      </c>
      <c r="T139" s="693">
        <f t="shared" si="30"/>
        <v>-336565</v>
      </c>
      <c r="U139" s="693">
        <v>-308650</v>
      </c>
    </row>
    <row r="140" spans="2:21">
      <c r="B140" s="129" t="s">
        <v>667</v>
      </c>
      <c r="C140" s="156">
        <v>-275181</v>
      </c>
      <c r="D140" s="156">
        <v>-302269</v>
      </c>
      <c r="E140" s="156">
        <v>-77724</v>
      </c>
      <c r="F140" s="156">
        <v>-79437.08490999999</v>
      </c>
      <c r="G140" s="156">
        <v>-79695.635910000012</v>
      </c>
      <c r="H140" s="156">
        <v>-84104</v>
      </c>
      <c r="I140" s="156">
        <v>-83116</v>
      </c>
      <c r="J140" s="156">
        <v>-86108</v>
      </c>
      <c r="K140" s="156">
        <v>-87512</v>
      </c>
      <c r="L140" s="370">
        <v>-79759</v>
      </c>
      <c r="M140" s="371">
        <v>-74866</v>
      </c>
      <c r="N140" s="156">
        <v>-75789</v>
      </c>
      <c r="O140" s="156">
        <v>-79077</v>
      </c>
      <c r="P140" s="371">
        <v>-96909</v>
      </c>
      <c r="Q140" s="371">
        <v>-91145</v>
      </c>
      <c r="R140" s="371">
        <v>-94312.440979999999</v>
      </c>
      <c r="S140" s="242">
        <v>-95299.559020000001</v>
      </c>
      <c r="T140" s="242">
        <v>-99790</v>
      </c>
      <c r="U140" s="242">
        <v>-98621</v>
      </c>
    </row>
    <row r="141" spans="2:21">
      <c r="B141" s="129" t="s">
        <v>746</v>
      </c>
      <c r="C141" s="156">
        <v>-13746</v>
      </c>
      <c r="D141" s="156">
        <v>-13602</v>
      </c>
      <c r="E141" s="156">
        <v>-3016</v>
      </c>
      <c r="F141" s="156">
        <v>-3361.6449299999986</v>
      </c>
      <c r="G141" s="156">
        <v>-3472.1449000000016</v>
      </c>
      <c r="H141" s="156">
        <v>-5460</v>
      </c>
      <c r="I141" s="156">
        <v>-3151</v>
      </c>
      <c r="J141" s="156">
        <v>-3661</v>
      </c>
      <c r="K141" s="156">
        <v>-3935</v>
      </c>
      <c r="L141" s="370">
        <v>-3392</v>
      </c>
      <c r="M141" s="371">
        <v>-3005</v>
      </c>
      <c r="N141" s="156">
        <v>-3973</v>
      </c>
      <c r="O141" s="156">
        <v>-4052</v>
      </c>
      <c r="P141" s="371">
        <v>-7293</v>
      </c>
      <c r="Q141" s="371">
        <v>-3689</v>
      </c>
      <c r="R141" s="371">
        <v>-5354</v>
      </c>
      <c r="S141" s="242">
        <v>-3848</v>
      </c>
      <c r="T141" s="242">
        <v>-6073</v>
      </c>
      <c r="U141" s="242">
        <v>-4403</v>
      </c>
    </row>
    <row r="142" spans="2:21">
      <c r="B142" s="129" t="s">
        <v>669</v>
      </c>
      <c r="C142" s="156">
        <v>-124276.87901</v>
      </c>
      <c r="D142" s="156">
        <v>-129992</v>
      </c>
      <c r="E142" s="156">
        <v>-27374</v>
      </c>
      <c r="F142" s="156">
        <v>-28499.908660000005</v>
      </c>
      <c r="G142" s="156">
        <v>-30424.873219999998</v>
      </c>
      <c r="H142" s="156">
        <v>-50225</v>
      </c>
      <c r="I142" s="156">
        <v>-26995</v>
      </c>
      <c r="J142" s="156">
        <v>-60163</v>
      </c>
      <c r="K142" s="156">
        <v>-38649</v>
      </c>
      <c r="L142" s="370">
        <v>-36223</v>
      </c>
      <c r="M142" s="371">
        <v>-30082</v>
      </c>
      <c r="N142" s="156">
        <v>-26967</v>
      </c>
      <c r="O142" s="156">
        <v>-31328</v>
      </c>
      <c r="P142" s="371">
        <v>-52321</v>
      </c>
      <c r="Q142" s="371">
        <v>-30613</v>
      </c>
      <c r="R142" s="371">
        <v>-32042.271390399997</v>
      </c>
      <c r="S142" s="242">
        <v>-33149.029389600008</v>
      </c>
      <c r="T142" s="242">
        <v>-58873</v>
      </c>
      <c r="U142" s="242">
        <v>-34775</v>
      </c>
    </row>
    <row r="143" spans="2:21">
      <c r="B143" s="129" t="s">
        <v>670</v>
      </c>
      <c r="C143" s="156" t="s">
        <v>470</v>
      </c>
      <c r="D143" s="156">
        <v>-328174</v>
      </c>
      <c r="E143" s="156">
        <v>-145819</v>
      </c>
      <c r="F143" s="156">
        <v>-144676.13161000016</v>
      </c>
      <c r="G143" s="156">
        <v>-143519.27898999985</v>
      </c>
      <c r="H143" s="156">
        <v>-144958</v>
      </c>
      <c r="I143" s="156">
        <v>-144967</v>
      </c>
      <c r="J143" s="156">
        <v>-144568</v>
      </c>
      <c r="K143" s="156">
        <v>-143908</v>
      </c>
      <c r="L143" s="370">
        <v>-142114</v>
      </c>
      <c r="M143" s="371">
        <v>-140551</v>
      </c>
      <c r="N143" s="156">
        <v>-140231</v>
      </c>
      <c r="O143" s="156">
        <v>-139803</v>
      </c>
      <c r="P143" s="371">
        <v>-141730</v>
      </c>
      <c r="Q143" s="371">
        <v>-136891</v>
      </c>
      <c r="R143" s="371">
        <v>-148054.9228</v>
      </c>
      <c r="S143" s="242">
        <v>-144258.0772</v>
      </c>
      <c r="T143" s="242">
        <v>-149899</v>
      </c>
      <c r="U143" s="242">
        <v>-146994</v>
      </c>
    </row>
    <row r="144" spans="2:21">
      <c r="B144" s="129" t="s">
        <v>701</v>
      </c>
      <c r="C144" s="156">
        <v>-115712</v>
      </c>
      <c r="D144" s="156">
        <v>-37174</v>
      </c>
      <c r="E144" s="156">
        <v>-5736</v>
      </c>
      <c r="F144" s="156">
        <v>-10624.939030000001</v>
      </c>
      <c r="G144" s="156">
        <v>-8189.7547399999985</v>
      </c>
      <c r="H144" s="156">
        <v>-25976</v>
      </c>
      <c r="I144" s="156">
        <v>-16982</v>
      </c>
      <c r="J144" s="156">
        <v>-20699</v>
      </c>
      <c r="K144" s="156">
        <v>-19372</v>
      </c>
      <c r="L144" s="370">
        <v>-13475</v>
      </c>
      <c r="M144" s="371">
        <v>-21605</v>
      </c>
      <c r="N144" s="156">
        <v>-19799</v>
      </c>
      <c r="O144" s="156">
        <v>-24747</v>
      </c>
      <c r="P144" s="371">
        <v>-37670</v>
      </c>
      <c r="Q144" s="371">
        <v>-17391</v>
      </c>
      <c r="R144" s="371">
        <v>-18848.120190000001</v>
      </c>
      <c r="S144" s="242">
        <v>-20490.879809999999</v>
      </c>
      <c r="T144" s="242">
        <v>-21930</v>
      </c>
      <c r="U144" s="242">
        <v>-23857</v>
      </c>
    </row>
    <row r="145" spans="2:21">
      <c r="B145" s="227" t="s">
        <v>671</v>
      </c>
      <c r="C145" s="228">
        <f t="shared" ref="C145:T145" si="31">SUM(C138:C139)</f>
        <v>422269</v>
      </c>
      <c r="D145" s="228">
        <f t="shared" si="31"/>
        <v>966621</v>
      </c>
      <c r="E145" s="228">
        <f t="shared" si="31"/>
        <v>472655</v>
      </c>
      <c r="F145" s="228">
        <f t="shared" si="31"/>
        <v>472808.29085999983</v>
      </c>
      <c r="G145" s="228">
        <f t="shared" si="31"/>
        <v>340561.31224000017</v>
      </c>
      <c r="H145" s="228">
        <f t="shared" si="31"/>
        <v>378973</v>
      </c>
      <c r="I145" s="228">
        <f t="shared" si="31"/>
        <v>418953</v>
      </c>
      <c r="J145" s="228">
        <f t="shared" si="31"/>
        <v>377207</v>
      </c>
      <c r="K145" s="228">
        <f t="shared" si="31"/>
        <v>365157</v>
      </c>
      <c r="L145" s="624">
        <f t="shared" si="31"/>
        <v>454497</v>
      </c>
      <c r="M145" s="228">
        <f t="shared" si="31"/>
        <v>464232</v>
      </c>
      <c r="N145" s="228">
        <f t="shared" si="31"/>
        <v>1229828</v>
      </c>
      <c r="O145" s="228">
        <f t="shared" si="31"/>
        <v>542252</v>
      </c>
      <c r="P145" s="228">
        <f t="shared" si="31"/>
        <v>503071</v>
      </c>
      <c r="Q145" s="228">
        <f t="shared" si="31"/>
        <v>573104</v>
      </c>
      <c r="R145" s="228">
        <f t="shared" si="31"/>
        <v>493706.30697999994</v>
      </c>
      <c r="S145" s="696">
        <f t="shared" si="31"/>
        <v>461333.69301999995</v>
      </c>
      <c r="T145" s="696">
        <f t="shared" si="31"/>
        <v>328148</v>
      </c>
      <c r="U145" s="696">
        <v>406772</v>
      </c>
    </row>
    <row r="146" spans="2:21">
      <c r="B146" s="129" t="s">
        <v>747</v>
      </c>
      <c r="C146" s="156">
        <f>SUM(C147:C151)</f>
        <v>-109929</v>
      </c>
      <c r="D146" s="156">
        <f>SUM(D147:D151)</f>
        <v>-66216</v>
      </c>
      <c r="E146" s="156">
        <v>-35293</v>
      </c>
      <c r="F146" s="156">
        <f t="shared" ref="F146:Q146" si="32">SUM(F147:F151)</f>
        <v>-25692</v>
      </c>
      <c r="G146" s="156">
        <f t="shared" si="32"/>
        <v>-49331</v>
      </c>
      <c r="H146" s="156">
        <f t="shared" si="32"/>
        <v>-31898</v>
      </c>
      <c r="I146" s="156">
        <f t="shared" si="32"/>
        <v>-54493</v>
      </c>
      <c r="J146" s="156">
        <f t="shared" si="32"/>
        <v>-49190</v>
      </c>
      <c r="K146" s="156">
        <f t="shared" si="32"/>
        <v>-35369</v>
      </c>
      <c r="L146" s="370">
        <f t="shared" si="32"/>
        <v>-46970</v>
      </c>
      <c r="M146" s="371">
        <f t="shared" si="32"/>
        <v>-48618</v>
      </c>
      <c r="N146" s="156">
        <f t="shared" si="32"/>
        <v>-27897</v>
      </c>
      <c r="O146" s="156">
        <f t="shared" si="32"/>
        <v>-51135</v>
      </c>
      <c r="P146" s="156">
        <f t="shared" si="32"/>
        <v>-80333</v>
      </c>
      <c r="Q146" s="371">
        <f t="shared" si="32"/>
        <v>-116197</v>
      </c>
      <c r="R146" s="371">
        <v>-138431</v>
      </c>
      <c r="S146" s="242">
        <f t="shared" ref="S146:T146" si="33">SUM(S147:S151)</f>
        <v>-159706.97498</v>
      </c>
      <c r="T146" s="242">
        <f t="shared" si="33"/>
        <v>-215905</v>
      </c>
      <c r="U146" s="242">
        <v>-232100</v>
      </c>
    </row>
    <row r="147" spans="2:21">
      <c r="B147" s="129" t="s">
        <v>748</v>
      </c>
      <c r="C147" s="156">
        <v>68032</v>
      </c>
      <c r="D147" s="156">
        <v>43907</v>
      </c>
      <c r="E147" s="156">
        <v>10886</v>
      </c>
      <c r="F147" s="156">
        <v>18347</v>
      </c>
      <c r="G147" s="156">
        <v>19329</v>
      </c>
      <c r="H147" s="156">
        <v>25950</v>
      </c>
      <c r="I147" s="156">
        <v>14183</v>
      </c>
      <c r="J147" s="156">
        <v>18601</v>
      </c>
      <c r="K147" s="156">
        <v>19911</v>
      </c>
      <c r="L147" s="370">
        <v>13050</v>
      </c>
      <c r="M147" s="371">
        <v>21983</v>
      </c>
      <c r="N147" s="156">
        <v>10446</v>
      </c>
      <c r="O147" s="156">
        <v>8539</v>
      </c>
      <c r="P147" s="371">
        <v>8279</v>
      </c>
      <c r="Q147" s="371">
        <v>9761</v>
      </c>
      <c r="R147" s="371">
        <v>15396</v>
      </c>
      <c r="S147" s="242">
        <v>15630.025020000001</v>
      </c>
      <c r="T147" s="242">
        <v>28321</v>
      </c>
      <c r="U147" s="242">
        <v>25064</v>
      </c>
    </row>
    <row r="148" spans="2:21">
      <c r="B148" s="129" t="s">
        <v>749</v>
      </c>
      <c r="C148" s="156">
        <v>-33902</v>
      </c>
      <c r="D148" s="156">
        <v>-31989</v>
      </c>
      <c r="E148" s="156">
        <v>-9620</v>
      </c>
      <c r="F148" s="156">
        <v>-6447</v>
      </c>
      <c r="G148" s="156">
        <v>-17390</v>
      </c>
      <c r="H148" s="156">
        <v>-10500</v>
      </c>
      <c r="I148" s="156">
        <v>-15154</v>
      </c>
      <c r="J148" s="156">
        <v>-17631</v>
      </c>
      <c r="K148" s="156">
        <v>-6225</v>
      </c>
      <c r="L148" s="370">
        <v>-7350</v>
      </c>
      <c r="M148" s="371">
        <v>-26159</v>
      </c>
      <c r="N148" s="156">
        <v>9032</v>
      </c>
      <c r="O148" s="156">
        <v>-15182</v>
      </c>
      <c r="P148" s="371">
        <v>-42342</v>
      </c>
      <c r="Q148" s="371">
        <v>-68620</v>
      </c>
      <c r="R148" s="371">
        <v>-70977</v>
      </c>
      <c r="S148" s="242">
        <v>-75290</v>
      </c>
      <c r="T148" s="242">
        <v>-118492</v>
      </c>
      <c r="U148" s="242">
        <v>-100473</v>
      </c>
    </row>
    <row r="149" spans="2:21">
      <c r="B149" s="129" t="s">
        <v>750</v>
      </c>
      <c r="C149" s="156" t="s">
        <v>470</v>
      </c>
      <c r="D149" s="156">
        <v>-10483</v>
      </c>
      <c r="E149" s="156">
        <v>-580</v>
      </c>
      <c r="F149" s="156">
        <v>-580</v>
      </c>
      <c r="G149" s="156">
        <v>-599</v>
      </c>
      <c r="H149" s="156">
        <v>-554</v>
      </c>
      <c r="I149" s="156">
        <v>-205</v>
      </c>
      <c r="J149" s="156">
        <v>-622</v>
      </c>
      <c r="K149" s="156">
        <v>-626</v>
      </c>
      <c r="L149" s="370">
        <v>-667</v>
      </c>
      <c r="M149" s="371">
        <v>-418</v>
      </c>
      <c r="N149" s="156">
        <v>-656</v>
      </c>
      <c r="O149" s="156">
        <v>-613</v>
      </c>
      <c r="P149" s="371">
        <v>-622</v>
      </c>
      <c r="Q149" s="371">
        <v>908</v>
      </c>
      <c r="R149" s="371">
        <v>-126</v>
      </c>
      <c r="S149" s="242">
        <v>-5</v>
      </c>
      <c r="T149" s="242">
        <v>-156</v>
      </c>
      <c r="U149" s="242">
        <v>174</v>
      </c>
    </row>
    <row r="150" spans="2:21">
      <c r="B150" s="129" t="s">
        <v>676</v>
      </c>
      <c r="C150" s="156">
        <v>-143799</v>
      </c>
      <c r="D150" s="156">
        <v>-111504</v>
      </c>
      <c r="E150" s="156">
        <v>-31704</v>
      </c>
      <c r="F150" s="156">
        <v>-35052</v>
      </c>
      <c r="G150" s="156">
        <v>-40182</v>
      </c>
      <c r="H150" s="156">
        <v>-39491</v>
      </c>
      <c r="I150" s="156">
        <v>-36444</v>
      </c>
      <c r="J150" s="156">
        <v>-36441</v>
      </c>
      <c r="K150" s="156">
        <v>-36635</v>
      </c>
      <c r="L150" s="370">
        <v>-35479</v>
      </c>
      <c r="M150" s="371">
        <v>-36389</v>
      </c>
      <c r="N150" s="156">
        <v>-41007</v>
      </c>
      <c r="O150" s="156">
        <v>-43225</v>
      </c>
      <c r="P150" s="371">
        <v>-46314</v>
      </c>
      <c r="Q150" s="371">
        <v>-62773</v>
      </c>
      <c r="R150" s="371">
        <v>-79492</v>
      </c>
      <c r="S150" s="242">
        <v>-99434</v>
      </c>
      <c r="T150" s="242">
        <v>-124518</v>
      </c>
      <c r="U150" s="242">
        <v>-145881</v>
      </c>
    </row>
    <row r="151" spans="2:21">
      <c r="B151" s="129" t="s">
        <v>701</v>
      </c>
      <c r="C151" s="156">
        <v>-260</v>
      </c>
      <c r="D151" s="156">
        <v>43853</v>
      </c>
      <c r="E151" s="156">
        <v>-4275</v>
      </c>
      <c r="F151" s="156">
        <v>-1960</v>
      </c>
      <c r="G151" s="156">
        <v>-10489</v>
      </c>
      <c r="H151" s="156">
        <v>-7303</v>
      </c>
      <c r="I151" s="156">
        <v>-16873</v>
      </c>
      <c r="J151" s="156">
        <v>-13097</v>
      </c>
      <c r="K151" s="156">
        <v>-11794</v>
      </c>
      <c r="L151" s="370">
        <v>-16524</v>
      </c>
      <c r="M151" s="371">
        <v>-7635</v>
      </c>
      <c r="N151" s="156">
        <v>-5712</v>
      </c>
      <c r="O151" s="156">
        <v>-654</v>
      </c>
      <c r="P151" s="371">
        <v>666</v>
      </c>
      <c r="Q151" s="371">
        <v>4527</v>
      </c>
      <c r="R151" s="371">
        <v>-3232</v>
      </c>
      <c r="S151" s="242">
        <v>-608</v>
      </c>
      <c r="T151" s="242">
        <v>-1060</v>
      </c>
      <c r="U151" s="242">
        <v>-10984</v>
      </c>
    </row>
    <row r="152" spans="2:21">
      <c r="B152" s="227" t="s">
        <v>751</v>
      </c>
      <c r="C152" s="228">
        <f t="shared" ref="C152:P152" si="34">SUM(C145:C146)</f>
        <v>312340</v>
      </c>
      <c r="D152" s="228">
        <f t="shared" si="34"/>
        <v>900405</v>
      </c>
      <c r="E152" s="228">
        <f t="shared" si="34"/>
        <v>437362</v>
      </c>
      <c r="F152" s="228">
        <f t="shared" si="34"/>
        <v>447116.29085999983</v>
      </c>
      <c r="G152" s="228">
        <f t="shared" si="34"/>
        <v>291230.31224000017</v>
      </c>
      <c r="H152" s="228">
        <f t="shared" si="34"/>
        <v>347075</v>
      </c>
      <c r="I152" s="228">
        <f t="shared" si="34"/>
        <v>364460</v>
      </c>
      <c r="J152" s="228">
        <f t="shared" si="34"/>
        <v>328017</v>
      </c>
      <c r="K152" s="228">
        <f t="shared" si="34"/>
        <v>329788</v>
      </c>
      <c r="L152" s="624">
        <f t="shared" si="34"/>
        <v>407527</v>
      </c>
      <c r="M152" s="228">
        <f t="shared" si="34"/>
        <v>415614</v>
      </c>
      <c r="N152" s="228">
        <f t="shared" si="34"/>
        <v>1201931</v>
      </c>
      <c r="O152" s="228">
        <f t="shared" si="34"/>
        <v>491117</v>
      </c>
      <c r="P152" s="228">
        <f t="shared" si="34"/>
        <v>422738</v>
      </c>
      <c r="Q152" s="228">
        <f>SUM(Q145:Q146)</f>
        <v>456907</v>
      </c>
      <c r="R152" s="228">
        <f>SUM(R145:R146)</f>
        <v>355275.30697999994</v>
      </c>
      <c r="S152" s="693">
        <f t="shared" ref="S152:T152" si="35">SUM(S145:S146)</f>
        <v>301626.71803999995</v>
      </c>
      <c r="T152" s="693">
        <f t="shared" si="35"/>
        <v>112243</v>
      </c>
      <c r="U152" s="693">
        <v>174672</v>
      </c>
    </row>
    <row r="153" spans="2:21">
      <c r="B153" s="129" t="s">
        <v>752</v>
      </c>
      <c r="C153" s="156">
        <v>30152</v>
      </c>
      <c r="D153" s="156">
        <v>18271</v>
      </c>
      <c r="E153" s="156">
        <v>19347</v>
      </c>
      <c r="F153" s="156">
        <v>22431</v>
      </c>
      <c r="G153" s="156">
        <v>-2887</v>
      </c>
      <c r="H153" s="156">
        <v>7270</v>
      </c>
      <c r="I153" s="156">
        <v>16244</v>
      </c>
      <c r="J153" s="156">
        <v>10141</v>
      </c>
      <c r="K153" s="156">
        <v>16972</v>
      </c>
      <c r="L153" s="370">
        <v>26543</v>
      </c>
      <c r="M153" s="156">
        <v>20314</v>
      </c>
      <c r="N153" s="156">
        <v>-63930</v>
      </c>
      <c r="O153" s="156">
        <v>16039</v>
      </c>
      <c r="P153" s="371">
        <v>-32857</v>
      </c>
      <c r="Q153" s="371">
        <v>1214</v>
      </c>
      <c r="R153" s="371">
        <v>11200.693020000006</v>
      </c>
      <c r="S153" s="242">
        <v>1875.5947400000005</v>
      </c>
      <c r="T153" s="242">
        <v>-2491</v>
      </c>
      <c r="U153" s="242">
        <v>8123</v>
      </c>
    </row>
    <row r="154" spans="2:21">
      <c r="B154" s="129" t="s">
        <v>753</v>
      </c>
      <c r="C154" s="156">
        <v>-26947</v>
      </c>
      <c r="D154" s="156">
        <v>35451</v>
      </c>
      <c r="E154" s="156">
        <v>4747</v>
      </c>
      <c r="F154" s="156">
        <v>-564</v>
      </c>
      <c r="G154" s="156">
        <v>-3244</v>
      </c>
      <c r="H154" s="156">
        <v>-6993</v>
      </c>
      <c r="I154" s="156">
        <v>-9562</v>
      </c>
      <c r="J154" s="156">
        <v>325</v>
      </c>
      <c r="K154" s="156">
        <v>589</v>
      </c>
      <c r="L154" s="370">
        <v>-1136</v>
      </c>
      <c r="M154" s="371">
        <v>-10187</v>
      </c>
      <c r="N154" s="156">
        <v>145268</v>
      </c>
      <c r="O154" s="156">
        <v>-13848</v>
      </c>
      <c r="P154" s="371">
        <v>-10641</v>
      </c>
      <c r="Q154" s="371">
        <v>-13717</v>
      </c>
      <c r="R154" s="371">
        <v>-11786</v>
      </c>
      <c r="S154" s="242">
        <v>-38996.287760000007</v>
      </c>
      <c r="T154" s="242">
        <v>-15245</v>
      </c>
      <c r="U154" s="242">
        <v>-21804</v>
      </c>
    </row>
    <row r="155" spans="2:21">
      <c r="B155" s="227" t="s">
        <v>754</v>
      </c>
      <c r="C155" s="228">
        <f>SUM(C152:C154)</f>
        <v>315545</v>
      </c>
      <c r="D155" s="228">
        <f>SUM(D152:D154)</f>
        <v>954127</v>
      </c>
      <c r="E155" s="228">
        <f t="shared" ref="E155:P155" si="36">SUM(E152:E154)</f>
        <v>461456</v>
      </c>
      <c r="F155" s="228">
        <f t="shared" si="36"/>
        <v>468983.29085999983</v>
      </c>
      <c r="G155" s="228">
        <f t="shared" si="36"/>
        <v>285099.31224000017</v>
      </c>
      <c r="H155" s="228">
        <f t="shared" si="36"/>
        <v>347352</v>
      </c>
      <c r="I155" s="228">
        <f t="shared" si="36"/>
        <v>371142</v>
      </c>
      <c r="J155" s="228">
        <f t="shared" si="36"/>
        <v>338483</v>
      </c>
      <c r="K155" s="228">
        <f t="shared" si="36"/>
        <v>347349</v>
      </c>
      <c r="L155" s="624">
        <f t="shared" si="36"/>
        <v>432934</v>
      </c>
      <c r="M155" s="228">
        <f t="shared" si="36"/>
        <v>425741</v>
      </c>
      <c r="N155" s="228">
        <f t="shared" si="36"/>
        <v>1283269</v>
      </c>
      <c r="O155" s="228">
        <f t="shared" si="36"/>
        <v>493308</v>
      </c>
      <c r="P155" s="228">
        <f t="shared" si="36"/>
        <v>379240</v>
      </c>
      <c r="Q155" s="228">
        <f>SUM(Q152:Q154)</f>
        <v>444404</v>
      </c>
      <c r="R155" s="228">
        <f>SUM(R152:R154)</f>
        <v>354689.99999999994</v>
      </c>
      <c r="S155" s="693">
        <f t="shared" ref="S155:T155" si="37">SUM(S152:S154)</f>
        <v>264506.02501999994</v>
      </c>
      <c r="T155" s="693">
        <f t="shared" si="37"/>
        <v>94507</v>
      </c>
      <c r="U155" s="693">
        <v>160991</v>
      </c>
    </row>
    <row r="156" spans="2:21">
      <c r="B156" s="129" t="s">
        <v>755</v>
      </c>
      <c r="C156" s="156">
        <f>SUM(C157:C158)</f>
        <v>-69738</v>
      </c>
      <c r="D156" s="156">
        <f>SUM(D157:D158)</f>
        <v>-318705</v>
      </c>
      <c r="E156" s="156">
        <f t="shared" ref="E156:Q156" si="38">SUM(E157:E158)</f>
        <v>-156193</v>
      </c>
      <c r="F156" s="156">
        <f t="shared" si="38"/>
        <v>-126633</v>
      </c>
      <c r="G156" s="156">
        <f t="shared" si="38"/>
        <v>-93561</v>
      </c>
      <c r="H156" s="156">
        <f t="shared" si="38"/>
        <v>103386</v>
      </c>
      <c r="I156" s="156">
        <f t="shared" si="38"/>
        <v>-137075</v>
      </c>
      <c r="J156" s="156">
        <f t="shared" si="38"/>
        <v>-98143</v>
      </c>
      <c r="K156" s="156">
        <f t="shared" si="38"/>
        <v>67263</v>
      </c>
      <c r="L156" s="370">
        <f t="shared" si="38"/>
        <v>-83303</v>
      </c>
      <c r="M156" s="371">
        <f t="shared" si="38"/>
        <v>-103852</v>
      </c>
      <c r="N156" s="156">
        <f t="shared" si="38"/>
        <v>-362502</v>
      </c>
      <c r="O156" s="156">
        <f t="shared" si="38"/>
        <v>-90608</v>
      </c>
      <c r="P156" s="156">
        <f t="shared" si="38"/>
        <v>-2956</v>
      </c>
      <c r="Q156" s="371">
        <f t="shared" si="38"/>
        <v>-134410</v>
      </c>
      <c r="R156" s="371">
        <v>-103181</v>
      </c>
      <c r="S156" s="242">
        <f t="shared" ref="S156:T156" si="39">SUM(S157:S158)</f>
        <v>-71206</v>
      </c>
      <c r="T156" s="242">
        <f t="shared" si="39"/>
        <v>47469</v>
      </c>
      <c r="U156" s="242">
        <v>-38365</v>
      </c>
    </row>
    <row r="157" spans="2:21">
      <c r="B157" s="129" t="s">
        <v>682</v>
      </c>
      <c r="C157" s="156">
        <v>-79299</v>
      </c>
      <c r="D157" s="156">
        <v>-354491</v>
      </c>
      <c r="E157" s="156">
        <v>-176614</v>
      </c>
      <c r="F157" s="156">
        <v>-167891</v>
      </c>
      <c r="G157" s="156">
        <v>-152616</v>
      </c>
      <c r="H157" s="156">
        <v>89697</v>
      </c>
      <c r="I157" s="156">
        <v>-114844</v>
      </c>
      <c r="J157" s="156">
        <v>-132273</v>
      </c>
      <c r="K157" s="156">
        <v>4830</v>
      </c>
      <c r="L157" s="370">
        <v>-34509</v>
      </c>
      <c r="M157" s="371">
        <v>-77594</v>
      </c>
      <c r="N157" s="156">
        <v>-69687</v>
      </c>
      <c r="O157" s="156">
        <v>-234607</v>
      </c>
      <c r="P157" s="371">
        <v>-34067</v>
      </c>
      <c r="Q157" s="371">
        <v>-210719</v>
      </c>
      <c r="R157" s="371">
        <v>-141652</v>
      </c>
      <c r="S157" s="242">
        <v>-95938</v>
      </c>
      <c r="T157" s="242">
        <v>139392</v>
      </c>
      <c r="U157" s="242">
        <v>-39983</v>
      </c>
    </row>
    <row r="158" spans="2:21">
      <c r="B158" s="129" t="s">
        <v>683</v>
      </c>
      <c r="C158" s="156">
        <v>9561</v>
      </c>
      <c r="D158" s="156">
        <v>35786</v>
      </c>
      <c r="E158" s="156">
        <v>20421</v>
      </c>
      <c r="F158" s="156">
        <v>41258</v>
      </c>
      <c r="G158" s="156">
        <v>59055</v>
      </c>
      <c r="H158" s="156">
        <v>13689</v>
      </c>
      <c r="I158" s="156">
        <v>-22231</v>
      </c>
      <c r="J158" s="156">
        <v>34130</v>
      </c>
      <c r="K158" s="156">
        <v>62433</v>
      </c>
      <c r="L158" s="370">
        <v>-48794</v>
      </c>
      <c r="M158" s="371">
        <v>-26258</v>
      </c>
      <c r="N158" s="156">
        <v>-292815</v>
      </c>
      <c r="O158" s="156">
        <v>143999</v>
      </c>
      <c r="P158" s="371">
        <v>31111</v>
      </c>
      <c r="Q158" s="371">
        <v>76309</v>
      </c>
      <c r="R158" s="371">
        <v>38471</v>
      </c>
      <c r="S158" s="242">
        <v>24732</v>
      </c>
      <c r="T158" s="242">
        <v>-91923</v>
      </c>
      <c r="U158" s="242">
        <v>1618</v>
      </c>
    </row>
    <row r="159" spans="2:21" ht="29.25">
      <c r="B159" s="238" t="s">
        <v>756</v>
      </c>
      <c r="C159" s="228">
        <f>SUM(C155:C156)</f>
        <v>245807</v>
      </c>
      <c r="D159" s="228">
        <f>SUM(D155:D156)</f>
        <v>635422</v>
      </c>
      <c r="E159" s="228">
        <f t="shared" ref="E159:R159" si="40">SUM(E155:E156)</f>
        <v>305263</v>
      </c>
      <c r="F159" s="228">
        <f t="shared" si="40"/>
        <v>342350.29085999983</v>
      </c>
      <c r="G159" s="228">
        <f t="shared" si="40"/>
        <v>191538.31224000017</v>
      </c>
      <c r="H159" s="228">
        <f t="shared" si="40"/>
        <v>450738</v>
      </c>
      <c r="I159" s="228">
        <f t="shared" si="40"/>
        <v>234067</v>
      </c>
      <c r="J159" s="228">
        <f t="shared" si="40"/>
        <v>240340</v>
      </c>
      <c r="K159" s="228">
        <f t="shared" si="40"/>
        <v>414612</v>
      </c>
      <c r="L159" s="624">
        <f t="shared" si="40"/>
        <v>349631</v>
      </c>
      <c r="M159" s="228">
        <f t="shared" si="40"/>
        <v>321889</v>
      </c>
      <c r="N159" s="228">
        <f t="shared" si="40"/>
        <v>920767</v>
      </c>
      <c r="O159" s="228">
        <f t="shared" si="40"/>
        <v>402700</v>
      </c>
      <c r="P159" s="228">
        <f t="shared" si="40"/>
        <v>376284</v>
      </c>
      <c r="Q159" s="228">
        <f t="shared" si="40"/>
        <v>309994</v>
      </c>
      <c r="R159" s="228">
        <f t="shared" si="40"/>
        <v>251508.99999999994</v>
      </c>
      <c r="S159" s="696">
        <v>193300.02501999994</v>
      </c>
      <c r="T159" s="696">
        <f t="shared" ref="T159" si="41">SUM(T155:T156)</f>
        <v>141976</v>
      </c>
      <c r="U159" s="696">
        <v>122626</v>
      </c>
    </row>
    <row r="160" spans="2:21">
      <c r="B160" s="129" t="s">
        <v>757</v>
      </c>
      <c r="C160" s="156">
        <v>-17022</v>
      </c>
      <c r="D160" s="156">
        <v>-19947.994313528299</v>
      </c>
      <c r="E160" s="156">
        <v>-3460</v>
      </c>
      <c r="F160" s="156">
        <v>-3285</v>
      </c>
      <c r="G160" s="156">
        <v>-3419</v>
      </c>
      <c r="H160" s="156">
        <v>-3413</v>
      </c>
      <c r="I160" s="156">
        <v>-3879</v>
      </c>
      <c r="J160" s="156">
        <v>-4367</v>
      </c>
      <c r="K160" s="156">
        <v>-4342</v>
      </c>
      <c r="L160" s="370">
        <v>-4232</v>
      </c>
      <c r="M160" s="371">
        <v>-15497</v>
      </c>
      <c r="N160" s="156">
        <v>-1667</v>
      </c>
      <c r="O160" s="156">
        <v>-2143</v>
      </c>
      <c r="P160" s="371">
        <v>-1840</v>
      </c>
      <c r="Q160" s="371">
        <v>-1855</v>
      </c>
      <c r="R160" s="371">
        <v>-3411</v>
      </c>
      <c r="S160" s="242">
        <v>-5329</v>
      </c>
      <c r="T160" s="242">
        <v>-8614</v>
      </c>
      <c r="U160" s="242">
        <v>-10096</v>
      </c>
    </row>
    <row r="161" spans="2:21">
      <c r="B161" s="227" t="s">
        <v>758</v>
      </c>
      <c r="C161" s="228">
        <f>SUM(C159:C160)</f>
        <v>228785</v>
      </c>
      <c r="D161" s="228">
        <f t="shared" ref="D161:T161" si="42">SUM(D159:D160)</f>
        <v>615474.0056864717</v>
      </c>
      <c r="E161" s="228">
        <f t="shared" si="42"/>
        <v>301803</v>
      </c>
      <c r="F161" s="228">
        <f t="shared" si="42"/>
        <v>339065.29085999983</v>
      </c>
      <c r="G161" s="228">
        <f t="shared" si="42"/>
        <v>188119.31224000017</v>
      </c>
      <c r="H161" s="228">
        <f t="shared" si="42"/>
        <v>447325</v>
      </c>
      <c r="I161" s="228">
        <f t="shared" si="42"/>
        <v>230188</v>
      </c>
      <c r="J161" s="228">
        <f t="shared" si="42"/>
        <v>235973</v>
      </c>
      <c r="K161" s="228">
        <f t="shared" si="42"/>
        <v>410270</v>
      </c>
      <c r="L161" s="624">
        <f t="shared" si="42"/>
        <v>345399</v>
      </c>
      <c r="M161" s="228">
        <f t="shared" si="42"/>
        <v>306392</v>
      </c>
      <c r="N161" s="228">
        <f t="shared" si="42"/>
        <v>919100</v>
      </c>
      <c r="O161" s="228">
        <f t="shared" si="42"/>
        <v>400557</v>
      </c>
      <c r="P161" s="228">
        <f t="shared" si="42"/>
        <v>374444</v>
      </c>
      <c r="Q161" s="228">
        <f t="shared" si="42"/>
        <v>308139</v>
      </c>
      <c r="R161" s="228">
        <f t="shared" si="42"/>
        <v>248097.99999999994</v>
      </c>
      <c r="S161" s="696">
        <f t="shared" si="42"/>
        <v>187971.02501999994</v>
      </c>
      <c r="T161" s="696">
        <f t="shared" si="42"/>
        <v>133362</v>
      </c>
      <c r="U161" s="696">
        <v>112530</v>
      </c>
    </row>
    <row r="162" spans="2:21">
      <c r="B162" s="132"/>
      <c r="C162" s="157"/>
      <c r="D162" s="157"/>
      <c r="E162" s="157"/>
      <c r="F162" s="157"/>
      <c r="G162" s="157"/>
      <c r="H162" s="157"/>
      <c r="I162" s="157"/>
      <c r="J162" s="157"/>
      <c r="K162" s="157"/>
      <c r="L162" s="626"/>
      <c r="M162" s="157"/>
      <c r="N162" s="157"/>
      <c r="O162" s="157"/>
      <c r="P162" s="373"/>
      <c r="Q162" s="373"/>
      <c r="R162" s="373"/>
      <c r="S162" s="373"/>
    </row>
    <row r="163" spans="2:21">
      <c r="L163" s="599"/>
      <c r="P163" s="378"/>
      <c r="Q163" s="378"/>
      <c r="R163" s="378"/>
      <c r="S163" s="378"/>
    </row>
    <row r="164" spans="2:21">
      <c r="B164" s="149" t="s">
        <v>1069</v>
      </c>
      <c r="L164" s="599"/>
      <c r="P164" s="378"/>
      <c r="Q164" s="378"/>
      <c r="R164" s="378"/>
      <c r="S164" s="378"/>
    </row>
    <row r="165" spans="2:21">
      <c r="B165" s="21" t="s">
        <v>1064</v>
      </c>
      <c r="L165" s="599"/>
      <c r="P165" s="378"/>
      <c r="Q165" s="378"/>
      <c r="R165" s="378"/>
      <c r="S165" s="378"/>
    </row>
    <row r="166" spans="2:21">
      <c r="L166" s="599"/>
      <c r="P166" s="378"/>
      <c r="Q166" s="378"/>
      <c r="R166" s="378"/>
      <c r="S166" s="378"/>
    </row>
    <row r="167" spans="2:21">
      <c r="B167" s="834" t="s">
        <v>759</v>
      </c>
      <c r="C167" s="831" t="s">
        <v>649</v>
      </c>
      <c r="D167" s="831"/>
      <c r="E167" s="831"/>
      <c r="F167" s="831"/>
      <c r="G167" s="831"/>
      <c r="H167" s="831"/>
      <c r="I167" s="831"/>
      <c r="J167" s="831"/>
      <c r="K167" s="831"/>
      <c r="L167" s="831"/>
      <c r="M167" s="831"/>
      <c r="N167" s="831"/>
      <c r="O167" s="831"/>
      <c r="P167" s="831"/>
      <c r="Q167" s="437"/>
      <c r="R167" s="437"/>
      <c r="S167" s="695"/>
      <c r="T167" s="695"/>
      <c r="U167" s="622"/>
    </row>
    <row r="168" spans="2:21">
      <c r="B168" s="834"/>
      <c r="C168" s="225">
        <v>2016</v>
      </c>
      <c r="D168" s="226">
        <v>2017</v>
      </c>
      <c r="E168" s="226" t="s">
        <v>650</v>
      </c>
      <c r="F168" s="226" t="s">
        <v>651</v>
      </c>
      <c r="G168" s="226" t="s">
        <v>652</v>
      </c>
      <c r="H168" s="226" t="s">
        <v>653</v>
      </c>
      <c r="I168" s="226" t="s">
        <v>654</v>
      </c>
      <c r="J168" s="226" t="s">
        <v>655</v>
      </c>
      <c r="K168" s="226" t="s">
        <v>656</v>
      </c>
      <c r="L168" s="623" t="s">
        <v>657</v>
      </c>
      <c r="M168" s="226" t="s">
        <v>658</v>
      </c>
      <c r="N168" s="226" t="s">
        <v>659</v>
      </c>
      <c r="O168" s="226" t="s">
        <v>626</v>
      </c>
      <c r="P168" s="438" t="s">
        <v>958</v>
      </c>
      <c r="Q168" s="438" t="s">
        <v>1014</v>
      </c>
      <c r="R168" s="438" t="s">
        <v>1048</v>
      </c>
      <c r="S168" s="438" t="s">
        <v>1187</v>
      </c>
      <c r="T168" s="438" t="s">
        <v>1239</v>
      </c>
      <c r="U168" s="438" t="s">
        <v>1292</v>
      </c>
    </row>
    <row r="169" spans="2:21">
      <c r="B169" s="233" t="s">
        <v>760</v>
      </c>
      <c r="C169" s="234"/>
      <c r="D169" s="234"/>
      <c r="E169" s="234"/>
      <c r="F169" s="233"/>
      <c r="G169" s="234"/>
      <c r="H169" s="234"/>
      <c r="I169" s="234"/>
      <c r="J169" s="234"/>
      <c r="K169" s="234"/>
      <c r="L169" s="628"/>
      <c r="M169" s="234"/>
      <c r="N169" s="234"/>
      <c r="O169" s="234"/>
      <c r="P169" s="375"/>
      <c r="Q169" s="375"/>
      <c r="R169" s="375"/>
      <c r="S169" s="375"/>
      <c r="T169" s="375"/>
      <c r="U169" s="375"/>
    </row>
    <row r="170" spans="2:21">
      <c r="B170" s="129" t="s">
        <v>761</v>
      </c>
      <c r="C170" s="156">
        <v>4524</v>
      </c>
      <c r="D170" s="156">
        <v>6585</v>
      </c>
      <c r="E170" s="156">
        <v>11749</v>
      </c>
      <c r="F170" s="156">
        <v>7059</v>
      </c>
      <c r="G170" s="156">
        <v>12736</v>
      </c>
      <c r="H170" s="156">
        <v>16740</v>
      </c>
      <c r="I170" s="156">
        <v>17968</v>
      </c>
      <c r="J170" s="156">
        <v>14039</v>
      </c>
      <c r="K170" s="156">
        <v>7110</v>
      </c>
      <c r="L170" s="370">
        <v>595971</v>
      </c>
      <c r="M170" s="156">
        <v>757278</v>
      </c>
      <c r="N170" s="156">
        <v>1320153</v>
      </c>
      <c r="O170" s="156">
        <v>799542</v>
      </c>
      <c r="P170" s="371">
        <v>2067337</v>
      </c>
      <c r="Q170" s="371">
        <v>853688</v>
      </c>
      <c r="R170" s="371">
        <v>1090994</v>
      </c>
      <c r="S170" s="371">
        <v>231301</v>
      </c>
      <c r="T170" s="371">
        <v>282632</v>
      </c>
      <c r="U170" s="371">
        <v>316445</v>
      </c>
    </row>
    <row r="171" spans="2:21">
      <c r="B171" s="129" t="s">
        <v>693</v>
      </c>
      <c r="C171" s="156">
        <v>336138</v>
      </c>
      <c r="D171" s="156">
        <v>610066</v>
      </c>
      <c r="E171" s="156">
        <v>716226</v>
      </c>
      <c r="F171" s="156">
        <v>843828</v>
      </c>
      <c r="G171" s="156">
        <v>1591227</v>
      </c>
      <c r="H171" s="156">
        <v>680909</v>
      </c>
      <c r="I171" s="156">
        <v>1087284</v>
      </c>
      <c r="J171" s="156">
        <v>1330308</v>
      </c>
      <c r="K171" s="156">
        <v>1197427</v>
      </c>
      <c r="L171" s="370">
        <v>2068611</v>
      </c>
      <c r="M171" s="156">
        <v>511984</v>
      </c>
      <c r="N171" s="156">
        <v>565480</v>
      </c>
      <c r="O171" s="156">
        <v>541218</v>
      </c>
      <c r="P171" s="371">
        <v>453557</v>
      </c>
      <c r="Q171" s="371">
        <v>469733</v>
      </c>
      <c r="R171" s="371">
        <v>724512</v>
      </c>
      <c r="S171" s="371">
        <v>976156</v>
      </c>
      <c r="T171" s="371">
        <v>813634</v>
      </c>
      <c r="U171" s="371">
        <v>882793</v>
      </c>
    </row>
    <row r="172" spans="2:21">
      <c r="B172" s="129" t="s">
        <v>762</v>
      </c>
      <c r="C172" s="156">
        <v>83117</v>
      </c>
      <c r="D172" s="156">
        <v>287868</v>
      </c>
      <c r="E172" s="156">
        <v>230726.7178499999</v>
      </c>
      <c r="F172" s="156">
        <v>315405</v>
      </c>
      <c r="G172" s="156">
        <v>246775</v>
      </c>
      <c r="H172" s="156">
        <v>270923</v>
      </c>
      <c r="I172" s="156">
        <v>276793</v>
      </c>
      <c r="J172" s="156">
        <v>293727</v>
      </c>
      <c r="K172" s="156">
        <v>248303</v>
      </c>
      <c r="L172" s="370">
        <v>256674</v>
      </c>
      <c r="M172" s="156">
        <v>281522</v>
      </c>
      <c r="N172" s="156">
        <v>1181589</v>
      </c>
      <c r="O172" s="156">
        <v>632473</v>
      </c>
      <c r="P172" s="371">
        <v>658932</v>
      </c>
      <c r="Q172" s="371">
        <v>692135</v>
      </c>
      <c r="R172" s="371">
        <v>594163</v>
      </c>
      <c r="S172" s="371">
        <v>327586</v>
      </c>
      <c r="T172" s="371">
        <v>324875</v>
      </c>
      <c r="U172" s="371">
        <v>352894</v>
      </c>
    </row>
    <row r="173" spans="2:21">
      <c r="B173" s="129" t="s">
        <v>763</v>
      </c>
      <c r="C173" s="156">
        <v>16700</v>
      </c>
      <c r="D173" s="156">
        <v>18831</v>
      </c>
      <c r="E173" s="156">
        <v>17085</v>
      </c>
      <c r="F173" s="156">
        <v>16396</v>
      </c>
      <c r="G173" s="156">
        <v>16099</v>
      </c>
      <c r="H173" s="156">
        <v>20365</v>
      </c>
      <c r="I173" s="156">
        <v>18709</v>
      </c>
      <c r="J173" s="156">
        <v>15935</v>
      </c>
      <c r="K173" s="156">
        <v>15742</v>
      </c>
      <c r="L173" s="370">
        <v>14942</v>
      </c>
      <c r="M173" s="156">
        <v>15165</v>
      </c>
      <c r="N173" s="156">
        <v>14959</v>
      </c>
      <c r="O173" s="156">
        <v>17505</v>
      </c>
      <c r="P173" s="371">
        <v>22652</v>
      </c>
      <c r="Q173" s="371">
        <v>20707</v>
      </c>
      <c r="R173" s="371">
        <v>21090</v>
      </c>
      <c r="S173" s="371">
        <v>22097</v>
      </c>
      <c r="T173" s="371">
        <v>18767</v>
      </c>
      <c r="U173" s="371">
        <v>23287</v>
      </c>
    </row>
    <row r="174" spans="2:21">
      <c r="B174" s="129" t="s">
        <v>764</v>
      </c>
      <c r="C174" s="156">
        <v>0</v>
      </c>
      <c r="D174" s="156">
        <v>4307</v>
      </c>
      <c r="E174" s="156">
        <v>0</v>
      </c>
      <c r="F174" s="156">
        <v>0</v>
      </c>
      <c r="G174" s="156">
        <v>9512</v>
      </c>
      <c r="H174" s="156">
        <v>14879</v>
      </c>
      <c r="I174" s="156">
        <v>16631</v>
      </c>
      <c r="J174" s="156">
        <v>19974</v>
      </c>
      <c r="K174" s="156">
        <v>25639</v>
      </c>
      <c r="L174" s="370">
        <v>17452</v>
      </c>
      <c r="M174" s="156">
        <v>9681</v>
      </c>
      <c r="N174" s="156">
        <v>19543</v>
      </c>
      <c r="O174" s="156">
        <v>19717</v>
      </c>
      <c r="P174" s="371">
        <v>22259</v>
      </c>
      <c r="Q174" s="371">
        <v>19330</v>
      </c>
      <c r="R174" s="371">
        <v>20505</v>
      </c>
      <c r="S174" s="371">
        <v>35823</v>
      </c>
      <c r="T174" s="371">
        <v>45134</v>
      </c>
      <c r="U174" s="371">
        <v>49667</v>
      </c>
    </row>
    <row r="175" spans="2:21">
      <c r="B175" s="129" t="s">
        <v>765</v>
      </c>
      <c r="C175" s="156">
        <v>17531</v>
      </c>
      <c r="D175" s="156">
        <v>14162</v>
      </c>
      <c r="E175" s="156">
        <v>132735</v>
      </c>
      <c r="F175" s="156">
        <v>216638</v>
      </c>
      <c r="G175" s="156">
        <v>314092</v>
      </c>
      <c r="H175" s="156">
        <v>29521</v>
      </c>
      <c r="I175" s="156">
        <v>84201</v>
      </c>
      <c r="J175" s="156">
        <v>169403</v>
      </c>
      <c r="K175" s="156">
        <v>215694</v>
      </c>
      <c r="L175" s="370">
        <v>32335</v>
      </c>
      <c r="M175" s="156">
        <v>43483</v>
      </c>
      <c r="N175" s="156">
        <v>84600</v>
      </c>
      <c r="O175" s="156">
        <v>210886</v>
      </c>
      <c r="P175" s="371">
        <v>28807</v>
      </c>
      <c r="Q175" s="371">
        <v>72195</v>
      </c>
      <c r="R175" s="371">
        <v>107737</v>
      </c>
      <c r="S175" s="371">
        <v>149273</v>
      </c>
      <c r="T175" s="371">
        <v>72150</v>
      </c>
      <c r="U175" s="371">
        <v>96648</v>
      </c>
    </row>
    <row r="176" spans="2:21">
      <c r="B176" s="129" t="s">
        <v>697</v>
      </c>
      <c r="C176" s="156">
        <v>0</v>
      </c>
      <c r="D176" s="156">
        <v>2611</v>
      </c>
      <c r="E176" s="156">
        <v>0</v>
      </c>
      <c r="F176" s="156">
        <v>0</v>
      </c>
      <c r="G176" s="156">
        <v>0</v>
      </c>
      <c r="H176" s="156">
        <v>0</v>
      </c>
      <c r="I176" s="156">
        <v>0</v>
      </c>
      <c r="J176" s="156">
        <v>0</v>
      </c>
      <c r="K176" s="156">
        <v>67372</v>
      </c>
      <c r="L176" s="370">
        <v>19202</v>
      </c>
      <c r="M176" s="156">
        <v>228664</v>
      </c>
      <c r="N176" s="156">
        <v>255557</v>
      </c>
      <c r="O176" s="156">
        <v>14138</v>
      </c>
      <c r="P176" s="371">
        <v>12368</v>
      </c>
      <c r="Q176" s="371">
        <v>7507</v>
      </c>
      <c r="R176" s="371">
        <v>2259</v>
      </c>
      <c r="S176" s="371">
        <v>0</v>
      </c>
      <c r="T176" s="371">
        <v>200</v>
      </c>
      <c r="U176" s="371">
        <v>0</v>
      </c>
    </row>
    <row r="177" spans="2:21">
      <c r="B177" s="129" t="s">
        <v>766</v>
      </c>
      <c r="C177" s="156">
        <v>23518</v>
      </c>
      <c r="D177" s="156">
        <v>0</v>
      </c>
      <c r="E177" s="156">
        <v>0</v>
      </c>
      <c r="F177" s="156">
        <v>0</v>
      </c>
      <c r="G177" s="156">
        <v>0</v>
      </c>
      <c r="H177" s="156">
        <v>0</v>
      </c>
      <c r="I177" s="156">
        <v>0</v>
      </c>
      <c r="J177" s="156">
        <v>0</v>
      </c>
      <c r="K177" s="156">
        <v>0</v>
      </c>
      <c r="L177" s="371">
        <v>0</v>
      </c>
      <c r="M177" s="242">
        <v>0</v>
      </c>
      <c r="N177" s="242">
        <v>0</v>
      </c>
      <c r="O177" s="242">
        <v>0</v>
      </c>
      <c r="P177" s="371" t="s">
        <v>470</v>
      </c>
      <c r="Q177" s="371" t="s">
        <v>470</v>
      </c>
      <c r="R177" s="371" t="s">
        <v>470</v>
      </c>
      <c r="S177" s="371" t="s">
        <v>470</v>
      </c>
      <c r="T177" s="371">
        <v>0</v>
      </c>
      <c r="U177" s="371">
        <v>0</v>
      </c>
    </row>
    <row r="178" spans="2:21">
      <c r="B178" s="129" t="s">
        <v>767</v>
      </c>
      <c r="C178" s="156">
        <v>18041</v>
      </c>
      <c r="D178" s="156">
        <v>902.90506000000005</v>
      </c>
      <c r="E178" s="156">
        <v>490.49568999999974</v>
      </c>
      <c r="F178" s="156">
        <v>825</v>
      </c>
      <c r="G178" s="156">
        <v>423</v>
      </c>
      <c r="H178" s="156">
        <v>323</v>
      </c>
      <c r="I178" s="156">
        <v>4276</v>
      </c>
      <c r="J178" s="156">
        <v>9056</v>
      </c>
      <c r="K178" s="156">
        <v>9265</v>
      </c>
      <c r="L178" s="370">
        <v>703</v>
      </c>
      <c r="M178" s="156">
        <v>917</v>
      </c>
      <c r="N178" s="156">
        <v>1013</v>
      </c>
      <c r="O178" s="156">
        <v>580</v>
      </c>
      <c r="P178" s="371">
        <v>5649</v>
      </c>
      <c r="Q178" s="371">
        <v>14771</v>
      </c>
      <c r="R178" s="371">
        <v>15206</v>
      </c>
      <c r="S178" s="371">
        <v>10966</v>
      </c>
      <c r="T178" s="371">
        <v>78913</v>
      </c>
      <c r="U178" s="371">
        <v>79038</v>
      </c>
    </row>
    <row r="179" spans="2:21">
      <c r="B179" s="129" t="s">
        <v>768</v>
      </c>
      <c r="C179" s="156">
        <v>10303</v>
      </c>
      <c r="D179" s="156">
        <v>4607</v>
      </c>
      <c r="E179" s="156">
        <v>40927</v>
      </c>
      <c r="F179" s="156">
        <v>22245</v>
      </c>
      <c r="G179" s="156">
        <v>13145</v>
      </c>
      <c r="H179" s="156">
        <v>8384</v>
      </c>
      <c r="I179" s="156">
        <v>34841</v>
      </c>
      <c r="J179" s="156">
        <v>24862</v>
      </c>
      <c r="K179" s="156">
        <v>14657</v>
      </c>
      <c r="L179" s="370">
        <v>4677</v>
      </c>
      <c r="M179" s="156">
        <v>33212</v>
      </c>
      <c r="N179" s="156">
        <v>24292</v>
      </c>
      <c r="O179" s="156">
        <v>15324</v>
      </c>
      <c r="P179" s="371">
        <v>6400</v>
      </c>
      <c r="Q179" s="371">
        <v>36595</v>
      </c>
      <c r="R179" s="371">
        <v>28473</v>
      </c>
      <c r="S179" s="371">
        <v>18009</v>
      </c>
      <c r="T179" s="371">
        <v>11619</v>
      </c>
      <c r="U179" s="371">
        <v>43747</v>
      </c>
    </row>
    <row r="180" spans="2:21">
      <c r="B180" s="129" t="s">
        <v>769</v>
      </c>
      <c r="C180" s="156">
        <v>0</v>
      </c>
      <c r="D180" s="156">
        <v>1141</v>
      </c>
      <c r="E180" s="156">
        <v>0</v>
      </c>
      <c r="F180" s="156">
        <v>0</v>
      </c>
      <c r="G180" s="156">
        <v>1211</v>
      </c>
      <c r="H180" s="156">
        <v>1787</v>
      </c>
      <c r="I180" s="156">
        <v>1814</v>
      </c>
      <c r="J180" s="156">
        <v>1833</v>
      </c>
      <c r="K180" s="156">
        <v>1862</v>
      </c>
      <c r="L180" s="370">
        <v>1876</v>
      </c>
      <c r="M180" s="156">
        <v>1887</v>
      </c>
      <c r="N180" s="156">
        <v>1894</v>
      </c>
      <c r="O180" s="156">
        <v>1892</v>
      </c>
      <c r="P180" s="371">
        <v>1808</v>
      </c>
      <c r="Q180" s="371">
        <v>3873</v>
      </c>
      <c r="R180" s="371">
        <v>3866</v>
      </c>
      <c r="S180" s="371">
        <v>3931</v>
      </c>
      <c r="T180" s="371">
        <v>3952</v>
      </c>
      <c r="U180" s="371">
        <v>4017</v>
      </c>
    </row>
    <row r="181" spans="2:21">
      <c r="B181" s="129" t="s">
        <v>701</v>
      </c>
      <c r="C181" s="156">
        <v>49486</v>
      </c>
      <c r="D181" s="156">
        <v>42433</v>
      </c>
      <c r="E181" s="156">
        <v>66666</v>
      </c>
      <c r="F181" s="156">
        <v>83296</v>
      </c>
      <c r="G181" s="156">
        <v>41921</v>
      </c>
      <c r="H181" s="156">
        <v>48818</v>
      </c>
      <c r="I181" s="156">
        <v>43681</v>
      </c>
      <c r="J181" s="156">
        <v>41017</v>
      </c>
      <c r="K181" s="156">
        <v>36844</v>
      </c>
      <c r="L181" s="370">
        <v>41133</v>
      </c>
      <c r="M181" s="156">
        <v>39483</v>
      </c>
      <c r="N181" s="156">
        <v>76935</v>
      </c>
      <c r="O181" s="156">
        <v>71323</v>
      </c>
      <c r="P181" s="371">
        <v>69415</v>
      </c>
      <c r="Q181" s="371">
        <v>56067</v>
      </c>
      <c r="R181" s="371">
        <v>72492</v>
      </c>
      <c r="S181" s="371">
        <v>65642</v>
      </c>
      <c r="T181" s="371">
        <v>59975</v>
      </c>
      <c r="U181" s="371">
        <v>54712</v>
      </c>
    </row>
    <row r="182" spans="2:21">
      <c r="B182" s="231"/>
      <c r="C182" s="239">
        <f t="shared" ref="C182:T182" si="43">SUM(C170:C181)</f>
        <v>559358</v>
      </c>
      <c r="D182" s="239">
        <f t="shared" si="43"/>
        <v>993513.90506000002</v>
      </c>
      <c r="E182" s="239">
        <f t="shared" si="43"/>
        <v>1216605.2135399999</v>
      </c>
      <c r="F182" s="239">
        <f t="shared" si="43"/>
        <v>1505692</v>
      </c>
      <c r="G182" s="239">
        <f t="shared" si="43"/>
        <v>2247141</v>
      </c>
      <c r="H182" s="239">
        <f t="shared" si="43"/>
        <v>1092649</v>
      </c>
      <c r="I182" s="239">
        <f t="shared" si="43"/>
        <v>1586198</v>
      </c>
      <c r="J182" s="239">
        <f t="shared" si="43"/>
        <v>1920154</v>
      </c>
      <c r="K182" s="239">
        <f t="shared" si="43"/>
        <v>1839915</v>
      </c>
      <c r="L182" s="232">
        <f t="shared" si="43"/>
        <v>3053576</v>
      </c>
      <c r="M182" s="239">
        <f t="shared" si="43"/>
        <v>1923276</v>
      </c>
      <c r="N182" s="239">
        <f t="shared" si="43"/>
        <v>3546015</v>
      </c>
      <c r="O182" s="239">
        <f t="shared" si="43"/>
        <v>2324598</v>
      </c>
      <c r="P182" s="374">
        <f t="shared" si="43"/>
        <v>3349184</v>
      </c>
      <c r="Q182" s="374">
        <f t="shared" si="43"/>
        <v>2246601</v>
      </c>
      <c r="R182" s="374">
        <f t="shared" si="43"/>
        <v>2681297</v>
      </c>
      <c r="S182" s="374">
        <f t="shared" si="43"/>
        <v>1840784</v>
      </c>
      <c r="T182" s="374">
        <f t="shared" si="43"/>
        <v>1711851</v>
      </c>
      <c r="U182" s="374">
        <v>1903248</v>
      </c>
    </row>
    <row r="183" spans="2:21">
      <c r="B183" s="233" t="s">
        <v>770</v>
      </c>
      <c r="C183" s="234"/>
      <c r="D183" s="234"/>
      <c r="E183" s="234"/>
      <c r="F183" s="233"/>
      <c r="G183" s="234"/>
      <c r="H183" s="234"/>
      <c r="I183" s="234"/>
      <c r="J183" s="234"/>
      <c r="K183" s="234"/>
      <c r="L183" s="628"/>
      <c r="M183" s="234"/>
      <c r="N183" s="234"/>
      <c r="O183" s="234"/>
      <c r="P183" s="375"/>
      <c r="Q183" s="375"/>
      <c r="R183" s="375"/>
      <c r="S183" s="375"/>
      <c r="T183" s="375"/>
      <c r="U183" s="375"/>
    </row>
    <row r="184" spans="2:21">
      <c r="B184" s="240" t="s">
        <v>771</v>
      </c>
      <c r="C184" s="241"/>
      <c r="D184" s="241"/>
      <c r="E184" s="241"/>
      <c r="F184" s="241"/>
      <c r="G184" s="241"/>
      <c r="H184" s="241"/>
      <c r="I184" s="241"/>
      <c r="J184" s="241"/>
      <c r="K184" s="241"/>
      <c r="L184" s="637"/>
      <c r="M184" s="241"/>
      <c r="N184" s="241"/>
      <c r="O184" s="241"/>
      <c r="P184" s="380"/>
      <c r="Q184" s="380"/>
      <c r="R184" s="380"/>
      <c r="S184" s="380"/>
      <c r="T184" s="380"/>
    </row>
    <row r="185" spans="2:21">
      <c r="B185" s="129" t="s">
        <v>769</v>
      </c>
      <c r="C185" s="156">
        <v>0</v>
      </c>
      <c r="D185" s="156">
        <v>35674</v>
      </c>
      <c r="E185" s="156">
        <v>0</v>
      </c>
      <c r="F185" s="156">
        <v>0</v>
      </c>
      <c r="G185" s="156">
        <v>43818</v>
      </c>
      <c r="H185" s="156">
        <v>42268</v>
      </c>
      <c r="I185" s="156">
        <v>44888</v>
      </c>
      <c r="J185" s="156">
        <v>47771</v>
      </c>
      <c r="K185" s="156">
        <v>47245</v>
      </c>
      <c r="L185" s="370">
        <v>46515</v>
      </c>
      <c r="M185" s="156">
        <v>46649</v>
      </c>
      <c r="N185" s="156">
        <v>46926</v>
      </c>
      <c r="O185" s="156">
        <v>46981</v>
      </c>
      <c r="P185" s="371">
        <v>46903</v>
      </c>
      <c r="Q185" s="371">
        <v>40249</v>
      </c>
      <c r="R185" s="371">
        <v>37057</v>
      </c>
      <c r="S185" s="371">
        <v>38409</v>
      </c>
      <c r="T185" s="371">
        <v>38968</v>
      </c>
      <c r="U185" s="371">
        <v>39521</v>
      </c>
    </row>
    <row r="186" spans="2:21">
      <c r="B186" s="129" t="s">
        <v>762</v>
      </c>
      <c r="C186" s="156">
        <v>9117</v>
      </c>
      <c r="D186" s="156">
        <v>20329</v>
      </c>
      <c r="E186" s="156">
        <v>14973.786459999159</v>
      </c>
      <c r="F186" s="156">
        <v>20664</v>
      </c>
      <c r="G186" s="156">
        <v>9769</v>
      </c>
      <c r="H186" s="156">
        <v>10575</v>
      </c>
      <c r="I186" s="156">
        <v>10666</v>
      </c>
      <c r="J186" s="156">
        <v>10594</v>
      </c>
      <c r="K186" s="156">
        <v>10663</v>
      </c>
      <c r="L186" s="370">
        <v>10679</v>
      </c>
      <c r="M186" s="156">
        <v>10700</v>
      </c>
      <c r="N186" s="156">
        <v>10726</v>
      </c>
      <c r="O186" s="156">
        <v>578837</v>
      </c>
      <c r="P186" s="371">
        <v>498309</v>
      </c>
      <c r="Q186" s="371">
        <v>417349</v>
      </c>
      <c r="R186" s="371">
        <v>336573</v>
      </c>
      <c r="S186" s="371">
        <v>551165</v>
      </c>
      <c r="T186" s="371">
        <v>524184</v>
      </c>
      <c r="U186" s="371">
        <v>497288</v>
      </c>
    </row>
    <row r="187" spans="2:21">
      <c r="B187" s="129" t="s">
        <v>772</v>
      </c>
      <c r="C187" s="156">
        <v>1150358</v>
      </c>
      <c r="D187" s="156">
        <v>1312791</v>
      </c>
      <c r="E187" s="156">
        <v>1363119</v>
      </c>
      <c r="F187" s="156">
        <v>1409142</v>
      </c>
      <c r="G187" s="156">
        <v>1425474</v>
      </c>
      <c r="H187" s="156">
        <v>1426083</v>
      </c>
      <c r="I187" s="156">
        <v>1426613</v>
      </c>
      <c r="J187" s="156">
        <v>1473391</v>
      </c>
      <c r="K187" s="156">
        <v>1518151</v>
      </c>
      <c r="L187" s="370">
        <v>1576332</v>
      </c>
      <c r="M187" s="156">
        <v>1620971</v>
      </c>
      <c r="N187" s="156">
        <v>1668555</v>
      </c>
      <c r="O187" s="156">
        <v>1724394</v>
      </c>
      <c r="P187" s="371">
        <v>1778999</v>
      </c>
      <c r="Q187" s="371">
        <v>1821503</v>
      </c>
      <c r="R187" s="371">
        <v>1868048</v>
      </c>
      <c r="S187" s="371">
        <v>1911094</v>
      </c>
      <c r="T187" s="371">
        <v>1967747</v>
      </c>
      <c r="U187" s="371">
        <v>2013021</v>
      </c>
    </row>
    <row r="188" spans="2:21">
      <c r="B188" s="129" t="s">
        <v>773</v>
      </c>
      <c r="C188" s="156">
        <v>229085</v>
      </c>
      <c r="D188" s="156" t="s">
        <v>470</v>
      </c>
      <c r="E188" s="156" t="s">
        <v>470</v>
      </c>
      <c r="F188" s="156" t="s">
        <v>470</v>
      </c>
      <c r="G188" s="156" t="s">
        <v>470</v>
      </c>
      <c r="H188" s="156" t="s">
        <v>470</v>
      </c>
      <c r="I188" s="156" t="s">
        <v>470</v>
      </c>
      <c r="J188" s="156" t="s">
        <v>470</v>
      </c>
      <c r="K188" s="242" t="s">
        <v>470</v>
      </c>
      <c r="L188" s="370">
        <v>242</v>
      </c>
      <c r="M188" s="242" t="s">
        <v>470</v>
      </c>
      <c r="N188" s="242" t="s">
        <v>470</v>
      </c>
      <c r="O188" s="156">
        <v>0</v>
      </c>
      <c r="P188" s="371" t="s">
        <v>470</v>
      </c>
      <c r="Q188" s="371" t="s">
        <v>470</v>
      </c>
      <c r="R188" s="371">
        <v>2436</v>
      </c>
      <c r="S188" s="371">
        <v>1117</v>
      </c>
      <c r="T188" s="371">
        <v>0</v>
      </c>
      <c r="U188" s="371">
        <v>286</v>
      </c>
    </row>
    <row r="189" spans="2:21">
      <c r="B189" s="129" t="s">
        <v>766</v>
      </c>
      <c r="C189" s="156">
        <v>0</v>
      </c>
      <c r="D189" s="156">
        <v>0</v>
      </c>
      <c r="E189" s="156">
        <v>0</v>
      </c>
      <c r="F189" s="156">
        <v>0</v>
      </c>
      <c r="G189" s="156">
        <v>0</v>
      </c>
      <c r="H189" s="156">
        <v>0</v>
      </c>
      <c r="I189" s="156">
        <v>76</v>
      </c>
      <c r="J189" s="156">
        <v>329</v>
      </c>
      <c r="K189" s="156">
        <v>2226</v>
      </c>
      <c r="L189" s="378" t="s">
        <v>470</v>
      </c>
      <c r="M189" s="156">
        <v>0</v>
      </c>
      <c r="N189" s="156">
        <v>0</v>
      </c>
      <c r="O189" s="156">
        <v>0</v>
      </c>
      <c r="P189" s="371" t="s">
        <v>470</v>
      </c>
      <c r="Q189" s="371">
        <v>41074</v>
      </c>
      <c r="R189" s="371" t="s">
        <v>470</v>
      </c>
      <c r="S189" s="371" t="s">
        <v>470</v>
      </c>
      <c r="T189" s="371">
        <v>0</v>
      </c>
      <c r="U189" s="371">
        <v>0</v>
      </c>
    </row>
    <row r="190" spans="2:21">
      <c r="B190" s="129" t="s">
        <v>708</v>
      </c>
      <c r="C190" s="156">
        <v>70175</v>
      </c>
      <c r="D190" s="156">
        <v>66414</v>
      </c>
      <c r="E190" s="156">
        <v>66571</v>
      </c>
      <c r="F190" s="156">
        <v>65070</v>
      </c>
      <c r="G190" s="156">
        <v>66816</v>
      </c>
      <c r="H190" s="156">
        <v>66987</v>
      </c>
      <c r="I190" s="156">
        <v>64874</v>
      </c>
      <c r="J190" s="156">
        <v>64007</v>
      </c>
      <c r="K190" s="156">
        <v>58867</v>
      </c>
      <c r="L190" s="370">
        <v>52886</v>
      </c>
      <c r="M190" s="156">
        <v>51597</v>
      </c>
      <c r="N190" s="156">
        <v>49133</v>
      </c>
      <c r="O190" s="156">
        <v>41575</v>
      </c>
      <c r="P190" s="371">
        <v>44119</v>
      </c>
      <c r="Q190" s="371">
        <v>47184</v>
      </c>
      <c r="R190" s="371">
        <v>45671</v>
      </c>
      <c r="S190" s="371">
        <v>45631</v>
      </c>
      <c r="T190" s="371">
        <v>46011</v>
      </c>
      <c r="U190" s="371">
        <v>46437</v>
      </c>
    </row>
    <row r="191" spans="2:21">
      <c r="B191" s="129" t="s">
        <v>709</v>
      </c>
      <c r="C191" s="156">
        <v>0</v>
      </c>
      <c r="D191" s="156">
        <v>0</v>
      </c>
      <c r="E191" s="156">
        <v>0</v>
      </c>
      <c r="F191" s="156">
        <v>0</v>
      </c>
      <c r="G191" s="156">
        <v>0</v>
      </c>
      <c r="H191" s="156">
        <v>105444</v>
      </c>
      <c r="I191" s="156">
        <v>105444</v>
      </c>
      <c r="J191" s="156">
        <v>105444</v>
      </c>
      <c r="K191" s="156">
        <v>105444</v>
      </c>
      <c r="L191" s="370">
        <v>43024</v>
      </c>
      <c r="M191" s="156">
        <v>43024</v>
      </c>
      <c r="N191" s="156">
        <v>43024</v>
      </c>
      <c r="O191" s="156">
        <v>43024</v>
      </c>
      <c r="P191" s="371">
        <v>0</v>
      </c>
      <c r="Q191" s="371">
        <v>0</v>
      </c>
      <c r="R191" s="371">
        <v>0</v>
      </c>
      <c r="S191" s="371">
        <v>0</v>
      </c>
      <c r="T191" s="371">
        <v>0</v>
      </c>
      <c r="U191" s="371">
        <v>0</v>
      </c>
    </row>
    <row r="192" spans="2:21">
      <c r="B192" s="129" t="s">
        <v>697</v>
      </c>
      <c r="C192" s="156">
        <v>0</v>
      </c>
      <c r="D192" s="156">
        <v>0</v>
      </c>
      <c r="E192" s="156">
        <v>0</v>
      </c>
      <c r="F192" s="156">
        <v>11861</v>
      </c>
      <c r="G192" s="156">
        <v>11861</v>
      </c>
      <c r="H192" s="156">
        <v>2643</v>
      </c>
      <c r="I192" s="156">
        <v>10771</v>
      </c>
      <c r="J192" s="156">
        <v>0</v>
      </c>
      <c r="K192" s="156">
        <v>1962</v>
      </c>
      <c r="L192" s="370">
        <v>0</v>
      </c>
      <c r="M192" s="156">
        <v>3068</v>
      </c>
      <c r="N192" s="156">
        <v>3546</v>
      </c>
      <c r="O192" s="156">
        <v>4056</v>
      </c>
      <c r="P192" s="371">
        <v>226</v>
      </c>
      <c r="Q192" s="371">
        <v>18417</v>
      </c>
      <c r="R192" s="371">
        <v>403</v>
      </c>
      <c r="S192" s="371">
        <v>14360</v>
      </c>
      <c r="T192" s="371">
        <v>18250</v>
      </c>
      <c r="U192" s="371">
        <v>0</v>
      </c>
    </row>
    <row r="193" spans="2:21">
      <c r="B193" s="129" t="s">
        <v>774</v>
      </c>
      <c r="C193" s="156">
        <v>0</v>
      </c>
      <c r="D193" s="156">
        <v>0</v>
      </c>
      <c r="E193" s="156">
        <v>0</v>
      </c>
      <c r="F193" s="156">
        <v>0</v>
      </c>
      <c r="G193" s="156">
        <v>0</v>
      </c>
      <c r="H193" s="156">
        <v>0</v>
      </c>
      <c r="I193" s="156">
        <v>0</v>
      </c>
      <c r="J193" s="156">
        <v>0</v>
      </c>
      <c r="K193" s="156">
        <v>0</v>
      </c>
      <c r="L193" s="370">
        <v>0</v>
      </c>
      <c r="M193" s="156">
        <v>12226</v>
      </c>
      <c r="N193" s="156">
        <v>5472</v>
      </c>
      <c r="O193" s="156">
        <v>5080</v>
      </c>
      <c r="P193" s="371">
        <v>7538</v>
      </c>
      <c r="Q193" s="371">
        <v>11984</v>
      </c>
      <c r="R193" s="371">
        <v>16245</v>
      </c>
      <c r="S193" s="371">
        <v>7006</v>
      </c>
      <c r="T193" s="371">
        <v>4738</v>
      </c>
      <c r="U193" s="371">
        <v>2038</v>
      </c>
    </row>
    <row r="194" spans="2:21">
      <c r="B194" s="129" t="s">
        <v>701</v>
      </c>
      <c r="C194" s="156">
        <v>13572</v>
      </c>
      <c r="D194" s="156">
        <v>1000</v>
      </c>
      <c r="E194" s="156">
        <v>43228</v>
      </c>
      <c r="F194" s="156">
        <v>54956</v>
      </c>
      <c r="G194" s="156">
        <v>12490</v>
      </c>
      <c r="H194" s="156">
        <v>1476</v>
      </c>
      <c r="I194" s="156">
        <v>1467</v>
      </c>
      <c r="J194" s="156">
        <v>1458</v>
      </c>
      <c r="K194" s="156">
        <v>1449</v>
      </c>
      <c r="L194" s="370">
        <v>12693</v>
      </c>
      <c r="M194" s="156">
        <v>13700</v>
      </c>
      <c r="N194" s="156">
        <v>103428</v>
      </c>
      <c r="O194" s="156">
        <v>103825</v>
      </c>
      <c r="P194" s="371">
        <v>102772</v>
      </c>
      <c r="Q194" s="371">
        <v>102146</v>
      </c>
      <c r="R194" s="371">
        <v>102557</v>
      </c>
      <c r="S194" s="371">
        <v>102642</v>
      </c>
      <c r="T194" s="371">
        <v>102250</v>
      </c>
      <c r="U194" s="371">
        <v>88025</v>
      </c>
    </row>
    <row r="195" spans="2:21" ht="14.1" customHeight="1">
      <c r="B195" s="231" t="s">
        <v>775</v>
      </c>
      <c r="C195" s="239">
        <f t="shared" ref="C195:N195" si="44">SUM(C185:C194)</f>
        <v>1472307</v>
      </c>
      <c r="D195" s="239">
        <f t="shared" si="44"/>
        <v>1436208</v>
      </c>
      <c r="E195" s="239">
        <f t="shared" si="44"/>
        <v>1487891.7864599992</v>
      </c>
      <c r="F195" s="239">
        <f t="shared" si="44"/>
        <v>1561693</v>
      </c>
      <c r="G195" s="239">
        <f t="shared" si="44"/>
        <v>1570228</v>
      </c>
      <c r="H195" s="239">
        <f t="shared" si="44"/>
        <v>1655476</v>
      </c>
      <c r="I195" s="239">
        <f t="shared" si="44"/>
        <v>1664799</v>
      </c>
      <c r="J195" s="239">
        <f t="shared" si="44"/>
        <v>1702994</v>
      </c>
      <c r="K195" s="239">
        <f t="shared" si="44"/>
        <v>1746007</v>
      </c>
      <c r="L195" s="232">
        <f t="shared" si="44"/>
        <v>1742371</v>
      </c>
      <c r="M195" s="239">
        <f t="shared" si="44"/>
        <v>1801935</v>
      </c>
      <c r="N195" s="239">
        <f t="shared" si="44"/>
        <v>1930810</v>
      </c>
      <c r="O195" s="239">
        <f>SUM(O185:O194)</f>
        <v>2547772</v>
      </c>
      <c r="P195" s="374">
        <f>SUM(P185:P194)</f>
        <v>2478866</v>
      </c>
      <c r="Q195" s="374">
        <f>SUM(Q185:Q194)</f>
        <v>2499906</v>
      </c>
      <c r="R195" s="374">
        <f>SUM(R185:R194)</f>
        <v>2408990</v>
      </c>
      <c r="S195" s="374">
        <f t="shared" ref="S195:T195" si="45">SUM(S185:S194)</f>
        <v>2671424</v>
      </c>
      <c r="T195" s="374">
        <f t="shared" si="45"/>
        <v>2702148</v>
      </c>
      <c r="U195" s="374">
        <v>2686616</v>
      </c>
    </row>
    <row r="196" spans="2:21">
      <c r="B196" s="129" t="s">
        <v>710</v>
      </c>
      <c r="C196" s="156">
        <v>1203699</v>
      </c>
      <c r="D196" s="156">
        <v>1185326</v>
      </c>
      <c r="E196" s="156">
        <v>1218871</v>
      </c>
      <c r="F196" s="156">
        <v>1242101</v>
      </c>
      <c r="G196" s="156">
        <v>1141153</v>
      </c>
      <c r="H196" s="156">
        <v>1150275</v>
      </c>
      <c r="I196" s="156">
        <v>1202280</v>
      </c>
      <c r="J196" s="156">
        <v>1213126</v>
      </c>
      <c r="K196" s="156">
        <v>1253850</v>
      </c>
      <c r="L196" s="370">
        <v>1390300</v>
      </c>
      <c r="M196" s="156">
        <v>1510113</v>
      </c>
      <c r="N196" s="156">
        <v>1515680</v>
      </c>
      <c r="O196" s="156">
        <v>1549139</v>
      </c>
      <c r="P196" s="371">
        <v>1517335</v>
      </c>
      <c r="Q196" s="371">
        <v>1537544</v>
      </c>
      <c r="R196" s="371">
        <v>1549745</v>
      </c>
      <c r="S196" s="371">
        <v>1568124</v>
      </c>
      <c r="T196" s="371">
        <v>1452061</v>
      </c>
      <c r="U196" s="371">
        <v>1495185</v>
      </c>
    </row>
    <row r="197" spans="2:21">
      <c r="B197" s="129" t="s">
        <v>776</v>
      </c>
      <c r="C197" s="156">
        <v>6554702</v>
      </c>
      <c r="D197" s="156">
        <v>7203760</v>
      </c>
      <c r="E197" s="156">
        <v>7336924</v>
      </c>
      <c r="F197" s="156">
        <v>7217789</v>
      </c>
      <c r="G197" s="156">
        <v>7285026</v>
      </c>
      <c r="H197" s="156">
        <v>7095933</v>
      </c>
      <c r="I197" s="156">
        <v>7023767</v>
      </c>
      <c r="J197" s="156">
        <v>7026623</v>
      </c>
      <c r="K197" s="156">
        <v>7047922</v>
      </c>
      <c r="L197" s="370">
        <v>7156235</v>
      </c>
      <c r="M197" s="156">
        <v>7153557</v>
      </c>
      <c r="N197" s="156">
        <v>7151094</v>
      </c>
      <c r="O197" s="156">
        <v>7827146</v>
      </c>
      <c r="P197" s="371">
        <v>7912308</v>
      </c>
      <c r="Q197" s="371">
        <v>8330318</v>
      </c>
      <c r="R197" s="371">
        <v>8654330</v>
      </c>
      <c r="S197" s="371">
        <v>8790703</v>
      </c>
      <c r="T197" s="371">
        <v>8936180</v>
      </c>
      <c r="U197" s="371">
        <v>9313061</v>
      </c>
    </row>
    <row r="198" spans="2:21">
      <c r="B198" s="129" t="s">
        <v>712</v>
      </c>
      <c r="C198" s="156">
        <v>110936</v>
      </c>
      <c r="D198" s="156">
        <v>277941</v>
      </c>
      <c r="E198" s="156">
        <v>137603</v>
      </c>
      <c r="F198" s="156">
        <v>137790</v>
      </c>
      <c r="G198" s="156">
        <v>152216</v>
      </c>
      <c r="H198" s="156">
        <v>295698</v>
      </c>
      <c r="I198" s="156">
        <v>278554</v>
      </c>
      <c r="J198" s="156">
        <v>299428</v>
      </c>
      <c r="K198" s="156">
        <v>302226</v>
      </c>
      <c r="L198" s="370">
        <v>306071</v>
      </c>
      <c r="M198" s="156">
        <v>300500</v>
      </c>
      <c r="N198" s="156">
        <v>302412</v>
      </c>
      <c r="O198" s="156">
        <v>319989</v>
      </c>
      <c r="P198" s="371">
        <v>359753</v>
      </c>
      <c r="Q198" s="371">
        <v>1918001</v>
      </c>
      <c r="R198" s="371">
        <v>1656620</v>
      </c>
      <c r="S198" s="371">
        <v>1626388</v>
      </c>
      <c r="T198" s="371">
        <v>1614997</v>
      </c>
      <c r="U198" s="371">
        <v>1689614</v>
      </c>
    </row>
    <row r="199" spans="2:21">
      <c r="B199" s="231" t="s">
        <v>777</v>
      </c>
      <c r="C199" s="638">
        <f t="shared" ref="C199:N199" si="46">SUM(C196:C198,C185:C194)</f>
        <v>9341644</v>
      </c>
      <c r="D199" s="638">
        <f t="shared" si="46"/>
        <v>10103235</v>
      </c>
      <c r="E199" s="638">
        <f t="shared" si="46"/>
        <v>10181289.786459999</v>
      </c>
      <c r="F199" s="638">
        <f t="shared" si="46"/>
        <v>10159373</v>
      </c>
      <c r="G199" s="638">
        <f t="shared" si="46"/>
        <v>10148623</v>
      </c>
      <c r="H199" s="638">
        <f t="shared" si="46"/>
        <v>10197382</v>
      </c>
      <c r="I199" s="638">
        <f t="shared" si="46"/>
        <v>10169400</v>
      </c>
      <c r="J199" s="638">
        <f t="shared" si="46"/>
        <v>10242171</v>
      </c>
      <c r="K199" s="638">
        <f t="shared" si="46"/>
        <v>10350005</v>
      </c>
      <c r="L199" s="374">
        <f t="shared" si="46"/>
        <v>10594977</v>
      </c>
      <c r="M199" s="638">
        <f t="shared" si="46"/>
        <v>10766105</v>
      </c>
      <c r="N199" s="638">
        <f t="shared" si="46"/>
        <v>10899996</v>
      </c>
      <c r="O199" s="638">
        <f>SUM(O196:O198,O185:O194)</f>
        <v>12244046</v>
      </c>
      <c r="P199" s="374">
        <f>SUM(P196:P198,P185:P194)</f>
        <v>12268262</v>
      </c>
      <c r="Q199" s="374">
        <f>SUM(Q196:Q198,Q185:Q194)</f>
        <v>14285769</v>
      </c>
      <c r="R199" s="374">
        <f>SUM(R196:R198,R185:R194)</f>
        <v>14269685</v>
      </c>
      <c r="S199" s="374">
        <f t="shared" ref="S199:T199" si="47">SUM(S196:S198,S185:S194)</f>
        <v>14656639</v>
      </c>
      <c r="T199" s="374">
        <f t="shared" si="47"/>
        <v>14705386</v>
      </c>
      <c r="U199" s="374">
        <v>15184476</v>
      </c>
    </row>
    <row r="200" spans="2:21">
      <c r="B200" s="231" t="s">
        <v>778</v>
      </c>
      <c r="C200" s="638">
        <f t="shared" ref="C200:T200" si="48">C199+C182</f>
        <v>9901002</v>
      </c>
      <c r="D200" s="638">
        <f t="shared" si="48"/>
        <v>11096748.905060001</v>
      </c>
      <c r="E200" s="638">
        <f t="shared" si="48"/>
        <v>11397895</v>
      </c>
      <c r="F200" s="638">
        <f t="shared" si="48"/>
        <v>11665065</v>
      </c>
      <c r="G200" s="638">
        <f t="shared" si="48"/>
        <v>12395764</v>
      </c>
      <c r="H200" s="638">
        <f t="shared" si="48"/>
        <v>11290031</v>
      </c>
      <c r="I200" s="638">
        <f t="shared" si="48"/>
        <v>11755598</v>
      </c>
      <c r="J200" s="638">
        <f t="shared" si="48"/>
        <v>12162325</v>
      </c>
      <c r="K200" s="638">
        <f t="shared" si="48"/>
        <v>12189920</v>
      </c>
      <c r="L200" s="374">
        <f t="shared" si="48"/>
        <v>13648553</v>
      </c>
      <c r="M200" s="638">
        <f t="shared" si="48"/>
        <v>12689381</v>
      </c>
      <c r="N200" s="638">
        <f t="shared" si="48"/>
        <v>14446011</v>
      </c>
      <c r="O200" s="638">
        <f t="shared" si="48"/>
        <v>14568644</v>
      </c>
      <c r="P200" s="374">
        <f t="shared" si="48"/>
        <v>15617446</v>
      </c>
      <c r="Q200" s="374">
        <f t="shared" si="48"/>
        <v>16532370</v>
      </c>
      <c r="R200" s="374">
        <f t="shared" si="48"/>
        <v>16950982</v>
      </c>
      <c r="S200" s="374">
        <f t="shared" si="48"/>
        <v>16497423</v>
      </c>
      <c r="T200" s="374">
        <f t="shared" si="48"/>
        <v>16417237</v>
      </c>
      <c r="U200" s="374">
        <v>17087724</v>
      </c>
    </row>
    <row r="201" spans="2:21">
      <c r="B201" s="243"/>
      <c r="C201" s="162"/>
      <c r="D201" s="162"/>
      <c r="E201" s="162"/>
      <c r="F201" s="162"/>
      <c r="G201" s="244"/>
      <c r="H201" s="244"/>
      <c r="I201" s="244"/>
      <c r="J201" s="245"/>
      <c r="K201" s="244"/>
      <c r="L201" s="639"/>
      <c r="M201" s="244"/>
      <c r="N201" s="244"/>
      <c r="O201" s="244"/>
      <c r="P201" s="640"/>
      <c r="Q201" s="640"/>
      <c r="R201" s="640"/>
      <c r="S201" s="640"/>
      <c r="T201" s="640"/>
    </row>
    <row r="202" spans="2:21">
      <c r="B202" s="835" t="s">
        <v>715</v>
      </c>
      <c r="C202" s="832" t="s">
        <v>649</v>
      </c>
      <c r="D202" s="832"/>
      <c r="E202" s="832"/>
      <c r="F202" s="832"/>
      <c r="G202" s="832"/>
      <c r="H202" s="832"/>
      <c r="I202" s="832"/>
      <c r="J202" s="832"/>
      <c r="K202" s="832"/>
      <c r="L202" s="832"/>
      <c r="M202" s="832"/>
      <c r="N202" s="832"/>
      <c r="O202" s="832"/>
      <c r="P202" s="832"/>
      <c r="Q202" s="641"/>
      <c r="R202" s="641"/>
      <c r="S202" s="697"/>
      <c r="T202" s="697"/>
      <c r="U202" s="697"/>
    </row>
    <row r="203" spans="2:21">
      <c r="B203" s="835"/>
      <c r="C203" s="235">
        <v>2016</v>
      </c>
      <c r="D203" s="236">
        <v>2017</v>
      </c>
      <c r="E203" s="236" t="s">
        <v>650</v>
      </c>
      <c r="F203" s="236" t="s">
        <v>651</v>
      </c>
      <c r="G203" s="236" t="s">
        <v>652</v>
      </c>
      <c r="H203" s="236" t="s">
        <v>653</v>
      </c>
      <c r="I203" s="236" t="s">
        <v>654</v>
      </c>
      <c r="J203" s="236" t="s">
        <v>655</v>
      </c>
      <c r="K203" s="236" t="s">
        <v>656</v>
      </c>
      <c r="L203" s="631" t="s">
        <v>657</v>
      </c>
      <c r="M203" s="236" t="s">
        <v>658</v>
      </c>
      <c r="N203" s="236" t="s">
        <v>659</v>
      </c>
      <c r="O203" s="236" t="s">
        <v>626</v>
      </c>
      <c r="P203" s="376" t="s">
        <v>958</v>
      </c>
      <c r="Q203" s="376" t="s">
        <v>1014</v>
      </c>
      <c r="R203" s="376" t="s">
        <v>1048</v>
      </c>
      <c r="S203" s="376" t="s">
        <v>1187</v>
      </c>
      <c r="T203" s="376" t="s">
        <v>1239</v>
      </c>
      <c r="U203" s="376" t="s">
        <v>1292</v>
      </c>
    </row>
    <row r="204" spans="2:21">
      <c r="B204" s="233" t="s">
        <v>779</v>
      </c>
      <c r="C204" s="234"/>
      <c r="D204" s="234"/>
      <c r="E204" s="234"/>
      <c r="F204" s="233"/>
      <c r="G204" s="234"/>
      <c r="H204" s="234"/>
      <c r="I204" s="234"/>
      <c r="J204" s="234"/>
      <c r="K204" s="234"/>
      <c r="L204" s="628"/>
      <c r="M204" s="234"/>
      <c r="N204" s="234"/>
      <c r="O204" s="234"/>
      <c r="P204" s="375"/>
      <c r="Q204" s="375"/>
      <c r="R204" s="375"/>
      <c r="S204" s="375"/>
      <c r="T204" s="375"/>
      <c r="U204" s="375"/>
    </row>
    <row r="205" spans="2:21">
      <c r="B205" s="129" t="s">
        <v>780</v>
      </c>
      <c r="C205" s="156">
        <v>71679</v>
      </c>
      <c r="D205" s="156">
        <v>268588</v>
      </c>
      <c r="E205" s="156">
        <v>261786</v>
      </c>
      <c r="F205" s="156">
        <v>287106</v>
      </c>
      <c r="G205" s="156">
        <v>98254</v>
      </c>
      <c r="H205" s="156">
        <v>334067</v>
      </c>
      <c r="I205" s="156">
        <v>344159</v>
      </c>
      <c r="J205" s="156">
        <v>337890</v>
      </c>
      <c r="K205" s="156">
        <v>981588</v>
      </c>
      <c r="L205" s="370">
        <v>709928</v>
      </c>
      <c r="M205" s="156">
        <v>886355</v>
      </c>
      <c r="N205" s="156">
        <v>919444</v>
      </c>
      <c r="O205" s="156">
        <v>96334</v>
      </c>
      <c r="P205" s="371">
        <v>94628</v>
      </c>
      <c r="Q205" s="371">
        <v>461788</v>
      </c>
      <c r="R205" s="371">
        <v>1113809</v>
      </c>
      <c r="S205" s="371">
        <v>737590</v>
      </c>
      <c r="T205" s="371">
        <v>741848</v>
      </c>
      <c r="U205" s="371">
        <v>751685</v>
      </c>
    </row>
    <row r="206" spans="2:21">
      <c r="B206" s="129" t="s">
        <v>781</v>
      </c>
      <c r="C206" s="156">
        <v>192368</v>
      </c>
      <c r="D206" s="156">
        <v>182852</v>
      </c>
      <c r="E206" s="156">
        <v>183773</v>
      </c>
      <c r="F206" s="156">
        <v>183474</v>
      </c>
      <c r="G206" s="156">
        <v>197107</v>
      </c>
      <c r="H206" s="156">
        <v>23707</v>
      </c>
      <c r="I206" s="156">
        <v>22436</v>
      </c>
      <c r="J206" s="156">
        <v>15931</v>
      </c>
      <c r="K206" s="156">
        <v>26097</v>
      </c>
      <c r="L206" s="370">
        <v>367508</v>
      </c>
      <c r="M206" s="156">
        <v>371913</v>
      </c>
      <c r="N206" s="156">
        <v>363141</v>
      </c>
      <c r="O206" s="156">
        <v>542316</v>
      </c>
      <c r="P206" s="371">
        <v>217948</v>
      </c>
      <c r="Q206" s="371">
        <v>245489</v>
      </c>
      <c r="R206" s="371">
        <v>242011</v>
      </c>
      <c r="S206" s="371">
        <v>96144</v>
      </c>
      <c r="T206" s="371">
        <v>59341</v>
      </c>
      <c r="U206" s="371">
        <v>108342</v>
      </c>
    </row>
    <row r="207" spans="2:21">
      <c r="B207" s="129" t="s">
        <v>719</v>
      </c>
      <c r="C207" s="156">
        <v>0</v>
      </c>
      <c r="D207" s="156">
        <v>0</v>
      </c>
      <c r="E207" s="156">
        <v>0</v>
      </c>
      <c r="F207" s="156">
        <v>0</v>
      </c>
      <c r="G207" s="156">
        <v>0</v>
      </c>
      <c r="H207" s="156">
        <v>0</v>
      </c>
      <c r="I207" s="156">
        <v>0</v>
      </c>
      <c r="J207" s="156">
        <v>0</v>
      </c>
      <c r="K207" s="156">
        <v>293</v>
      </c>
      <c r="L207" s="370">
        <v>282</v>
      </c>
      <c r="M207" s="156">
        <v>240</v>
      </c>
      <c r="N207" s="156">
        <v>194</v>
      </c>
      <c r="O207" s="156">
        <v>141</v>
      </c>
      <c r="P207" s="371">
        <v>81</v>
      </c>
      <c r="Q207" s="371">
        <v>81</v>
      </c>
      <c r="R207" s="371">
        <v>63</v>
      </c>
      <c r="S207" s="371">
        <v>46</v>
      </c>
      <c r="T207" s="371">
        <v>28</v>
      </c>
      <c r="U207" s="371">
        <v>11703</v>
      </c>
    </row>
    <row r="208" spans="2:21">
      <c r="B208" s="129" t="s">
        <v>1070</v>
      </c>
      <c r="C208" s="156"/>
      <c r="D208" s="156"/>
      <c r="E208" s="156"/>
      <c r="F208" s="156"/>
      <c r="G208" s="156"/>
      <c r="H208" s="156"/>
      <c r="I208" s="156"/>
      <c r="J208" s="156"/>
      <c r="K208" s="156"/>
      <c r="L208" s="371" t="s">
        <v>470</v>
      </c>
      <c r="M208" s="371" t="s">
        <v>470</v>
      </c>
      <c r="N208" s="371" t="s">
        <v>470</v>
      </c>
      <c r="O208" s="371" t="s">
        <v>470</v>
      </c>
      <c r="P208" s="371">
        <v>2578</v>
      </c>
      <c r="Q208" s="371">
        <v>0</v>
      </c>
      <c r="R208" s="371">
        <v>0</v>
      </c>
      <c r="S208" s="371">
        <v>0</v>
      </c>
      <c r="T208" s="371">
        <v>1931</v>
      </c>
      <c r="U208" s="371">
        <v>18142</v>
      </c>
    </row>
    <row r="209" spans="2:21">
      <c r="B209" s="129" t="s">
        <v>720</v>
      </c>
      <c r="C209" s="156">
        <v>41482</v>
      </c>
      <c r="D209" s="156">
        <v>69923</v>
      </c>
      <c r="E209" s="156">
        <v>49255</v>
      </c>
      <c r="F209" s="156">
        <v>58806</v>
      </c>
      <c r="G209" s="156">
        <v>68022</v>
      </c>
      <c r="H209" s="156">
        <v>88358</v>
      </c>
      <c r="I209" s="156">
        <v>72276</v>
      </c>
      <c r="J209" s="156">
        <v>70721</v>
      </c>
      <c r="K209" s="156">
        <v>72057</v>
      </c>
      <c r="L209" s="370">
        <v>167774</v>
      </c>
      <c r="M209" s="156">
        <v>167858</v>
      </c>
      <c r="N209" s="156">
        <v>139217</v>
      </c>
      <c r="O209" s="156">
        <v>112304</v>
      </c>
      <c r="P209" s="371">
        <v>153346</v>
      </c>
      <c r="Q209" s="371">
        <v>100371</v>
      </c>
      <c r="R209" s="371">
        <v>90525</v>
      </c>
      <c r="S209" s="371">
        <v>71377</v>
      </c>
      <c r="T209" s="371">
        <v>84465</v>
      </c>
      <c r="U209" s="371">
        <v>84169</v>
      </c>
    </row>
    <row r="210" spans="2:21">
      <c r="B210" s="129" t="s">
        <v>782</v>
      </c>
      <c r="C210" s="156">
        <v>39021</v>
      </c>
      <c r="D210" s="156">
        <v>90502</v>
      </c>
      <c r="E210" s="156">
        <v>224543</v>
      </c>
      <c r="F210" s="156">
        <v>389278</v>
      </c>
      <c r="G210" s="156">
        <v>540175</v>
      </c>
      <c r="H210" s="156">
        <v>54382</v>
      </c>
      <c r="I210" s="156">
        <v>163232</v>
      </c>
      <c r="J210" s="156">
        <v>293084</v>
      </c>
      <c r="K210" s="156">
        <v>287359</v>
      </c>
      <c r="L210" s="370">
        <v>92106</v>
      </c>
      <c r="M210" s="156">
        <v>127657</v>
      </c>
      <c r="N210" s="156">
        <v>262320</v>
      </c>
      <c r="O210" s="156">
        <v>478040</v>
      </c>
      <c r="P210" s="371">
        <v>255614</v>
      </c>
      <c r="Q210" s="371">
        <v>268737</v>
      </c>
      <c r="R210" s="371">
        <v>394085</v>
      </c>
      <c r="S210" s="371">
        <v>483437</v>
      </c>
      <c r="T210" s="371">
        <v>60990</v>
      </c>
      <c r="U210" s="371">
        <v>94776</v>
      </c>
    </row>
    <row r="211" spans="2:21">
      <c r="B211" s="129" t="s">
        <v>783</v>
      </c>
      <c r="C211" s="156">
        <v>17540</v>
      </c>
      <c r="D211" s="156">
        <v>57997</v>
      </c>
      <c r="E211" s="156">
        <v>0</v>
      </c>
      <c r="F211" s="156">
        <v>0</v>
      </c>
      <c r="G211" s="156">
        <v>0</v>
      </c>
      <c r="H211" s="156">
        <v>0</v>
      </c>
      <c r="I211" s="156">
        <v>0</v>
      </c>
      <c r="J211" s="156">
        <v>0</v>
      </c>
      <c r="K211" s="156">
        <v>0</v>
      </c>
      <c r="L211" s="370">
        <v>0</v>
      </c>
      <c r="M211" s="156">
        <v>0</v>
      </c>
      <c r="N211" s="156">
        <v>0</v>
      </c>
      <c r="O211" s="156">
        <v>0</v>
      </c>
      <c r="P211" s="371" t="s">
        <v>470</v>
      </c>
      <c r="Q211" s="371">
        <v>0</v>
      </c>
      <c r="R211" s="371">
        <v>0</v>
      </c>
      <c r="S211" s="371"/>
      <c r="T211" s="371">
        <v>6</v>
      </c>
      <c r="U211" s="371">
        <v>0</v>
      </c>
    </row>
    <row r="212" spans="2:21">
      <c r="B212" s="129" t="s">
        <v>784</v>
      </c>
      <c r="C212" s="156">
        <v>12766</v>
      </c>
      <c r="D212" s="156">
        <v>16550</v>
      </c>
      <c r="E212" s="156">
        <v>32399</v>
      </c>
      <c r="F212" s="156">
        <v>39059</v>
      </c>
      <c r="G212" s="156">
        <v>39260</v>
      </c>
      <c r="H212" s="156">
        <v>40262</v>
      </c>
      <c r="I212" s="156">
        <v>39302</v>
      </c>
      <c r="J212" s="156">
        <v>44878</v>
      </c>
      <c r="K212" s="156">
        <v>45687</v>
      </c>
      <c r="L212" s="370">
        <v>48336</v>
      </c>
      <c r="M212" s="156">
        <v>48970</v>
      </c>
      <c r="N212" s="156">
        <v>52653</v>
      </c>
      <c r="O212" s="156">
        <v>52518</v>
      </c>
      <c r="P212" s="371">
        <v>49457</v>
      </c>
      <c r="Q212" s="371">
        <v>44836</v>
      </c>
      <c r="R212" s="371">
        <v>34900</v>
      </c>
      <c r="S212" s="371">
        <v>48778</v>
      </c>
      <c r="T212" s="371">
        <v>58371</v>
      </c>
      <c r="U212" s="371">
        <v>0</v>
      </c>
    </row>
    <row r="213" spans="2:21">
      <c r="B213" s="129" t="s">
        <v>789</v>
      </c>
      <c r="C213" s="156"/>
      <c r="D213" s="156"/>
      <c r="E213" s="156"/>
      <c r="F213" s="156"/>
      <c r="G213" s="156"/>
      <c r="H213" s="156"/>
      <c r="I213" s="156"/>
      <c r="J213" s="156"/>
      <c r="K213" s="156"/>
      <c r="L213" s="370"/>
      <c r="M213" s="156"/>
      <c r="N213" s="156"/>
      <c r="O213" s="156"/>
      <c r="P213" s="371">
        <v>0</v>
      </c>
      <c r="Q213" s="371">
        <v>67260</v>
      </c>
      <c r="R213" s="371">
        <v>67330</v>
      </c>
      <c r="S213" s="371">
        <v>102</v>
      </c>
      <c r="T213" s="371">
        <v>0</v>
      </c>
      <c r="U213" s="371">
        <v>67687</v>
      </c>
    </row>
    <row r="214" spans="2:21">
      <c r="B214" s="129" t="s">
        <v>785</v>
      </c>
      <c r="C214" s="156">
        <v>139946</v>
      </c>
      <c r="D214" s="156">
        <v>3112</v>
      </c>
      <c r="E214" s="156">
        <v>3111</v>
      </c>
      <c r="F214" s="156">
        <v>5159</v>
      </c>
      <c r="G214" s="156">
        <v>5137</v>
      </c>
      <c r="H214" s="156">
        <v>7835</v>
      </c>
      <c r="I214" s="156">
        <v>7831</v>
      </c>
      <c r="J214" s="156">
        <v>7798</v>
      </c>
      <c r="K214" s="156">
        <v>8411</v>
      </c>
      <c r="L214" s="370">
        <v>102079</v>
      </c>
      <c r="M214" s="156">
        <v>9731</v>
      </c>
      <c r="N214" s="156">
        <v>10102</v>
      </c>
      <c r="O214" s="156">
        <v>10406</v>
      </c>
      <c r="P214" s="371">
        <v>500513</v>
      </c>
      <c r="Q214" s="371">
        <v>1068548</v>
      </c>
      <c r="R214" s="371">
        <v>16236</v>
      </c>
      <c r="S214" s="371">
        <v>13467</v>
      </c>
      <c r="T214" s="371">
        <v>110543</v>
      </c>
      <c r="U214" s="371">
        <v>12828</v>
      </c>
    </row>
    <row r="215" spans="2:21">
      <c r="B215" s="129" t="s">
        <v>725</v>
      </c>
      <c r="C215" s="156">
        <v>33610</v>
      </c>
      <c r="D215" s="156">
        <v>36344</v>
      </c>
      <c r="E215" s="156">
        <v>29714</v>
      </c>
      <c r="F215" s="156">
        <v>40457</v>
      </c>
      <c r="G215" s="156">
        <v>42515</v>
      </c>
      <c r="H215" s="156">
        <v>37047</v>
      </c>
      <c r="I215" s="156">
        <v>29156</v>
      </c>
      <c r="J215" s="156">
        <v>38239</v>
      </c>
      <c r="K215" s="156">
        <v>41182</v>
      </c>
      <c r="L215" s="370">
        <v>33341</v>
      </c>
      <c r="M215" s="156">
        <v>26512</v>
      </c>
      <c r="N215" s="156">
        <v>37797</v>
      </c>
      <c r="O215" s="156">
        <v>48833</v>
      </c>
      <c r="P215" s="371">
        <v>45094</v>
      </c>
      <c r="Q215" s="371">
        <v>36212</v>
      </c>
      <c r="R215" s="371">
        <v>45062</v>
      </c>
      <c r="S215" s="371">
        <v>50475</v>
      </c>
      <c r="T215" s="371">
        <v>46507</v>
      </c>
      <c r="U215" s="371">
        <v>36651</v>
      </c>
    </row>
    <row r="216" spans="2:21">
      <c r="B216" s="129" t="s">
        <v>726</v>
      </c>
      <c r="C216" s="156">
        <v>5495</v>
      </c>
      <c r="D216" s="156">
        <v>2056</v>
      </c>
      <c r="E216" s="156">
        <v>3309</v>
      </c>
      <c r="F216" s="156">
        <v>4655</v>
      </c>
      <c r="G216" s="156">
        <v>3579</v>
      </c>
      <c r="H216" s="156">
        <v>4250</v>
      </c>
      <c r="I216" s="156">
        <v>5103</v>
      </c>
      <c r="J216" s="156">
        <v>4157</v>
      </c>
      <c r="K216" s="156">
        <v>3782</v>
      </c>
      <c r="L216" s="370">
        <v>2173</v>
      </c>
      <c r="M216" s="156">
        <v>2176</v>
      </c>
      <c r="N216" s="156">
        <v>2730</v>
      </c>
      <c r="O216" s="156">
        <v>868</v>
      </c>
      <c r="P216" s="371">
        <v>871</v>
      </c>
      <c r="Q216" s="371">
        <v>855</v>
      </c>
      <c r="R216" s="371">
        <v>858</v>
      </c>
      <c r="S216" s="371">
        <v>858</v>
      </c>
      <c r="T216" s="371">
        <v>858</v>
      </c>
      <c r="U216" s="371">
        <v>939</v>
      </c>
    </row>
    <row r="217" spans="2:21">
      <c r="B217" s="129" t="s">
        <v>727</v>
      </c>
      <c r="C217" s="156">
        <v>0</v>
      </c>
      <c r="D217" s="156">
        <v>0</v>
      </c>
      <c r="E217" s="156">
        <v>0</v>
      </c>
      <c r="F217" s="156">
        <v>0</v>
      </c>
      <c r="G217" s="156">
        <v>1860</v>
      </c>
      <c r="H217" s="156">
        <v>2480</v>
      </c>
      <c r="I217" s="156">
        <v>2480</v>
      </c>
      <c r="J217" s="156">
        <v>2480</v>
      </c>
      <c r="K217" s="156">
        <v>2480</v>
      </c>
      <c r="L217" s="370">
        <v>2480</v>
      </c>
      <c r="M217" s="156">
        <v>2480</v>
      </c>
      <c r="N217" s="156">
        <v>2480</v>
      </c>
      <c r="O217" s="156">
        <v>2480</v>
      </c>
      <c r="P217" s="371">
        <v>2480</v>
      </c>
      <c r="Q217" s="371">
        <v>2480</v>
      </c>
      <c r="R217" s="371">
        <v>2480</v>
      </c>
      <c r="S217" s="371">
        <v>2480</v>
      </c>
      <c r="T217" s="371">
        <v>2480</v>
      </c>
      <c r="U217" s="371">
        <v>0</v>
      </c>
    </row>
    <row r="218" spans="2:21">
      <c r="B218" s="129" t="s">
        <v>1015</v>
      </c>
      <c r="C218" s="156"/>
      <c r="D218" s="156"/>
      <c r="E218" s="156"/>
      <c r="F218" s="156"/>
      <c r="G218" s="156"/>
      <c r="H218" s="156"/>
      <c r="I218" s="156"/>
      <c r="J218" s="156"/>
      <c r="K218" s="156"/>
      <c r="L218" s="370"/>
      <c r="M218" s="156"/>
      <c r="N218" s="156"/>
      <c r="O218" s="156"/>
      <c r="P218" s="371">
        <v>0</v>
      </c>
      <c r="Q218" s="371">
        <v>3947</v>
      </c>
      <c r="R218" s="371">
        <v>0</v>
      </c>
      <c r="S218" s="371">
        <v>0</v>
      </c>
      <c r="T218" s="371">
        <v>0</v>
      </c>
      <c r="U218" s="371">
        <v>0</v>
      </c>
    </row>
    <row r="219" spans="2:21">
      <c r="B219" s="129" t="s">
        <v>701</v>
      </c>
      <c r="C219" s="156">
        <v>53047</v>
      </c>
      <c r="D219" s="156">
        <v>61180</v>
      </c>
      <c r="E219" s="156">
        <v>57876</v>
      </c>
      <c r="F219" s="156">
        <v>16385</v>
      </c>
      <c r="G219" s="156">
        <v>13852</v>
      </c>
      <c r="H219" s="156">
        <v>34310</v>
      </c>
      <c r="I219" s="156">
        <v>27472</v>
      </c>
      <c r="J219" s="156">
        <v>56345</v>
      </c>
      <c r="K219" s="156">
        <v>70150</v>
      </c>
      <c r="L219" s="370">
        <v>80152</v>
      </c>
      <c r="M219" s="156">
        <v>55374</v>
      </c>
      <c r="N219" s="156">
        <v>34641</v>
      </c>
      <c r="O219" s="156">
        <v>45567</v>
      </c>
      <c r="P219" s="371">
        <v>43743</v>
      </c>
      <c r="Q219" s="371">
        <v>56916</v>
      </c>
      <c r="R219" s="371">
        <v>51763</v>
      </c>
      <c r="S219" s="371">
        <v>54158</v>
      </c>
      <c r="T219" s="371">
        <v>50707</v>
      </c>
      <c r="U219" s="371">
        <v>46192</v>
      </c>
    </row>
    <row r="220" spans="2:21">
      <c r="B220" s="231"/>
      <c r="C220" s="239">
        <f t="shared" ref="C220:N220" si="49">SUM(C205:C219)</f>
        <v>606954</v>
      </c>
      <c r="D220" s="239">
        <f t="shared" si="49"/>
        <v>789104</v>
      </c>
      <c r="E220" s="239">
        <f t="shared" si="49"/>
        <v>845766</v>
      </c>
      <c r="F220" s="239">
        <f t="shared" si="49"/>
        <v>1024379</v>
      </c>
      <c r="G220" s="239">
        <f t="shared" si="49"/>
        <v>1009761</v>
      </c>
      <c r="H220" s="239">
        <f t="shared" si="49"/>
        <v>626698</v>
      </c>
      <c r="I220" s="239">
        <f t="shared" si="49"/>
        <v>713447</v>
      </c>
      <c r="J220" s="239">
        <f t="shared" si="49"/>
        <v>871523</v>
      </c>
      <c r="K220" s="239">
        <f t="shared" si="49"/>
        <v>1539086</v>
      </c>
      <c r="L220" s="232">
        <f t="shared" si="49"/>
        <v>1606159</v>
      </c>
      <c r="M220" s="239">
        <f t="shared" si="49"/>
        <v>1699266</v>
      </c>
      <c r="N220" s="239">
        <f t="shared" si="49"/>
        <v>1824719</v>
      </c>
      <c r="O220" s="239">
        <f>SUM(O205:O219)</f>
        <v>1389807</v>
      </c>
      <c r="P220" s="374">
        <f>SUM(P205:P219)</f>
        <v>1366353</v>
      </c>
      <c r="Q220" s="374">
        <f>SUM(Q205:Q219)</f>
        <v>2357520</v>
      </c>
      <c r="R220" s="374">
        <f>SUM(R205:R219)</f>
        <v>2059122</v>
      </c>
      <c r="S220" s="374">
        <f t="shared" ref="S220:T220" si="50">SUM(S205:S219)</f>
        <v>1558912</v>
      </c>
      <c r="T220" s="374">
        <f t="shared" si="50"/>
        <v>1218075</v>
      </c>
      <c r="U220" s="374">
        <v>1233114</v>
      </c>
    </row>
    <row r="221" spans="2:21">
      <c r="B221" s="233" t="s">
        <v>786</v>
      </c>
      <c r="C221" s="234"/>
      <c r="D221" s="234"/>
      <c r="E221" s="234"/>
      <c r="F221" s="233"/>
      <c r="G221" s="234"/>
      <c r="H221" s="234"/>
      <c r="I221" s="234"/>
      <c r="J221" s="234"/>
      <c r="K221" s="234"/>
      <c r="L221" s="628"/>
      <c r="M221" s="234"/>
      <c r="N221" s="234"/>
      <c r="O221" s="234"/>
      <c r="P221" s="375"/>
      <c r="Q221" s="375"/>
      <c r="R221" s="375"/>
      <c r="S221" s="375"/>
      <c r="T221" s="375"/>
      <c r="U221" s="375"/>
    </row>
    <row r="222" spans="2:21">
      <c r="B222" s="246" t="s">
        <v>787</v>
      </c>
      <c r="C222" s="247"/>
      <c r="D222" s="248"/>
      <c r="E222" s="248"/>
      <c r="F222" s="247"/>
      <c r="G222" s="247"/>
      <c r="H222" s="247"/>
      <c r="I222" s="247"/>
      <c r="J222" s="247"/>
      <c r="K222" s="247"/>
      <c r="L222" s="642"/>
      <c r="M222" s="247"/>
      <c r="N222" s="247"/>
      <c r="O222" s="247"/>
      <c r="P222" s="439"/>
      <c r="Q222" s="439"/>
      <c r="R222" s="439"/>
      <c r="S222" s="439"/>
      <c r="T222" s="439"/>
      <c r="U222" s="439"/>
    </row>
    <row r="223" spans="2:21">
      <c r="B223" s="129" t="s">
        <v>780</v>
      </c>
      <c r="C223" s="156">
        <v>432472</v>
      </c>
      <c r="D223" s="156">
        <v>690541</v>
      </c>
      <c r="E223" s="156">
        <v>677182</v>
      </c>
      <c r="F223" s="156">
        <v>657248</v>
      </c>
      <c r="G223" s="156">
        <v>1258364</v>
      </c>
      <c r="H223" s="156">
        <v>1215689</v>
      </c>
      <c r="I223" s="156">
        <v>1273554</v>
      </c>
      <c r="J223" s="156">
        <v>1264523</v>
      </c>
      <c r="K223" s="156">
        <v>660197</v>
      </c>
      <c r="L223" s="370">
        <v>637448</v>
      </c>
      <c r="M223" s="156">
        <v>620011</v>
      </c>
      <c r="N223" s="156">
        <v>1248161</v>
      </c>
      <c r="O223" s="156">
        <v>1228231</v>
      </c>
      <c r="P223" s="370">
        <v>1208301</v>
      </c>
      <c r="Q223" s="370">
        <v>1182886</v>
      </c>
      <c r="R223" s="370">
        <v>1722627</v>
      </c>
      <c r="S223" s="371">
        <v>1721742</v>
      </c>
      <c r="T223" s="371">
        <v>1728681</v>
      </c>
      <c r="U223" s="371">
        <v>1953199</v>
      </c>
    </row>
    <row r="224" spans="2:21">
      <c r="B224" s="129" t="s">
        <v>781</v>
      </c>
      <c r="C224" s="156">
        <v>313931</v>
      </c>
      <c r="D224" s="156">
        <v>801007</v>
      </c>
      <c r="E224" s="156">
        <v>806204</v>
      </c>
      <c r="F224" s="156">
        <v>1420052</v>
      </c>
      <c r="G224" s="156">
        <v>1437775</v>
      </c>
      <c r="H224" s="156">
        <v>1441504</v>
      </c>
      <c r="I224" s="156">
        <v>1457692</v>
      </c>
      <c r="J224" s="156">
        <v>1475140</v>
      </c>
      <c r="K224" s="156">
        <v>1480445</v>
      </c>
      <c r="L224" s="370">
        <v>1528971</v>
      </c>
      <c r="M224" s="156">
        <v>1554166</v>
      </c>
      <c r="N224" s="156">
        <v>1545549</v>
      </c>
      <c r="O224" s="156">
        <v>1392099</v>
      </c>
      <c r="P224" s="370">
        <v>2961318</v>
      </c>
      <c r="Q224" s="370">
        <v>3664357</v>
      </c>
      <c r="R224" s="370">
        <v>3707753</v>
      </c>
      <c r="S224" s="371">
        <v>3788738</v>
      </c>
      <c r="T224" s="371">
        <v>4829761</v>
      </c>
      <c r="U224" s="371">
        <v>4938992</v>
      </c>
    </row>
    <row r="225" spans="2:21">
      <c r="B225" s="129" t="s">
        <v>719</v>
      </c>
      <c r="C225" s="156">
        <v>0</v>
      </c>
      <c r="D225" s="156">
        <v>0</v>
      </c>
      <c r="E225" s="156">
        <v>0</v>
      </c>
      <c r="F225" s="156">
        <v>0</v>
      </c>
      <c r="G225" s="156">
        <v>0</v>
      </c>
      <c r="H225" s="156">
        <v>0</v>
      </c>
      <c r="I225" s="156">
        <v>0</v>
      </c>
      <c r="J225" s="156">
        <v>0</v>
      </c>
      <c r="K225" s="156">
        <v>158</v>
      </c>
      <c r="L225" s="370">
        <v>101</v>
      </c>
      <c r="M225" s="156">
        <v>73</v>
      </c>
      <c r="N225" s="156">
        <v>62</v>
      </c>
      <c r="O225" s="156">
        <v>35</v>
      </c>
      <c r="P225" s="370">
        <v>18</v>
      </c>
      <c r="Q225" s="370">
        <v>0</v>
      </c>
      <c r="R225" s="370">
        <v>0</v>
      </c>
      <c r="S225" s="371">
        <v>0</v>
      </c>
      <c r="T225" s="371">
        <v>0</v>
      </c>
      <c r="U225" s="371">
        <v>42927</v>
      </c>
    </row>
    <row r="226" spans="2:21">
      <c r="B226" s="129" t="s">
        <v>697</v>
      </c>
      <c r="C226" s="156">
        <v>0</v>
      </c>
      <c r="D226" s="156">
        <v>0</v>
      </c>
      <c r="E226" s="156">
        <v>0</v>
      </c>
      <c r="F226" s="156">
        <v>0</v>
      </c>
      <c r="G226" s="156">
        <v>0</v>
      </c>
      <c r="H226" s="156">
        <v>0</v>
      </c>
      <c r="I226" s="156">
        <v>0</v>
      </c>
      <c r="J226" s="156">
        <v>2760</v>
      </c>
      <c r="K226" s="156">
        <v>0</v>
      </c>
      <c r="L226" s="370">
        <v>135</v>
      </c>
      <c r="M226" s="156">
        <v>0</v>
      </c>
      <c r="N226" s="156">
        <v>0</v>
      </c>
      <c r="O226" s="156">
        <v>0</v>
      </c>
      <c r="P226" s="370">
        <v>0</v>
      </c>
      <c r="Q226" s="370">
        <v>0</v>
      </c>
      <c r="R226" s="370">
        <v>0</v>
      </c>
      <c r="S226" s="371"/>
      <c r="T226" s="371">
        <v>0</v>
      </c>
      <c r="U226" s="371">
        <v>6561</v>
      </c>
    </row>
    <row r="227" spans="2:21">
      <c r="B227" s="129" t="s">
        <v>720</v>
      </c>
      <c r="C227" s="156"/>
      <c r="D227" s="156"/>
      <c r="E227" s="156"/>
      <c r="F227" s="156"/>
      <c r="G227" s="156"/>
      <c r="H227" s="156"/>
      <c r="I227" s="156"/>
      <c r="J227" s="156"/>
      <c r="K227" s="156"/>
      <c r="L227" s="370"/>
      <c r="M227" s="156"/>
      <c r="N227" s="156"/>
      <c r="O227" s="156"/>
      <c r="P227" s="370">
        <v>0</v>
      </c>
      <c r="Q227" s="370">
        <v>0</v>
      </c>
      <c r="R227" s="370">
        <v>14535</v>
      </c>
      <c r="S227" s="371">
        <v>32213</v>
      </c>
      <c r="T227" s="371">
        <v>6336</v>
      </c>
      <c r="U227" s="371">
        <v>6323</v>
      </c>
    </row>
    <row r="228" spans="2:21">
      <c r="B228" s="129" t="s">
        <v>969</v>
      </c>
      <c r="C228" s="156"/>
      <c r="D228" s="156"/>
      <c r="E228" s="156"/>
      <c r="F228" s="156"/>
      <c r="G228" s="156"/>
      <c r="H228" s="156"/>
      <c r="I228" s="156"/>
      <c r="J228" s="156"/>
      <c r="K228" s="156"/>
      <c r="L228" s="371" t="s">
        <v>470</v>
      </c>
      <c r="M228" s="371" t="s">
        <v>470</v>
      </c>
      <c r="N228" s="371" t="s">
        <v>470</v>
      </c>
      <c r="O228" s="371" t="s">
        <v>470</v>
      </c>
      <c r="P228" s="370">
        <v>381978</v>
      </c>
      <c r="Q228" s="370">
        <v>394078</v>
      </c>
      <c r="R228" s="370">
        <v>406048</v>
      </c>
      <c r="S228" s="371">
        <v>417940</v>
      </c>
      <c r="T228" s="371">
        <v>465847</v>
      </c>
      <c r="U228" s="371">
        <v>481232</v>
      </c>
    </row>
    <row r="229" spans="2:21">
      <c r="B229" s="129" t="s">
        <v>783</v>
      </c>
      <c r="C229" s="156">
        <v>119857</v>
      </c>
      <c r="D229" s="156">
        <v>0</v>
      </c>
      <c r="E229" s="156">
        <v>0</v>
      </c>
      <c r="F229" s="156">
        <v>0</v>
      </c>
      <c r="G229" s="156">
        <v>0</v>
      </c>
      <c r="H229" s="156">
        <v>0</v>
      </c>
      <c r="I229" s="156">
        <v>0</v>
      </c>
      <c r="J229" s="156">
        <v>0</v>
      </c>
      <c r="K229" s="156">
        <v>0</v>
      </c>
      <c r="L229" s="370">
        <v>0</v>
      </c>
      <c r="M229" s="156">
        <v>0</v>
      </c>
      <c r="N229" s="156">
        <v>0</v>
      </c>
      <c r="O229" s="156">
        <v>0</v>
      </c>
      <c r="P229" s="370">
        <v>0</v>
      </c>
      <c r="Q229" s="370">
        <v>0</v>
      </c>
      <c r="R229" s="370">
        <v>0</v>
      </c>
      <c r="S229" s="371">
        <v>0</v>
      </c>
      <c r="T229" s="371">
        <v>0</v>
      </c>
      <c r="U229" s="371">
        <v>0</v>
      </c>
    </row>
    <row r="230" spans="2:21">
      <c r="B230" s="129" t="s">
        <v>788</v>
      </c>
      <c r="C230" s="156">
        <v>0</v>
      </c>
      <c r="D230" s="156">
        <v>0</v>
      </c>
      <c r="E230" s="156">
        <v>0</v>
      </c>
      <c r="F230" s="156">
        <v>0</v>
      </c>
      <c r="G230" s="156">
        <v>0</v>
      </c>
      <c r="H230" s="156">
        <v>0</v>
      </c>
      <c r="I230" s="156">
        <v>0</v>
      </c>
      <c r="J230" s="156">
        <v>0</v>
      </c>
      <c r="K230" s="156">
        <v>0</v>
      </c>
      <c r="L230" s="370">
        <v>0</v>
      </c>
      <c r="M230" s="156">
        <v>0</v>
      </c>
      <c r="N230" s="156">
        <v>82703</v>
      </c>
      <c r="O230" s="156">
        <v>77117</v>
      </c>
      <c r="P230" s="370">
        <v>71465</v>
      </c>
      <c r="Q230" s="370">
        <v>65790</v>
      </c>
      <c r="R230" s="370">
        <v>50633</v>
      </c>
      <c r="S230" s="371">
        <v>53056</v>
      </c>
      <c r="T230" s="371">
        <v>50553</v>
      </c>
      <c r="U230" s="371">
        <v>50291</v>
      </c>
    </row>
    <row r="231" spans="2:21">
      <c r="B231" s="129" t="s">
        <v>789</v>
      </c>
      <c r="C231" s="156">
        <v>1056505</v>
      </c>
      <c r="D231" s="156">
        <v>831111</v>
      </c>
      <c r="E231" s="156">
        <v>810693</v>
      </c>
      <c r="F231" s="156">
        <v>769433</v>
      </c>
      <c r="G231" s="156">
        <v>710377</v>
      </c>
      <c r="H231" s="156">
        <v>735689</v>
      </c>
      <c r="I231" s="156">
        <v>757847</v>
      </c>
      <c r="J231" s="156">
        <v>721825</v>
      </c>
      <c r="K231" s="156">
        <v>660889</v>
      </c>
      <c r="L231" s="370">
        <v>686732</v>
      </c>
      <c r="M231" s="156">
        <v>713361</v>
      </c>
      <c r="N231" s="156">
        <v>1005975</v>
      </c>
      <c r="O231" s="156">
        <v>1074349</v>
      </c>
      <c r="P231" s="370">
        <v>913557</v>
      </c>
      <c r="Q231" s="370">
        <v>868910</v>
      </c>
      <c r="R231" s="370">
        <v>786903</v>
      </c>
      <c r="S231" s="371">
        <v>825416</v>
      </c>
      <c r="T231" s="371">
        <v>899825</v>
      </c>
      <c r="U231" s="371">
        <v>896426</v>
      </c>
    </row>
    <row r="232" spans="2:21">
      <c r="B232" s="129" t="s">
        <v>784</v>
      </c>
      <c r="C232" s="156">
        <v>32510</v>
      </c>
      <c r="D232" s="156">
        <v>54250</v>
      </c>
      <c r="E232" s="156">
        <v>40848</v>
      </c>
      <c r="F232" s="156">
        <v>42962</v>
      </c>
      <c r="G232" s="156">
        <v>34827</v>
      </c>
      <c r="H232" s="156">
        <v>35925</v>
      </c>
      <c r="I232" s="156">
        <v>39380</v>
      </c>
      <c r="J232" s="156">
        <v>37756</v>
      </c>
      <c r="K232" s="156">
        <v>41836</v>
      </c>
      <c r="L232" s="370">
        <v>41236</v>
      </c>
      <c r="M232" s="156">
        <v>34179</v>
      </c>
      <c r="N232" s="156">
        <v>40742</v>
      </c>
      <c r="O232" s="156">
        <v>42419</v>
      </c>
      <c r="P232" s="370">
        <v>48065</v>
      </c>
      <c r="Q232" s="370">
        <v>50331</v>
      </c>
      <c r="R232" s="370">
        <v>50036</v>
      </c>
      <c r="S232" s="371">
        <v>35141</v>
      </c>
      <c r="T232" s="371">
        <v>25559</v>
      </c>
      <c r="U232" s="371">
        <v>22461</v>
      </c>
    </row>
    <row r="233" spans="2:21">
      <c r="B233" s="129" t="s">
        <v>725</v>
      </c>
      <c r="C233" s="156">
        <v>153035</v>
      </c>
      <c r="D233" s="156">
        <v>121553</v>
      </c>
      <c r="E233" s="156">
        <v>125321</v>
      </c>
      <c r="F233" s="156">
        <v>113686</v>
      </c>
      <c r="G233" s="156">
        <v>102672</v>
      </c>
      <c r="H233" s="156">
        <v>90708</v>
      </c>
      <c r="I233" s="156">
        <v>91036</v>
      </c>
      <c r="J233" s="156">
        <v>92755</v>
      </c>
      <c r="K233" s="156">
        <v>86780</v>
      </c>
      <c r="L233" s="370">
        <v>62367</v>
      </c>
      <c r="M233" s="156">
        <v>59509</v>
      </c>
      <c r="N233" s="156">
        <v>58816</v>
      </c>
      <c r="O233" s="156">
        <v>57993</v>
      </c>
      <c r="P233" s="370">
        <v>85736</v>
      </c>
      <c r="Q233" s="370">
        <v>126098</v>
      </c>
      <c r="R233" s="370">
        <v>116409</v>
      </c>
      <c r="S233" s="371">
        <v>111585</v>
      </c>
      <c r="T233" s="371">
        <v>119407</v>
      </c>
      <c r="U233" s="371">
        <v>120263</v>
      </c>
    </row>
    <row r="234" spans="2:21">
      <c r="B234" s="129" t="s">
        <v>729</v>
      </c>
      <c r="C234" s="156">
        <v>0</v>
      </c>
      <c r="D234" s="156">
        <v>0</v>
      </c>
      <c r="E234" s="156">
        <v>0</v>
      </c>
      <c r="F234" s="156">
        <v>0</v>
      </c>
      <c r="G234" s="156">
        <v>0</v>
      </c>
      <c r="H234" s="156">
        <v>0</v>
      </c>
      <c r="I234" s="156">
        <v>0</v>
      </c>
      <c r="J234" s="156">
        <v>17853</v>
      </c>
      <c r="K234" s="156">
        <v>0</v>
      </c>
      <c r="L234" s="370">
        <v>16612</v>
      </c>
      <c r="M234" s="156">
        <v>15992</v>
      </c>
      <c r="N234" s="156">
        <v>15372</v>
      </c>
      <c r="O234" s="156">
        <v>14752</v>
      </c>
      <c r="P234" s="370">
        <v>14132</v>
      </c>
      <c r="Q234" s="370">
        <v>13512</v>
      </c>
      <c r="R234" s="370">
        <v>12892</v>
      </c>
      <c r="S234" s="371">
        <v>12272</v>
      </c>
      <c r="T234" s="371">
        <v>11652</v>
      </c>
      <c r="U234" s="371">
        <v>0</v>
      </c>
    </row>
    <row r="235" spans="2:21" ht="14.45" customHeight="1">
      <c r="B235" s="129" t="s">
        <v>790</v>
      </c>
      <c r="C235" s="156">
        <v>0</v>
      </c>
      <c r="D235" s="156">
        <v>0</v>
      </c>
      <c r="E235" s="156">
        <v>0</v>
      </c>
      <c r="F235" s="156">
        <v>0</v>
      </c>
      <c r="G235" s="156">
        <v>333844</v>
      </c>
      <c r="H235" s="156">
        <v>0</v>
      </c>
      <c r="I235" s="156">
        <v>0</v>
      </c>
      <c r="J235" s="156">
        <v>363061</v>
      </c>
      <c r="K235" s="156">
        <v>0</v>
      </c>
      <c r="L235" s="370">
        <v>351904</v>
      </c>
      <c r="M235" s="156">
        <v>388616</v>
      </c>
      <c r="N235" s="156">
        <v>383471</v>
      </c>
      <c r="O235" s="156">
        <v>383984</v>
      </c>
      <c r="P235" s="370">
        <v>380135</v>
      </c>
      <c r="Q235" s="370">
        <v>397485</v>
      </c>
      <c r="R235" s="370">
        <v>393236</v>
      </c>
      <c r="S235" s="371">
        <v>389131</v>
      </c>
      <c r="T235" s="371">
        <v>384980</v>
      </c>
      <c r="U235" s="371">
        <v>469256</v>
      </c>
    </row>
    <row r="236" spans="2:21">
      <c r="B236" s="129" t="s">
        <v>791</v>
      </c>
      <c r="C236" s="156">
        <v>24053</v>
      </c>
      <c r="D236" s="156">
        <v>24053</v>
      </c>
      <c r="E236" s="156">
        <v>318578</v>
      </c>
      <c r="F236" s="156">
        <v>320021</v>
      </c>
      <c r="G236" s="156">
        <v>20333</v>
      </c>
      <c r="H236" s="156">
        <v>0</v>
      </c>
      <c r="I236" s="156">
        <v>0</v>
      </c>
      <c r="J236" s="156">
        <v>0</v>
      </c>
      <c r="K236" s="156">
        <v>0</v>
      </c>
      <c r="L236" s="370">
        <v>0</v>
      </c>
      <c r="M236" s="156">
        <v>0</v>
      </c>
      <c r="N236" s="156">
        <v>0</v>
      </c>
      <c r="O236" s="156">
        <v>0</v>
      </c>
      <c r="P236" s="371" t="s">
        <v>470</v>
      </c>
      <c r="Q236" s="371" t="s">
        <v>470</v>
      </c>
      <c r="R236" s="371" t="s">
        <v>470</v>
      </c>
      <c r="S236" s="371" t="s">
        <v>470</v>
      </c>
      <c r="T236" s="371">
        <v>0</v>
      </c>
      <c r="U236" s="371">
        <v>0</v>
      </c>
    </row>
    <row r="237" spans="2:21" ht="24" customHeight="1">
      <c r="B237" s="129" t="s">
        <v>701</v>
      </c>
      <c r="C237" s="156">
        <v>0</v>
      </c>
      <c r="D237" s="156">
        <v>327579</v>
      </c>
      <c r="E237" s="156">
        <v>27455</v>
      </c>
      <c r="F237" s="156">
        <v>53841</v>
      </c>
      <c r="G237" s="156">
        <v>34532</v>
      </c>
      <c r="H237" s="156">
        <v>385101</v>
      </c>
      <c r="I237" s="156">
        <v>381705</v>
      </c>
      <c r="J237" s="156">
        <v>34572</v>
      </c>
      <c r="K237" s="156">
        <v>407469</v>
      </c>
      <c r="L237" s="370">
        <v>35652</v>
      </c>
      <c r="M237" s="156">
        <v>46714</v>
      </c>
      <c r="N237" s="156">
        <v>48201</v>
      </c>
      <c r="O237" s="156">
        <v>53134</v>
      </c>
      <c r="P237" s="370">
        <v>54032</v>
      </c>
      <c r="Q237" s="370">
        <v>11973</v>
      </c>
      <c r="R237" s="371">
        <v>12103</v>
      </c>
      <c r="S237" s="371">
        <v>12232</v>
      </c>
      <c r="T237" s="371">
        <v>3981</v>
      </c>
      <c r="U237" s="371">
        <v>4446</v>
      </c>
    </row>
    <row r="238" spans="2:21">
      <c r="B238" s="231"/>
      <c r="C238" s="239">
        <f t="shared" ref="C238:N238" si="51">SUM(C223:C237)</f>
        <v>2132363</v>
      </c>
      <c r="D238" s="239">
        <f t="shared" si="51"/>
        <v>2850094</v>
      </c>
      <c r="E238" s="239">
        <f t="shared" si="51"/>
        <v>2806281</v>
      </c>
      <c r="F238" s="239">
        <f t="shared" si="51"/>
        <v>3377243</v>
      </c>
      <c r="G238" s="239">
        <f t="shared" si="51"/>
        <v>3932724</v>
      </c>
      <c r="H238" s="239">
        <f t="shared" si="51"/>
        <v>3904616</v>
      </c>
      <c r="I238" s="239">
        <f t="shared" si="51"/>
        <v>4001214</v>
      </c>
      <c r="J238" s="239">
        <f t="shared" si="51"/>
        <v>4010245</v>
      </c>
      <c r="K238" s="239">
        <f t="shared" si="51"/>
        <v>3337774</v>
      </c>
      <c r="L238" s="232">
        <f t="shared" si="51"/>
        <v>3361158</v>
      </c>
      <c r="M238" s="239">
        <f t="shared" si="51"/>
        <v>3432621</v>
      </c>
      <c r="N238" s="239">
        <f t="shared" si="51"/>
        <v>4429052</v>
      </c>
      <c r="O238" s="239">
        <f>SUM(O223:O237)</f>
        <v>4324113</v>
      </c>
      <c r="P238" s="374">
        <f>SUM(P223:P237)</f>
        <v>6118737</v>
      </c>
      <c r="Q238" s="374">
        <f>SUM(Q223:Q237)</f>
        <v>6775420</v>
      </c>
      <c r="R238" s="374">
        <f>SUM(R223:R237)</f>
        <v>7273175</v>
      </c>
      <c r="S238" s="374">
        <f t="shared" ref="S238:T238" si="52">SUM(S223:S237)</f>
        <v>7399466</v>
      </c>
      <c r="T238" s="374">
        <f t="shared" si="52"/>
        <v>8526582</v>
      </c>
      <c r="U238" s="374">
        <v>8992377</v>
      </c>
    </row>
    <row r="239" spans="2:21">
      <c r="B239" s="249"/>
      <c r="C239" s="250"/>
      <c r="D239" s="250"/>
      <c r="E239" s="250"/>
      <c r="F239" s="250"/>
      <c r="G239" s="250"/>
      <c r="H239" s="250"/>
      <c r="I239" s="250"/>
      <c r="J239" s="250"/>
      <c r="K239" s="250"/>
      <c r="L239" s="643"/>
      <c r="M239" s="250"/>
      <c r="N239" s="250"/>
      <c r="O239" s="250"/>
      <c r="P239" s="381"/>
      <c r="Q239" s="381"/>
      <c r="R239" s="381"/>
      <c r="S239" s="381"/>
      <c r="T239" s="381"/>
    </row>
    <row r="240" spans="2:21">
      <c r="B240" s="129" t="s">
        <v>792</v>
      </c>
      <c r="C240" s="156">
        <v>178733</v>
      </c>
      <c r="D240" s="156">
        <v>214939</v>
      </c>
      <c r="E240" s="156">
        <v>201431</v>
      </c>
      <c r="F240" s="156">
        <v>212706</v>
      </c>
      <c r="G240" s="156">
        <v>226286</v>
      </c>
      <c r="H240" s="156">
        <v>230878</v>
      </c>
      <c r="I240" s="156">
        <v>282713</v>
      </c>
      <c r="J240" s="156">
        <v>287177</v>
      </c>
      <c r="K240" s="156">
        <v>273453</v>
      </c>
      <c r="L240" s="370">
        <v>1967288</v>
      </c>
      <c r="M240" s="156">
        <v>502442</v>
      </c>
      <c r="N240" s="156">
        <v>369210</v>
      </c>
      <c r="O240" s="156">
        <v>327872</v>
      </c>
      <c r="P240" s="371">
        <v>371159</v>
      </c>
      <c r="Q240" s="371">
        <v>355926</v>
      </c>
      <c r="R240" s="371">
        <v>348109</v>
      </c>
      <c r="S240" s="371">
        <v>390121</v>
      </c>
      <c r="T240" s="371">
        <v>393529</v>
      </c>
      <c r="U240" s="371">
        <v>409853</v>
      </c>
    </row>
    <row r="241" spans="2:21">
      <c r="B241" s="163"/>
      <c r="C241" s="164"/>
      <c r="D241" s="164"/>
      <c r="E241" s="164"/>
      <c r="F241" s="164"/>
      <c r="G241" s="164"/>
      <c r="H241" s="164"/>
      <c r="I241" s="164"/>
      <c r="J241" s="163"/>
      <c r="K241" s="164"/>
      <c r="L241" s="644"/>
      <c r="M241" s="164"/>
      <c r="N241" s="164"/>
      <c r="O241" s="164"/>
      <c r="P241" s="382"/>
      <c r="Q241" s="382"/>
      <c r="R241" s="382"/>
      <c r="S241" s="382"/>
      <c r="T241" s="382"/>
      <c r="U241" s="382"/>
    </row>
    <row r="242" spans="2:21">
      <c r="B242" s="233" t="s">
        <v>793</v>
      </c>
      <c r="C242" s="234"/>
      <c r="D242" s="234"/>
      <c r="E242" s="234"/>
      <c r="F242" s="233"/>
      <c r="G242" s="234"/>
      <c r="H242" s="234"/>
      <c r="I242" s="234"/>
      <c r="J242" s="234"/>
      <c r="K242" s="234"/>
      <c r="L242" s="628"/>
      <c r="M242" s="234"/>
      <c r="N242" s="234"/>
      <c r="O242" s="234"/>
      <c r="P242" s="375"/>
      <c r="Q242" s="375"/>
      <c r="R242" s="375"/>
      <c r="S242" s="375"/>
      <c r="T242" s="375"/>
      <c r="U242" s="375"/>
    </row>
    <row r="243" spans="2:21">
      <c r="B243" s="129" t="s">
        <v>794</v>
      </c>
      <c r="C243" s="156">
        <v>2372437</v>
      </c>
      <c r="D243" s="156">
        <v>3590020</v>
      </c>
      <c r="E243" s="156">
        <v>3590020</v>
      </c>
      <c r="F243" s="156">
        <v>3590020</v>
      </c>
      <c r="G243" s="156">
        <v>3590020</v>
      </c>
      <c r="H243" s="156">
        <v>3590020</v>
      </c>
      <c r="I243" s="156">
        <v>3590020</v>
      </c>
      <c r="J243" s="156">
        <v>3590020</v>
      </c>
      <c r="K243" s="156">
        <v>3590020</v>
      </c>
      <c r="L243" s="370">
        <v>3590020</v>
      </c>
      <c r="M243" s="156">
        <v>3590020</v>
      </c>
      <c r="N243" s="156">
        <v>3590020</v>
      </c>
      <c r="O243" s="156">
        <v>3590020</v>
      </c>
      <c r="P243" s="371">
        <v>3590020</v>
      </c>
      <c r="Q243" s="371">
        <v>3590020</v>
      </c>
      <c r="R243" s="371">
        <v>3590020</v>
      </c>
      <c r="S243" s="371">
        <v>3590020</v>
      </c>
      <c r="T243" s="371">
        <v>3590020</v>
      </c>
      <c r="U243" s="371">
        <v>3590020</v>
      </c>
    </row>
    <row r="244" spans="2:21">
      <c r="B244" s="129" t="s">
        <v>733</v>
      </c>
      <c r="C244" s="156">
        <v>1217583</v>
      </c>
      <c r="D244" s="156">
        <v>666</v>
      </c>
      <c r="E244" s="156">
        <v>666</v>
      </c>
      <c r="F244" s="156">
        <v>666</v>
      </c>
      <c r="G244" s="156">
        <v>666</v>
      </c>
      <c r="H244" s="156">
        <v>666</v>
      </c>
      <c r="I244" s="156">
        <v>666</v>
      </c>
      <c r="J244" s="156">
        <v>666</v>
      </c>
      <c r="K244" s="156">
        <v>666</v>
      </c>
      <c r="L244" s="370">
        <v>666</v>
      </c>
      <c r="M244" s="156">
        <v>666</v>
      </c>
      <c r="N244" s="156">
        <v>666</v>
      </c>
      <c r="O244" s="156">
        <v>666</v>
      </c>
      <c r="P244" s="371">
        <v>-18380</v>
      </c>
      <c r="Q244" s="371">
        <v>-18380</v>
      </c>
      <c r="R244" s="371">
        <v>-18380</v>
      </c>
      <c r="S244" s="371">
        <v>-18380</v>
      </c>
      <c r="T244" s="371">
        <v>-18380</v>
      </c>
      <c r="U244" s="371">
        <v>666</v>
      </c>
    </row>
    <row r="245" spans="2:21">
      <c r="B245" s="129" t="s">
        <v>795</v>
      </c>
      <c r="C245" s="156">
        <v>1127814</v>
      </c>
      <c r="D245" s="156">
        <v>1265967</v>
      </c>
      <c r="E245" s="156">
        <v>1402336</v>
      </c>
      <c r="F245" s="156">
        <v>557337</v>
      </c>
      <c r="G245" s="156">
        <v>557337</v>
      </c>
      <c r="H245" s="156">
        <v>760451</v>
      </c>
      <c r="I245" s="156">
        <v>760451</v>
      </c>
      <c r="J245" s="156">
        <v>760451</v>
      </c>
      <c r="K245" s="156">
        <v>760451</v>
      </c>
      <c r="L245" s="370">
        <v>1192078</v>
      </c>
      <c r="M245" s="156">
        <v>1192078</v>
      </c>
      <c r="N245" s="156">
        <v>1192078</v>
      </c>
      <c r="O245" s="156">
        <v>1192078</v>
      </c>
      <c r="P245" s="371">
        <v>1192077</v>
      </c>
      <c r="Q245" s="371">
        <v>5137515</v>
      </c>
      <c r="R245" s="371">
        <v>1336956</v>
      </c>
      <c r="S245" s="371">
        <v>5137515</v>
      </c>
      <c r="T245" s="371">
        <v>5137515</v>
      </c>
      <c r="U245" s="371">
        <v>1178494</v>
      </c>
    </row>
    <row r="246" spans="2:21">
      <c r="B246" s="129" t="s">
        <v>796</v>
      </c>
      <c r="C246" s="156">
        <v>2264451</v>
      </c>
      <c r="D246" s="156">
        <v>2301266</v>
      </c>
      <c r="E246" s="156">
        <v>2249590</v>
      </c>
      <c r="F246" s="156">
        <v>2198516</v>
      </c>
      <c r="G246" s="156">
        <v>2148216</v>
      </c>
      <c r="H246" s="156">
        <v>2103510</v>
      </c>
      <c r="I246" s="156">
        <v>2047987</v>
      </c>
      <c r="J246" s="156">
        <v>1999817</v>
      </c>
      <c r="K246" s="156">
        <v>1949526</v>
      </c>
      <c r="L246" s="370">
        <v>1899993</v>
      </c>
      <c r="M246" s="156">
        <v>1844193</v>
      </c>
      <c r="N246" s="156">
        <v>1796207</v>
      </c>
      <c r="O246" s="156">
        <v>2162054</v>
      </c>
      <c r="P246" s="371">
        <v>2136052</v>
      </c>
      <c r="Q246" s="371">
        <v>2083781</v>
      </c>
      <c r="R246" s="371">
        <v>2028941</v>
      </c>
      <c r="S246" s="371">
        <v>1979327</v>
      </c>
      <c r="T246" s="371">
        <v>1929412</v>
      </c>
      <c r="U246" s="371">
        <v>1966378</v>
      </c>
    </row>
    <row r="247" spans="2:21">
      <c r="B247" s="129" t="s">
        <v>967</v>
      </c>
      <c r="C247" s="156"/>
      <c r="D247" s="156"/>
      <c r="E247" s="156"/>
      <c r="F247" s="156"/>
      <c r="G247" s="156"/>
      <c r="H247" s="156"/>
      <c r="I247" s="156"/>
      <c r="J247" s="156"/>
      <c r="K247" s="156"/>
      <c r="L247" s="371" t="s">
        <v>470</v>
      </c>
      <c r="M247" s="371" t="s">
        <v>470</v>
      </c>
      <c r="N247" s="371" t="s">
        <v>470</v>
      </c>
      <c r="O247" s="371" t="s">
        <v>470</v>
      </c>
      <c r="P247" s="371">
        <v>-364659</v>
      </c>
      <c r="Q247" s="371">
        <v>-364659</v>
      </c>
      <c r="R247" s="371">
        <v>-240676</v>
      </c>
      <c r="S247" s="371">
        <v>-240676</v>
      </c>
      <c r="T247" s="371">
        <v>-401268</v>
      </c>
      <c r="U247" s="371">
        <v>0</v>
      </c>
    </row>
    <row r="248" spans="2:21">
      <c r="B248" s="129" t="s">
        <v>797</v>
      </c>
      <c r="C248" s="156">
        <v>0</v>
      </c>
      <c r="D248" s="156">
        <v>0</v>
      </c>
      <c r="E248" s="156">
        <v>0</v>
      </c>
      <c r="F248" s="156">
        <v>0</v>
      </c>
      <c r="G248" s="156">
        <v>0</v>
      </c>
      <c r="H248" s="156">
        <v>73192</v>
      </c>
      <c r="I248" s="156">
        <v>73389</v>
      </c>
      <c r="J248" s="156">
        <v>70369</v>
      </c>
      <c r="K248" s="156">
        <v>77405</v>
      </c>
      <c r="L248" s="370">
        <v>31191</v>
      </c>
      <c r="M248" s="156">
        <v>63630</v>
      </c>
      <c r="N248" s="156">
        <v>62841</v>
      </c>
      <c r="O248" s="156">
        <v>53225</v>
      </c>
      <c r="P248" s="371">
        <v>140114</v>
      </c>
      <c r="Q248" s="371">
        <v>166602</v>
      </c>
      <c r="R248" s="371">
        <v>17481</v>
      </c>
      <c r="S248" s="371">
        <v>32053</v>
      </c>
      <c r="T248" s="371">
        <v>163890</v>
      </c>
      <c r="U248" s="371">
        <v>-283178</v>
      </c>
    </row>
    <row r="249" spans="2:21">
      <c r="B249" s="129" t="s">
        <v>737</v>
      </c>
      <c r="C249" s="156">
        <v>666</v>
      </c>
      <c r="D249" s="156">
        <v>0</v>
      </c>
      <c r="E249" s="156">
        <v>0</v>
      </c>
      <c r="F249" s="156">
        <v>0</v>
      </c>
      <c r="G249" s="156">
        <v>0</v>
      </c>
      <c r="H249" s="156">
        <v>0</v>
      </c>
      <c r="I249" s="156">
        <v>0</v>
      </c>
      <c r="J249" s="156">
        <v>0</v>
      </c>
      <c r="K249" s="156">
        <v>0</v>
      </c>
      <c r="L249" s="370">
        <v>0</v>
      </c>
      <c r="M249" s="156">
        <v>0</v>
      </c>
      <c r="N249" s="156">
        <v>0</v>
      </c>
      <c r="O249" s="156">
        <v>0</v>
      </c>
      <c r="P249" s="371">
        <v>0</v>
      </c>
      <c r="Q249" s="371">
        <v>0</v>
      </c>
      <c r="R249" s="371">
        <v>0</v>
      </c>
      <c r="S249" s="371">
        <v>0</v>
      </c>
      <c r="T249" s="371">
        <v>0</v>
      </c>
      <c r="U249" s="371">
        <v>0</v>
      </c>
    </row>
    <row r="250" spans="2:21">
      <c r="B250" s="129" t="s">
        <v>798</v>
      </c>
      <c r="C250" s="156">
        <v>0</v>
      </c>
      <c r="D250" s="156">
        <v>0</v>
      </c>
      <c r="E250" s="156">
        <v>301805</v>
      </c>
      <c r="F250" s="156">
        <v>692337</v>
      </c>
      <c r="G250" s="156">
        <v>930754</v>
      </c>
      <c r="H250" s="156">
        <v>0</v>
      </c>
      <c r="I250" s="156">
        <v>285711</v>
      </c>
      <c r="J250" s="156">
        <v>572057</v>
      </c>
      <c r="K250" s="156">
        <v>661539</v>
      </c>
      <c r="L250" s="370">
        <v>0</v>
      </c>
      <c r="M250" s="156">
        <v>364465</v>
      </c>
      <c r="N250" s="156">
        <v>1181218</v>
      </c>
      <c r="O250" s="156">
        <v>1528809</v>
      </c>
      <c r="P250" s="371">
        <v>1085973</v>
      </c>
      <c r="Q250" s="371">
        <v>-3551375</v>
      </c>
      <c r="R250" s="371">
        <v>556234</v>
      </c>
      <c r="S250" s="371">
        <v>-3330935</v>
      </c>
      <c r="T250" s="371">
        <v>-4122138</v>
      </c>
      <c r="U250" s="371">
        <v>0</v>
      </c>
    </row>
    <row r="251" spans="2:21">
      <c r="B251" s="129" t="s">
        <v>799</v>
      </c>
      <c r="C251" s="156">
        <v>0</v>
      </c>
      <c r="D251" s="156">
        <v>84693</v>
      </c>
      <c r="E251" s="156">
        <v>0</v>
      </c>
      <c r="F251" s="156">
        <v>0</v>
      </c>
      <c r="G251" s="156">
        <v>0</v>
      </c>
      <c r="H251" s="156">
        <v>0</v>
      </c>
      <c r="I251" s="156">
        <v>0</v>
      </c>
      <c r="J251" s="156">
        <v>0</v>
      </c>
      <c r="K251" s="156">
        <v>0</v>
      </c>
      <c r="L251" s="370">
        <v>0</v>
      </c>
      <c r="M251" s="156">
        <v>0</v>
      </c>
      <c r="N251" s="156">
        <v>0</v>
      </c>
      <c r="O251" s="156">
        <v>0</v>
      </c>
      <c r="P251" s="371" t="s">
        <v>470</v>
      </c>
      <c r="Q251" s="371" t="s">
        <v>470</v>
      </c>
      <c r="R251" s="371" t="s">
        <v>470</v>
      </c>
      <c r="S251" s="371" t="s">
        <v>470</v>
      </c>
      <c r="T251" s="371" t="s">
        <v>470</v>
      </c>
      <c r="U251" s="371">
        <v>0</v>
      </c>
    </row>
    <row r="252" spans="2:21">
      <c r="B252" s="231" t="s">
        <v>800</v>
      </c>
      <c r="C252" s="638">
        <f>SUM(C243:C251)</f>
        <v>6982951</v>
      </c>
      <c r="D252" s="638">
        <f t="shared" ref="D252:R252" si="53">SUM(D243:D251)</f>
        <v>7242612</v>
      </c>
      <c r="E252" s="638">
        <f t="shared" si="53"/>
        <v>7544417</v>
      </c>
      <c r="F252" s="638">
        <f t="shared" si="53"/>
        <v>7038876</v>
      </c>
      <c r="G252" s="638">
        <f t="shared" si="53"/>
        <v>7226993</v>
      </c>
      <c r="H252" s="638">
        <f t="shared" si="53"/>
        <v>6527839</v>
      </c>
      <c r="I252" s="638">
        <f t="shared" si="53"/>
        <v>6758224</v>
      </c>
      <c r="J252" s="638">
        <f t="shared" si="53"/>
        <v>6993380</v>
      </c>
      <c r="K252" s="638">
        <f t="shared" si="53"/>
        <v>7039607</v>
      </c>
      <c r="L252" s="374">
        <f t="shared" si="53"/>
        <v>6713948</v>
      </c>
      <c r="M252" s="638">
        <f t="shared" si="53"/>
        <v>7055052</v>
      </c>
      <c r="N252" s="638">
        <f t="shared" si="53"/>
        <v>7823030</v>
      </c>
      <c r="O252" s="638">
        <f t="shared" si="53"/>
        <v>8526852</v>
      </c>
      <c r="P252" s="374">
        <f t="shared" si="53"/>
        <v>7761197</v>
      </c>
      <c r="Q252" s="374">
        <f t="shared" si="53"/>
        <v>7043504</v>
      </c>
      <c r="R252" s="374">
        <f t="shared" si="53"/>
        <v>7270576</v>
      </c>
      <c r="S252" s="374">
        <f>SUM(S243:S251)</f>
        <v>7148924</v>
      </c>
      <c r="T252" s="374">
        <f>SUM(T243:T251)</f>
        <v>6279051</v>
      </c>
      <c r="U252" s="374">
        <v>6452380</v>
      </c>
    </row>
    <row r="253" spans="2:21">
      <c r="B253" s="231" t="s">
        <v>801</v>
      </c>
      <c r="C253" s="638">
        <f t="shared" ref="C253:T253" si="54">SUM(C252+C240+C238+C220)</f>
        <v>9901001</v>
      </c>
      <c r="D253" s="638">
        <f t="shared" si="54"/>
        <v>11096749</v>
      </c>
      <c r="E253" s="638">
        <f t="shared" si="54"/>
        <v>11397895</v>
      </c>
      <c r="F253" s="638">
        <f t="shared" si="54"/>
        <v>11653204</v>
      </c>
      <c r="G253" s="638">
        <f t="shared" si="54"/>
        <v>12395764</v>
      </c>
      <c r="H253" s="638">
        <f t="shared" si="54"/>
        <v>11290031</v>
      </c>
      <c r="I253" s="638">
        <f t="shared" si="54"/>
        <v>11755598</v>
      </c>
      <c r="J253" s="638">
        <f t="shared" si="54"/>
        <v>12162325</v>
      </c>
      <c r="K253" s="638">
        <f t="shared" si="54"/>
        <v>12189920</v>
      </c>
      <c r="L253" s="374">
        <f t="shared" si="54"/>
        <v>13648553</v>
      </c>
      <c r="M253" s="638">
        <f t="shared" si="54"/>
        <v>12689381</v>
      </c>
      <c r="N253" s="638">
        <f t="shared" si="54"/>
        <v>14446011</v>
      </c>
      <c r="O253" s="638">
        <f t="shared" si="54"/>
        <v>14568644</v>
      </c>
      <c r="P253" s="374">
        <f>SUM(P252+P240+P238+P220)</f>
        <v>15617446</v>
      </c>
      <c r="Q253" s="374">
        <f>SUM(Q252+Q240+Q238+Q220)</f>
        <v>16532370</v>
      </c>
      <c r="R253" s="374">
        <f t="shared" si="54"/>
        <v>16950982</v>
      </c>
      <c r="S253" s="374">
        <f t="shared" si="54"/>
        <v>16497423</v>
      </c>
      <c r="T253" s="374">
        <f t="shared" si="54"/>
        <v>16417237</v>
      </c>
      <c r="U253" s="374">
        <v>17087724</v>
      </c>
    </row>
    <row r="254" spans="2:21">
      <c r="C254" s="114">
        <f>+C200-C253</f>
        <v>1</v>
      </c>
      <c r="D254" s="114">
        <f t="shared" ref="D254:R254" si="55">+D200-D253</f>
        <v>-9.4939999282360077E-2</v>
      </c>
      <c r="E254" s="114">
        <f t="shared" si="55"/>
        <v>0</v>
      </c>
      <c r="F254" s="114">
        <f t="shared" si="55"/>
        <v>11861</v>
      </c>
      <c r="G254" s="114">
        <f t="shared" si="55"/>
        <v>0</v>
      </c>
      <c r="H254" s="114">
        <f t="shared" si="55"/>
        <v>0</v>
      </c>
      <c r="I254" s="114">
        <f t="shared" si="55"/>
        <v>0</v>
      </c>
      <c r="J254" s="114">
        <f t="shared" si="55"/>
        <v>0</v>
      </c>
      <c r="K254" s="114">
        <f t="shared" si="55"/>
        <v>0</v>
      </c>
      <c r="L254" s="114">
        <f t="shared" si="55"/>
        <v>0</v>
      </c>
      <c r="M254" s="114">
        <f t="shared" si="55"/>
        <v>0</v>
      </c>
      <c r="N254" s="114">
        <f t="shared" si="55"/>
        <v>0</v>
      </c>
      <c r="O254" s="114">
        <f t="shared" si="55"/>
        <v>0</v>
      </c>
      <c r="P254" s="114">
        <f t="shared" si="55"/>
        <v>0</v>
      </c>
      <c r="Q254" s="114">
        <f t="shared" si="55"/>
        <v>0</v>
      </c>
      <c r="R254" s="114">
        <f t="shared" si="55"/>
        <v>0</v>
      </c>
    </row>
    <row r="255" spans="2:21">
      <c r="B255" s="384" t="s">
        <v>972</v>
      </c>
    </row>
    <row r="257" spans="2:2" ht="240">
      <c r="B257" s="383" t="s">
        <v>971</v>
      </c>
    </row>
  </sheetData>
  <mergeCells count="9">
    <mergeCell ref="C47:P47"/>
    <mergeCell ref="C132:P132"/>
    <mergeCell ref="C167:P167"/>
    <mergeCell ref="C202:P202"/>
    <mergeCell ref="B6:B7"/>
    <mergeCell ref="B47:B48"/>
    <mergeCell ref="B132:B133"/>
    <mergeCell ref="B167:B168"/>
    <mergeCell ref="B202:B203"/>
  </mergeCells>
  <hyperlinks>
    <hyperlink ref="A1" location="'Table of Contents'!A1" display="Return to Table of Contents" xr:uid="{92B74423-26D4-4871-AE4F-496C45A5CE14}"/>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N7"/>
  <sheetViews>
    <sheetView showGridLines="0" zoomScale="85" zoomScaleNormal="85" workbookViewId="0">
      <selection activeCell="E18" sqref="E18"/>
    </sheetView>
  </sheetViews>
  <sheetFormatPr baseColWidth="10" defaultColWidth="11.28515625" defaultRowHeight="15"/>
  <cols>
    <col min="1" max="1" width="11.28515625" customWidth="1"/>
    <col min="2" max="2" width="51.85546875" customWidth="1"/>
    <col min="3" max="14" width="19.42578125" customWidth="1"/>
    <col min="15" max="18" width="8.140625" customWidth="1"/>
  </cols>
  <sheetData>
    <row r="1" spans="1:14">
      <c r="A1" s="3" t="s">
        <v>627</v>
      </c>
      <c r="B1" s="135"/>
    </row>
    <row r="5" spans="1:14" ht="15.75">
      <c r="B5" s="456"/>
      <c r="C5" s="457" t="s">
        <v>1017</v>
      </c>
      <c r="D5" s="457" t="s">
        <v>1018</v>
      </c>
      <c r="E5" s="457" t="s">
        <v>1019</v>
      </c>
      <c r="F5" s="457" t="s">
        <v>1020</v>
      </c>
      <c r="G5" s="457" t="s">
        <v>1021</v>
      </c>
      <c r="H5" s="457" t="s">
        <v>1022</v>
      </c>
      <c r="I5" s="457" t="s">
        <v>1023</v>
      </c>
      <c r="J5" s="457" t="s">
        <v>1024</v>
      </c>
      <c r="K5" s="457" t="s">
        <v>1025</v>
      </c>
      <c r="L5" s="457" t="s">
        <v>1026</v>
      </c>
      <c r="M5" s="457" t="s">
        <v>1027</v>
      </c>
      <c r="N5" s="457" t="s">
        <v>1028</v>
      </c>
    </row>
    <row r="6" spans="1:14" ht="15.75">
      <c r="B6" s="458" t="s">
        <v>1029</v>
      </c>
      <c r="C6" s="459">
        <v>371.96316566000002</v>
      </c>
      <c r="D6" s="459">
        <v>545.19834692999996</v>
      </c>
      <c r="E6" s="459">
        <v>1156.0304259700001</v>
      </c>
      <c r="F6" s="459">
        <v>1156.0304259700001</v>
      </c>
      <c r="G6" s="459">
        <v>1156.0304259700001</v>
      </c>
      <c r="H6" s="459">
        <v>1156.0304259700001</v>
      </c>
      <c r="I6" s="459">
        <v>1156.0304259700001</v>
      </c>
      <c r="J6" s="459">
        <v>0</v>
      </c>
      <c r="K6" s="459">
        <v>0</v>
      </c>
      <c r="L6" s="459">
        <v>0</v>
      </c>
      <c r="M6" s="459">
        <v>0</v>
      </c>
      <c r="N6" s="459">
        <v>0</v>
      </c>
    </row>
    <row r="7" spans="1:14" ht="15.75">
      <c r="B7" s="458" t="s">
        <v>1030</v>
      </c>
      <c r="C7" s="459">
        <v>694</v>
      </c>
      <c r="D7" s="459">
        <v>694</v>
      </c>
      <c r="E7" s="459">
        <v>496</v>
      </c>
      <c r="F7" s="459">
        <v>496</v>
      </c>
      <c r="G7" s="459">
        <v>496</v>
      </c>
      <c r="H7" s="459">
        <v>496</v>
      </c>
      <c r="I7" s="459">
        <v>496</v>
      </c>
      <c r="J7" s="459">
        <v>92</v>
      </c>
      <c r="K7" s="459">
        <v>92</v>
      </c>
      <c r="L7" s="459">
        <v>92</v>
      </c>
      <c r="M7" s="459">
        <v>92</v>
      </c>
      <c r="N7" s="459">
        <v>92</v>
      </c>
    </row>
  </sheetData>
  <hyperlinks>
    <hyperlink ref="A1" location="'Table of Contents'!A1" display="Return to Table of Contents" xr:uid="{00000000-0004-0000-0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998B-2F2F-4FAC-9A43-374C84EE81F3}">
  <dimension ref="A1:W274"/>
  <sheetViews>
    <sheetView showGridLines="0" zoomScale="85" zoomScaleNormal="85" workbookViewId="0">
      <pane xSplit="2" ySplit="6" topLeftCell="P229" activePane="bottomRight" state="frozen"/>
      <selection pane="topRight" activeCell="C1" sqref="C1"/>
      <selection pane="bottomLeft" activeCell="A7" sqref="A7"/>
      <selection pane="bottomRight" activeCell="V198" sqref="V198"/>
    </sheetView>
  </sheetViews>
  <sheetFormatPr baseColWidth="10" defaultColWidth="11.42578125" defaultRowHeight="15"/>
  <cols>
    <col min="1" max="1" width="5.28515625" customWidth="1"/>
    <col min="2" max="2" width="57.5703125" customWidth="1"/>
    <col min="3" max="13" width="13.42578125" customWidth="1"/>
    <col min="14" max="14" width="14.7109375" bestFit="1" customWidth="1"/>
    <col min="15" max="15" width="14.7109375" style="144" bestFit="1" customWidth="1"/>
    <col min="16" max="18" width="14.7109375" bestFit="1" customWidth="1"/>
    <col min="19" max="19" width="14.7109375" style="135" bestFit="1" customWidth="1"/>
    <col min="20" max="20" width="14.7109375" bestFit="1" customWidth="1"/>
    <col min="21" max="21" width="5.7109375" style="744" customWidth="1"/>
    <col min="22" max="22" width="45.7109375" bestFit="1" customWidth="1"/>
    <col min="23" max="23" width="14.7109375" bestFit="1" customWidth="1"/>
  </cols>
  <sheetData>
    <row r="1" spans="1:23">
      <c r="A1" s="3" t="s">
        <v>627</v>
      </c>
      <c r="B1" s="1"/>
      <c r="C1" s="1"/>
      <c r="D1" s="1"/>
      <c r="I1" s="101"/>
      <c r="J1" s="101"/>
      <c r="K1" s="101"/>
      <c r="L1" s="101"/>
      <c r="M1" s="1"/>
      <c r="N1" s="1"/>
    </row>
    <row r="2" spans="1:23">
      <c r="C2" s="13"/>
      <c r="D2" s="13"/>
      <c r="M2" s="13"/>
      <c r="N2" s="13"/>
    </row>
    <row r="3" spans="1:23">
      <c r="A3" s="155" t="s">
        <v>469</v>
      </c>
      <c r="B3" s="19" t="s">
        <v>463</v>
      </c>
      <c r="C3" s="13"/>
      <c r="D3" s="13"/>
      <c r="E3" s="114"/>
    </row>
    <row r="4" spans="1:23">
      <c r="A4" s="1"/>
      <c r="B4" s="21" t="s">
        <v>488</v>
      </c>
      <c r="C4" s="13"/>
      <c r="D4" s="13"/>
      <c r="F4" s="135"/>
      <c r="G4" s="135"/>
      <c r="H4" s="135"/>
      <c r="I4" s="114"/>
    </row>
    <row r="5" spans="1:23" ht="15.75">
      <c r="A5" s="1"/>
      <c r="B5" s="77"/>
      <c r="C5" s="122"/>
      <c r="D5" s="122"/>
      <c r="E5" s="101"/>
      <c r="F5" s="114"/>
      <c r="I5" s="122"/>
      <c r="J5" s="122"/>
      <c r="K5" s="122"/>
      <c r="L5" s="122"/>
      <c r="M5" s="114"/>
    </row>
    <row r="6" spans="1:23">
      <c r="A6" s="1"/>
      <c r="B6" s="78"/>
      <c r="C6" s="79">
        <v>2016</v>
      </c>
      <c r="D6" s="79">
        <v>2017</v>
      </c>
      <c r="E6" s="79" t="s">
        <v>3</v>
      </c>
      <c r="F6" s="79" t="s">
        <v>4</v>
      </c>
      <c r="G6" s="79" t="s">
        <v>5</v>
      </c>
      <c r="H6" s="79" t="s">
        <v>6</v>
      </c>
      <c r="I6" s="79" t="s">
        <v>7</v>
      </c>
      <c r="J6" s="79" t="s">
        <v>8</v>
      </c>
      <c r="K6" s="79" t="s">
        <v>9</v>
      </c>
      <c r="L6" s="79" t="s">
        <v>10</v>
      </c>
      <c r="M6" s="79" t="s">
        <v>11</v>
      </c>
      <c r="N6" s="79" t="s">
        <v>12</v>
      </c>
      <c r="O6" s="79" t="s">
        <v>513</v>
      </c>
      <c r="P6" s="360" t="s">
        <v>958</v>
      </c>
      <c r="Q6" s="434" t="s">
        <v>1014</v>
      </c>
      <c r="R6" s="208" t="s">
        <v>1048</v>
      </c>
      <c r="S6" s="208" t="s">
        <v>1187</v>
      </c>
      <c r="T6" s="208" t="s">
        <v>1239</v>
      </c>
      <c r="V6" s="78"/>
      <c r="W6" s="208" t="s">
        <v>1292</v>
      </c>
    </row>
    <row r="7" spans="1:23" ht="15.75">
      <c r="A7" s="1"/>
      <c r="B7" s="80"/>
      <c r="C7" s="81"/>
      <c r="D7" s="81"/>
      <c r="E7" s="81"/>
      <c r="F7" s="81"/>
      <c r="G7" s="81"/>
      <c r="H7" s="81"/>
      <c r="I7" s="81"/>
      <c r="J7" s="81"/>
      <c r="K7" s="81"/>
      <c r="L7" s="81"/>
      <c r="M7" s="81"/>
      <c r="N7" s="81"/>
      <c r="O7" s="81"/>
      <c r="Q7" s="435"/>
      <c r="R7" s="442"/>
      <c r="S7" s="442"/>
      <c r="T7" s="442"/>
    </row>
    <row r="8" spans="1:23" s="1" customFormat="1" ht="15.75">
      <c r="B8" s="124" t="s">
        <v>13</v>
      </c>
      <c r="C8" s="285">
        <v>283605</v>
      </c>
      <c r="D8" s="285">
        <v>156095</v>
      </c>
      <c r="E8" s="285">
        <v>21042</v>
      </c>
      <c r="F8" s="285">
        <v>15734</v>
      </c>
      <c r="G8" s="285">
        <v>11662</v>
      </c>
      <c r="H8" s="285">
        <v>10577</v>
      </c>
      <c r="I8" s="285">
        <v>5408</v>
      </c>
      <c r="J8" s="285">
        <v>4090</v>
      </c>
      <c r="K8" s="285">
        <v>7748</v>
      </c>
      <c r="L8" s="285">
        <v>27746</v>
      </c>
      <c r="M8" s="285">
        <v>24712</v>
      </c>
      <c r="N8" s="285">
        <v>30552</v>
      </c>
      <c r="O8" s="285">
        <v>54420</v>
      </c>
      <c r="P8" s="440">
        <v>46560</v>
      </c>
      <c r="Q8" s="440">
        <v>35725</v>
      </c>
      <c r="R8" s="440">
        <v>38346</v>
      </c>
      <c r="S8" s="440">
        <v>43835.227249999996</v>
      </c>
      <c r="T8" s="440">
        <v>56591</v>
      </c>
      <c r="U8" s="744"/>
      <c r="V8" s="129" t="s">
        <v>13</v>
      </c>
      <c r="W8" s="440">
        <v>21122.73374</v>
      </c>
    </row>
    <row r="9" spans="1:23" s="1" customFormat="1" ht="15.75">
      <c r="B9" s="124" t="s">
        <v>14</v>
      </c>
      <c r="C9" s="285">
        <v>283605</v>
      </c>
      <c r="D9" s="285">
        <v>155944</v>
      </c>
      <c r="E9" s="285">
        <v>20965</v>
      </c>
      <c r="F9" s="285">
        <v>15766</v>
      </c>
      <c r="G9" s="285">
        <v>11648</v>
      </c>
      <c r="H9" s="285">
        <v>10920</v>
      </c>
      <c r="I9" s="285">
        <v>5408</v>
      </c>
      <c r="J9" s="285">
        <v>4089</v>
      </c>
      <c r="K9" s="285">
        <v>7747</v>
      </c>
      <c r="L9" s="285">
        <v>27746</v>
      </c>
      <c r="M9" s="285">
        <v>24712</v>
      </c>
      <c r="N9" s="285">
        <v>30552</v>
      </c>
      <c r="O9" s="285">
        <v>54420</v>
      </c>
      <c r="P9" s="440">
        <v>46560</v>
      </c>
      <c r="Q9" s="440">
        <v>35725</v>
      </c>
      <c r="R9" s="440">
        <v>38346</v>
      </c>
      <c r="S9" s="440">
        <v>43835.227249999996</v>
      </c>
      <c r="T9" s="440">
        <v>56591</v>
      </c>
      <c r="U9" s="744"/>
      <c r="V9" s="129" t="s">
        <v>14</v>
      </c>
      <c r="W9" s="440">
        <v>21122.73374</v>
      </c>
    </row>
    <row r="10" spans="1:23" s="126" customFormat="1" ht="15.75">
      <c r="B10" s="125" t="s">
        <v>15</v>
      </c>
      <c r="C10" s="301">
        <f t="shared" ref="C10:N10" si="0">+C8-C9</f>
        <v>0</v>
      </c>
      <c r="D10" s="301">
        <f t="shared" si="0"/>
        <v>151</v>
      </c>
      <c r="E10" s="301">
        <f t="shared" si="0"/>
        <v>77</v>
      </c>
      <c r="F10" s="301">
        <f t="shared" si="0"/>
        <v>-32</v>
      </c>
      <c r="G10" s="301">
        <f t="shared" si="0"/>
        <v>14</v>
      </c>
      <c r="H10" s="301">
        <f t="shared" si="0"/>
        <v>-343</v>
      </c>
      <c r="I10" s="301">
        <f t="shared" si="0"/>
        <v>0</v>
      </c>
      <c r="J10" s="301">
        <f t="shared" si="0"/>
        <v>1</v>
      </c>
      <c r="K10" s="301">
        <f t="shared" si="0"/>
        <v>1</v>
      </c>
      <c r="L10" s="301">
        <f t="shared" si="0"/>
        <v>0</v>
      </c>
      <c r="M10" s="301">
        <f t="shared" si="0"/>
        <v>0</v>
      </c>
      <c r="N10" s="301">
        <f t="shared" si="0"/>
        <v>0</v>
      </c>
      <c r="O10" s="301">
        <v>0</v>
      </c>
      <c r="P10" s="441">
        <f>+P8-P9</f>
        <v>0</v>
      </c>
      <c r="Q10" s="441">
        <f>+Q8-Q9</f>
        <v>0</v>
      </c>
      <c r="R10" s="441">
        <v>0</v>
      </c>
      <c r="S10" s="441">
        <v>0</v>
      </c>
      <c r="T10" s="441">
        <v>0</v>
      </c>
      <c r="U10" s="744"/>
      <c r="V10" s="132" t="s">
        <v>1293</v>
      </c>
      <c r="W10" s="441">
        <v>0</v>
      </c>
    </row>
    <row r="11" spans="1:23" s="1" customFormat="1" ht="15.75">
      <c r="B11" s="80"/>
      <c r="C11" s="9"/>
      <c r="D11" s="9"/>
      <c r="E11" s="9"/>
      <c r="F11" s="9"/>
      <c r="G11" s="9"/>
      <c r="H11" s="9"/>
      <c r="I11" s="9"/>
      <c r="J11" s="9"/>
      <c r="K11" s="9"/>
      <c r="L11" s="9"/>
      <c r="M11" s="9"/>
      <c r="N11" s="9"/>
      <c r="O11" s="9"/>
      <c r="P11" s="442"/>
      <c r="Q11" s="442"/>
      <c r="R11" s="442"/>
      <c r="S11" s="442"/>
      <c r="T11" s="442"/>
      <c r="U11" s="744"/>
    </row>
    <row r="12" spans="1:23" ht="15.75">
      <c r="A12" s="1"/>
      <c r="B12" s="12" t="s">
        <v>88</v>
      </c>
      <c r="C12" s="285">
        <v>121258</v>
      </c>
      <c r="D12" s="285">
        <v>125996</v>
      </c>
      <c r="E12" s="285">
        <v>42359</v>
      </c>
      <c r="F12" s="285">
        <v>43410</v>
      </c>
      <c r="G12" s="285">
        <v>42480</v>
      </c>
      <c r="H12" s="285">
        <v>43239</v>
      </c>
      <c r="I12" s="285">
        <v>46246</v>
      </c>
      <c r="J12" s="285">
        <v>47154</v>
      </c>
      <c r="K12" s="285">
        <v>46529</v>
      </c>
      <c r="L12" s="285">
        <v>46991</v>
      </c>
      <c r="M12" s="285">
        <v>44865</v>
      </c>
      <c r="N12" s="285">
        <v>47587</v>
      </c>
      <c r="O12" s="285">
        <v>49031</v>
      </c>
      <c r="P12" s="440">
        <v>48720</v>
      </c>
      <c r="Q12" s="440">
        <v>47787</v>
      </c>
      <c r="R12" s="440">
        <v>47924</v>
      </c>
      <c r="S12" s="440">
        <v>47947.756540000002</v>
      </c>
      <c r="T12" s="440">
        <v>47584</v>
      </c>
      <c r="V12" s="129" t="s">
        <v>88</v>
      </c>
      <c r="W12" s="440">
        <v>48135.080750000001</v>
      </c>
    </row>
    <row r="13" spans="1:23" ht="15.75">
      <c r="A13" s="1"/>
      <c r="B13" s="12" t="s">
        <v>110</v>
      </c>
      <c r="C13" s="285">
        <v>0</v>
      </c>
      <c r="D13" s="285">
        <v>2893</v>
      </c>
      <c r="E13" s="285">
        <v>674</v>
      </c>
      <c r="F13" s="285">
        <v>757</v>
      </c>
      <c r="G13" s="285">
        <v>794</v>
      </c>
      <c r="H13" s="285">
        <v>1091</v>
      </c>
      <c r="I13" s="285">
        <v>766</v>
      </c>
      <c r="J13" s="285">
        <v>762</v>
      </c>
      <c r="K13" s="285">
        <v>740</v>
      </c>
      <c r="L13" s="285">
        <v>644</v>
      </c>
      <c r="M13" s="285">
        <v>784</v>
      </c>
      <c r="N13" s="285">
        <v>784</v>
      </c>
      <c r="O13" s="285">
        <v>1043</v>
      </c>
      <c r="P13" s="440">
        <v>802</v>
      </c>
      <c r="Q13" s="440">
        <v>808</v>
      </c>
      <c r="R13" s="440">
        <v>988</v>
      </c>
      <c r="S13" s="440">
        <v>1126.14345</v>
      </c>
      <c r="T13" s="440">
        <v>1076</v>
      </c>
      <c r="V13" s="129" t="s">
        <v>110</v>
      </c>
      <c r="W13" s="440">
        <v>1172.7984899999999</v>
      </c>
    </row>
    <row r="14" spans="1:23" ht="15.75">
      <c r="A14" s="1"/>
      <c r="B14" s="12" t="s">
        <v>22</v>
      </c>
      <c r="C14" s="285">
        <v>0</v>
      </c>
      <c r="D14" s="285">
        <v>0</v>
      </c>
      <c r="E14" s="285">
        <v>0</v>
      </c>
      <c r="F14" s="285">
        <v>0</v>
      </c>
      <c r="G14" s="285">
        <v>0</v>
      </c>
      <c r="H14" s="285">
        <v>0</v>
      </c>
      <c r="I14" s="285">
        <v>0</v>
      </c>
      <c r="J14" s="285">
        <v>0</v>
      </c>
      <c r="K14" s="285">
        <v>0</v>
      </c>
      <c r="L14" s="285">
        <v>0</v>
      </c>
      <c r="M14" s="285">
        <v>0</v>
      </c>
      <c r="N14" s="285">
        <v>0</v>
      </c>
      <c r="O14" s="285">
        <v>0</v>
      </c>
      <c r="P14" s="440">
        <v>67</v>
      </c>
      <c r="Q14" s="440">
        <v>0</v>
      </c>
      <c r="R14" s="440">
        <v>0</v>
      </c>
      <c r="S14" s="440">
        <v>0</v>
      </c>
      <c r="T14" s="440">
        <v>0</v>
      </c>
      <c r="V14" s="129" t="s">
        <v>22</v>
      </c>
      <c r="W14" s="440">
        <v>45.049150000000004</v>
      </c>
    </row>
    <row r="15" spans="1:23" ht="15.75">
      <c r="A15" s="1"/>
      <c r="B15" s="12" t="s">
        <v>23</v>
      </c>
      <c r="C15" s="285">
        <v>14580</v>
      </c>
      <c r="D15" s="285">
        <v>14982</v>
      </c>
      <c r="E15" s="285">
        <v>4565</v>
      </c>
      <c r="F15" s="285">
        <v>4724</v>
      </c>
      <c r="G15" s="285">
        <v>4252</v>
      </c>
      <c r="H15" s="285">
        <v>4744</v>
      </c>
      <c r="I15" s="285">
        <v>4767</v>
      </c>
      <c r="J15" s="285">
        <v>5434</v>
      </c>
      <c r="K15" s="285">
        <v>5453</v>
      </c>
      <c r="L15" s="285">
        <f>5864-17</f>
        <v>5847</v>
      </c>
      <c r="M15" s="285">
        <v>5235</v>
      </c>
      <c r="N15" s="285">
        <v>5249</v>
      </c>
      <c r="O15" s="285">
        <v>4468</v>
      </c>
      <c r="P15" s="440">
        <v>5694</v>
      </c>
      <c r="Q15" s="440">
        <v>5189</v>
      </c>
      <c r="R15" s="440">
        <v>4773</v>
      </c>
      <c r="S15" s="440">
        <v>4937.1898500000007</v>
      </c>
      <c r="T15" s="440">
        <v>5197</v>
      </c>
      <c r="V15" s="129" t="s">
        <v>23</v>
      </c>
      <c r="W15" s="440">
        <v>5919.2042000000001</v>
      </c>
    </row>
    <row r="16" spans="1:23" s="123" customFormat="1" ht="15.75">
      <c r="B16" s="125" t="s">
        <v>24</v>
      </c>
      <c r="C16" s="301">
        <f t="shared" ref="C16:N16" si="1">+SUM(C12:C14)-C15</f>
        <v>106678</v>
      </c>
      <c r="D16" s="301">
        <f t="shared" si="1"/>
        <v>113907</v>
      </c>
      <c r="E16" s="301">
        <f t="shared" si="1"/>
        <v>38468</v>
      </c>
      <c r="F16" s="301">
        <f t="shared" si="1"/>
        <v>39443</v>
      </c>
      <c r="G16" s="301">
        <f t="shared" si="1"/>
        <v>39022</v>
      </c>
      <c r="H16" s="301">
        <f t="shared" si="1"/>
        <v>39586</v>
      </c>
      <c r="I16" s="301">
        <f t="shared" si="1"/>
        <v>42245</v>
      </c>
      <c r="J16" s="301">
        <f t="shared" si="1"/>
        <v>42482</v>
      </c>
      <c r="K16" s="301">
        <f t="shared" si="1"/>
        <v>41816</v>
      </c>
      <c r="L16" s="301">
        <f t="shared" si="1"/>
        <v>41788</v>
      </c>
      <c r="M16" s="301">
        <f t="shared" si="1"/>
        <v>40414</v>
      </c>
      <c r="N16" s="301">
        <f t="shared" si="1"/>
        <v>43122</v>
      </c>
      <c r="O16" s="301">
        <v>45606</v>
      </c>
      <c r="P16" s="441">
        <f>+SUM(P12:P14)-P15</f>
        <v>43895</v>
      </c>
      <c r="Q16" s="441">
        <f>+SUM(Q12:Q14)-Q15</f>
        <v>43406</v>
      </c>
      <c r="R16" s="441">
        <v>44139</v>
      </c>
      <c r="S16" s="441">
        <v>44136.710140000003</v>
      </c>
      <c r="T16" s="441">
        <f>+SUM(T12:T14)-T15</f>
        <v>43463</v>
      </c>
      <c r="U16" s="744"/>
      <c r="V16" s="129" t="s">
        <v>26</v>
      </c>
      <c r="W16" s="440">
        <v>13388.61721</v>
      </c>
    </row>
    <row r="17" spans="1:23" ht="15.75">
      <c r="A17" s="1"/>
      <c r="B17" s="16" t="s">
        <v>25</v>
      </c>
      <c r="C17" s="286">
        <f t="shared" ref="C17:N17" si="2">+C10+C16</f>
        <v>106678</v>
      </c>
      <c r="D17" s="286">
        <f t="shared" si="2"/>
        <v>114058</v>
      </c>
      <c r="E17" s="286">
        <f t="shared" si="2"/>
        <v>38545</v>
      </c>
      <c r="F17" s="286">
        <f t="shared" si="2"/>
        <v>39411</v>
      </c>
      <c r="G17" s="286">
        <f t="shared" si="2"/>
        <v>39036</v>
      </c>
      <c r="H17" s="286">
        <f t="shared" si="2"/>
        <v>39243</v>
      </c>
      <c r="I17" s="286">
        <f t="shared" si="2"/>
        <v>42245</v>
      </c>
      <c r="J17" s="286">
        <f t="shared" si="2"/>
        <v>42483</v>
      </c>
      <c r="K17" s="286">
        <f t="shared" si="2"/>
        <v>41817</v>
      </c>
      <c r="L17" s="286">
        <f t="shared" si="2"/>
        <v>41788</v>
      </c>
      <c r="M17" s="286">
        <f t="shared" si="2"/>
        <v>40414</v>
      </c>
      <c r="N17" s="286">
        <f t="shared" si="2"/>
        <v>43122</v>
      </c>
      <c r="O17" s="286">
        <v>45606</v>
      </c>
      <c r="P17" s="443">
        <f>+P10+P16</f>
        <v>43895</v>
      </c>
      <c r="Q17" s="443">
        <f>+Q10+Q16</f>
        <v>43406</v>
      </c>
      <c r="R17" s="443">
        <v>44139</v>
      </c>
      <c r="S17" s="443">
        <v>44136.710140000003</v>
      </c>
      <c r="T17" s="443">
        <f>+T10+T16</f>
        <v>43463</v>
      </c>
      <c r="V17" s="130" t="s">
        <v>677</v>
      </c>
      <c r="W17" s="443">
        <v>30045.10698</v>
      </c>
    </row>
    <row r="18" spans="1:23" ht="15.75">
      <c r="A18" s="1"/>
      <c r="B18" s="10"/>
      <c r="C18" s="9"/>
      <c r="D18" s="9"/>
      <c r="E18" s="9"/>
      <c r="F18" s="9"/>
      <c r="G18" s="9"/>
      <c r="H18" s="9"/>
      <c r="I18" s="9"/>
      <c r="J18" s="9"/>
      <c r="K18" s="9"/>
      <c r="L18" s="9"/>
      <c r="M18" s="9"/>
      <c r="N18" s="9"/>
      <c r="O18" s="9"/>
      <c r="P18" s="442"/>
      <c r="Q18" s="442"/>
      <c r="R18" s="442"/>
      <c r="S18" s="442"/>
      <c r="T18" s="442"/>
    </row>
    <row r="19" spans="1:23" ht="15.75">
      <c r="B19" s="12" t="s">
        <v>26</v>
      </c>
      <c r="C19" s="285">
        <v>32486</v>
      </c>
      <c r="D19" s="285">
        <v>35279</v>
      </c>
      <c r="E19" s="285">
        <v>13382</v>
      </c>
      <c r="F19" s="285">
        <v>13871</v>
      </c>
      <c r="G19" s="285">
        <v>13742</v>
      </c>
      <c r="H19" s="285">
        <v>12613</v>
      </c>
      <c r="I19" s="285">
        <v>13488</v>
      </c>
      <c r="J19" s="285">
        <v>13464</v>
      </c>
      <c r="K19" s="285">
        <v>13471</v>
      </c>
      <c r="L19" s="285">
        <v>12325</v>
      </c>
      <c r="M19" s="285">
        <v>14146</v>
      </c>
      <c r="N19" s="285">
        <v>14145</v>
      </c>
      <c r="O19" s="285">
        <v>14139</v>
      </c>
      <c r="P19" s="440">
        <v>13834</v>
      </c>
      <c r="Q19" s="440">
        <v>13369</v>
      </c>
      <c r="R19" s="440">
        <v>13640</v>
      </c>
      <c r="S19" s="440">
        <v>13426.29434</v>
      </c>
      <c r="T19" s="440">
        <v>15004</v>
      </c>
    </row>
    <row r="20" spans="1:23" ht="15.75">
      <c r="B20" s="12" t="s">
        <v>27</v>
      </c>
      <c r="C20" s="285">
        <v>0</v>
      </c>
      <c r="D20" s="285">
        <v>0</v>
      </c>
      <c r="E20" s="285">
        <v>0</v>
      </c>
      <c r="F20" s="285">
        <v>0</v>
      </c>
      <c r="G20" s="285">
        <v>0</v>
      </c>
      <c r="H20" s="285">
        <v>0</v>
      </c>
      <c r="I20" s="285">
        <v>0</v>
      </c>
      <c r="J20" s="285">
        <v>0</v>
      </c>
      <c r="K20" s="285">
        <v>0</v>
      </c>
      <c r="L20" s="285">
        <v>0</v>
      </c>
      <c r="M20" s="285">
        <v>0</v>
      </c>
      <c r="N20" s="285">
        <v>0</v>
      </c>
      <c r="O20" s="285">
        <v>0</v>
      </c>
      <c r="P20" s="440">
        <v>0</v>
      </c>
      <c r="Q20" s="440">
        <v>0</v>
      </c>
      <c r="R20" s="440">
        <v>0</v>
      </c>
      <c r="S20" s="440">
        <v>0</v>
      </c>
      <c r="T20" s="440">
        <v>0</v>
      </c>
      <c r="V20" s="129" t="s">
        <v>27</v>
      </c>
      <c r="W20" s="807">
        <v>0</v>
      </c>
    </row>
    <row r="21" spans="1:23" ht="15.75">
      <c r="B21" s="12" t="s">
        <v>28</v>
      </c>
      <c r="C21" s="285">
        <v>1</v>
      </c>
      <c r="D21" s="285">
        <v>-504</v>
      </c>
      <c r="E21" s="285">
        <v>-142</v>
      </c>
      <c r="F21" s="285">
        <v>-64</v>
      </c>
      <c r="G21" s="285">
        <v>-135</v>
      </c>
      <c r="H21" s="285">
        <v>-210</v>
      </c>
      <c r="I21" s="285">
        <v>-30</v>
      </c>
      <c r="J21" s="285">
        <v>37</v>
      </c>
      <c r="K21" s="285">
        <v>-63</v>
      </c>
      <c r="L21" s="285">
        <v>-467</v>
      </c>
      <c r="M21" s="285">
        <v>76</v>
      </c>
      <c r="N21" s="285">
        <v>156</v>
      </c>
      <c r="O21" s="285">
        <v>-232</v>
      </c>
      <c r="P21" s="440">
        <f>-56+111</f>
        <v>55</v>
      </c>
      <c r="Q21" s="440">
        <v>55</v>
      </c>
      <c r="R21" s="440">
        <v>132</v>
      </c>
      <c r="S21" s="440">
        <v>4.6802800000000104</v>
      </c>
      <c r="T21" s="440">
        <f>213+59</f>
        <v>272</v>
      </c>
      <c r="V21" s="129" t="s">
        <v>28</v>
      </c>
      <c r="W21" s="807">
        <v>0</v>
      </c>
    </row>
    <row r="22" spans="1:23" ht="15.75">
      <c r="B22" s="16" t="s">
        <v>29</v>
      </c>
      <c r="C22" s="286">
        <f t="shared" ref="C22:M22" si="3">+C17-C19+C20+C21</f>
        <v>74193</v>
      </c>
      <c r="D22" s="286">
        <f t="shared" si="3"/>
        <v>78275</v>
      </c>
      <c r="E22" s="286">
        <f t="shared" si="3"/>
        <v>25021</v>
      </c>
      <c r="F22" s="286">
        <f t="shared" si="3"/>
        <v>25476</v>
      </c>
      <c r="G22" s="286">
        <f t="shared" si="3"/>
        <v>25159</v>
      </c>
      <c r="H22" s="286">
        <f t="shared" si="3"/>
        <v>26420</v>
      </c>
      <c r="I22" s="286">
        <f>+I17-I19+I20+I21</f>
        <v>28727</v>
      </c>
      <c r="J22" s="286">
        <f>+J17-J19+J20+J21</f>
        <v>29056</v>
      </c>
      <c r="K22" s="286">
        <f>+K17-K19+K20+K21</f>
        <v>28283</v>
      </c>
      <c r="L22" s="286">
        <f>+L17-L19+L20+L21</f>
        <v>28996</v>
      </c>
      <c r="M22" s="286">
        <f t="shared" si="3"/>
        <v>26344</v>
      </c>
      <c r="N22" s="286">
        <f>+N17-N19+N20+N21</f>
        <v>29133</v>
      </c>
      <c r="O22" s="286">
        <v>31235</v>
      </c>
      <c r="P22" s="443">
        <f>+P17-P19+P20+P21</f>
        <v>30116</v>
      </c>
      <c r="Q22" s="443">
        <f>+Q17-Q19+Q20+Q21</f>
        <v>30092</v>
      </c>
      <c r="R22" s="443">
        <v>30631</v>
      </c>
      <c r="S22" s="443">
        <v>30715.096080000003</v>
      </c>
      <c r="T22" s="443">
        <f>+T17-T19+T20+T21</f>
        <v>28731</v>
      </c>
      <c r="V22" s="130" t="s">
        <v>29</v>
      </c>
      <c r="W22" s="808">
        <v>30045.10698</v>
      </c>
    </row>
    <row r="23" spans="1:23" ht="15.75">
      <c r="B23" s="12"/>
      <c r="C23" s="265"/>
      <c r="D23" s="265"/>
      <c r="E23" s="265"/>
      <c r="F23" s="265"/>
      <c r="G23" s="265"/>
      <c r="H23" s="265"/>
      <c r="I23" s="265"/>
      <c r="J23" s="265"/>
      <c r="K23" s="265"/>
      <c r="L23" s="265"/>
      <c r="M23" s="265"/>
      <c r="N23" s="265"/>
      <c r="O23" s="265"/>
      <c r="P23" s="265"/>
      <c r="Q23" s="265"/>
      <c r="R23" s="265"/>
      <c r="S23" s="265">
        <v>0</v>
      </c>
      <c r="T23" s="265"/>
      <c r="V23" s="129"/>
      <c r="W23" s="807"/>
    </row>
    <row r="24" spans="1:23" ht="15.75">
      <c r="B24" s="12" t="s">
        <v>30</v>
      </c>
      <c r="C24" s="285">
        <v>-10139</v>
      </c>
      <c r="D24" s="285">
        <v>-12892</v>
      </c>
      <c r="E24" s="285">
        <v>-6610</v>
      </c>
      <c r="F24" s="285">
        <v>-7362</v>
      </c>
      <c r="G24" s="285">
        <v>-6708</v>
      </c>
      <c r="H24" s="285">
        <v>-5977</v>
      </c>
      <c r="I24" s="285">
        <v>-6213</v>
      </c>
      <c r="J24" s="285">
        <f>-13819+7</f>
        <v>-13812</v>
      </c>
      <c r="K24" s="285">
        <v>-7203</v>
      </c>
      <c r="L24" s="285">
        <f>-5794-18</f>
        <v>-5812</v>
      </c>
      <c r="M24" s="285">
        <f>-ROUND(7043.06927,0)</f>
        <v>-7043</v>
      </c>
      <c r="N24" s="285">
        <v>-8426</v>
      </c>
      <c r="O24" s="285">
        <v>-7762</v>
      </c>
      <c r="P24" s="440">
        <v>-7773</v>
      </c>
      <c r="Q24" s="440">
        <v>-7360</v>
      </c>
      <c r="R24" s="440">
        <v>-8847</v>
      </c>
      <c r="S24" s="440">
        <v>-7160.5661899999977</v>
      </c>
      <c r="T24" s="440">
        <v>-6881</v>
      </c>
      <c r="V24" s="129" t="s">
        <v>30</v>
      </c>
      <c r="W24" s="807">
        <v>-4824.0658900000008</v>
      </c>
    </row>
    <row r="25" spans="1:23" ht="15.75">
      <c r="B25" s="16" t="s">
        <v>31</v>
      </c>
      <c r="C25" s="287">
        <f t="shared" ref="C25:N25" si="4">+C22+C24</f>
        <v>64054</v>
      </c>
      <c r="D25" s="287">
        <f t="shared" si="4"/>
        <v>65383</v>
      </c>
      <c r="E25" s="287">
        <f t="shared" si="4"/>
        <v>18411</v>
      </c>
      <c r="F25" s="287">
        <f t="shared" si="4"/>
        <v>18114</v>
      </c>
      <c r="G25" s="287">
        <f t="shared" si="4"/>
        <v>18451</v>
      </c>
      <c r="H25" s="287">
        <f t="shared" si="4"/>
        <v>20443</v>
      </c>
      <c r="I25" s="287">
        <f t="shared" si="4"/>
        <v>22514</v>
      </c>
      <c r="J25" s="287">
        <f t="shared" si="4"/>
        <v>15244</v>
      </c>
      <c r="K25" s="287">
        <f t="shared" si="4"/>
        <v>21080</v>
      </c>
      <c r="L25" s="287">
        <f t="shared" si="4"/>
        <v>23184</v>
      </c>
      <c r="M25" s="287">
        <f t="shared" si="4"/>
        <v>19301</v>
      </c>
      <c r="N25" s="287">
        <f t="shared" si="4"/>
        <v>20707</v>
      </c>
      <c r="O25" s="287">
        <v>23473</v>
      </c>
      <c r="P25" s="444">
        <f>+P22+P24</f>
        <v>22343</v>
      </c>
      <c r="Q25" s="444">
        <f>+Q22+Q24</f>
        <v>22732</v>
      </c>
      <c r="R25" s="444">
        <v>21784</v>
      </c>
      <c r="S25" s="444">
        <v>23554.529890000005</v>
      </c>
      <c r="T25" s="444">
        <f>+T22+T24</f>
        <v>21850</v>
      </c>
      <c r="V25" s="130" t="s">
        <v>31</v>
      </c>
      <c r="W25" s="808">
        <v>25221.041089999999</v>
      </c>
    </row>
    <row r="26" spans="1:23" ht="15.75">
      <c r="B26" s="10"/>
      <c r="C26" s="9"/>
      <c r="D26" s="9"/>
      <c r="E26" s="9"/>
      <c r="F26" s="9"/>
      <c r="G26" s="9"/>
      <c r="H26" s="9"/>
      <c r="I26" s="9"/>
      <c r="J26" s="9"/>
      <c r="K26" s="9"/>
      <c r="L26" s="9"/>
      <c r="M26" s="9"/>
      <c r="N26" s="9"/>
      <c r="O26" s="9"/>
      <c r="P26" s="442"/>
      <c r="Q26" s="442"/>
      <c r="R26" s="442"/>
      <c r="S26" s="442">
        <v>0</v>
      </c>
      <c r="T26" s="442"/>
      <c r="V26" s="10"/>
      <c r="W26" s="809"/>
    </row>
    <row r="27" spans="1:23" ht="15.75">
      <c r="B27" s="12" t="s">
        <v>32</v>
      </c>
      <c r="C27" s="285">
        <v>21027</v>
      </c>
      <c r="D27" s="285">
        <v>20810</v>
      </c>
      <c r="E27" s="285">
        <v>5794</v>
      </c>
      <c r="F27" s="285">
        <v>5691</v>
      </c>
      <c r="G27" s="285">
        <v>5679</v>
      </c>
      <c r="H27" s="285">
        <v>6558</v>
      </c>
      <c r="I27" s="285">
        <v>6894</v>
      </c>
      <c r="J27" s="285">
        <v>4476</v>
      </c>
      <c r="K27" s="285">
        <v>6566</v>
      </c>
      <c r="L27" s="285">
        <v>6727</v>
      </c>
      <c r="M27" s="285">
        <v>5790</v>
      </c>
      <c r="N27" s="285">
        <v>6200</v>
      </c>
      <c r="O27" s="285">
        <v>6955</v>
      </c>
      <c r="P27" s="440">
        <v>6895</v>
      </c>
      <c r="Q27" s="440">
        <v>-6707</v>
      </c>
      <c r="R27" s="440">
        <v>6436</v>
      </c>
      <c r="S27" s="440">
        <v>7217.3583299999991</v>
      </c>
      <c r="T27" s="440">
        <v>6505</v>
      </c>
      <c r="V27" s="129" t="s">
        <v>32</v>
      </c>
      <c r="W27" s="807">
        <v>7515.38591</v>
      </c>
    </row>
    <row r="28" spans="1:23" ht="15.75">
      <c r="B28" s="16" t="s">
        <v>35</v>
      </c>
      <c r="C28" s="287">
        <f t="shared" ref="C28:N28" si="5">+C25-C27</f>
        <v>43027</v>
      </c>
      <c r="D28" s="287">
        <f t="shared" si="5"/>
        <v>44573</v>
      </c>
      <c r="E28" s="287">
        <f t="shared" si="5"/>
        <v>12617</v>
      </c>
      <c r="F28" s="287">
        <f t="shared" si="5"/>
        <v>12423</v>
      </c>
      <c r="G28" s="287">
        <f t="shared" si="5"/>
        <v>12772</v>
      </c>
      <c r="H28" s="287">
        <f t="shared" si="5"/>
        <v>13885</v>
      </c>
      <c r="I28" s="287">
        <f t="shared" si="5"/>
        <v>15620</v>
      </c>
      <c r="J28" s="287">
        <f t="shared" si="5"/>
        <v>10768</v>
      </c>
      <c r="K28" s="287">
        <f t="shared" si="5"/>
        <v>14514</v>
      </c>
      <c r="L28" s="287">
        <f t="shared" si="5"/>
        <v>16457</v>
      </c>
      <c r="M28" s="287">
        <f t="shared" si="5"/>
        <v>13511</v>
      </c>
      <c r="N28" s="287">
        <f t="shared" si="5"/>
        <v>14507</v>
      </c>
      <c r="O28" s="287">
        <v>16518</v>
      </c>
      <c r="P28" s="444">
        <f>+P25-P27</f>
        <v>15448</v>
      </c>
      <c r="Q28" s="444">
        <f>+Q25-Q27</f>
        <v>29439</v>
      </c>
      <c r="R28" s="444">
        <v>15348</v>
      </c>
      <c r="S28" s="444">
        <v>16337.171560000006</v>
      </c>
      <c r="T28" s="444">
        <f>+T25-T27</f>
        <v>15345</v>
      </c>
      <c r="V28" s="130" t="s">
        <v>35</v>
      </c>
      <c r="W28" s="808">
        <v>17705.655179999998</v>
      </c>
    </row>
    <row r="29" spans="1:23" s="1" customFormat="1" ht="15.75">
      <c r="B29" s="14"/>
      <c r="C29" s="301"/>
      <c r="D29" s="301"/>
      <c r="E29" s="301"/>
      <c r="F29" s="301"/>
      <c r="G29" s="301"/>
      <c r="H29" s="301"/>
      <c r="I29" s="301"/>
      <c r="J29" s="301"/>
      <c r="K29" s="301"/>
      <c r="L29" s="301"/>
      <c r="M29" s="301"/>
      <c r="N29" s="301"/>
      <c r="O29" s="301"/>
      <c r="P29" s="441"/>
      <c r="Q29" s="441"/>
      <c r="R29" s="441"/>
      <c r="S29" s="441"/>
      <c r="T29" s="135"/>
      <c r="U29" s="744"/>
      <c r="W29" s="599"/>
    </row>
    <row r="30" spans="1:23" ht="15.75">
      <c r="B30" s="14"/>
      <c r="C30" s="301"/>
      <c r="D30" s="301"/>
      <c r="E30" s="301"/>
      <c r="F30" s="301"/>
      <c r="G30" s="301"/>
      <c r="H30" s="301"/>
      <c r="I30" s="301"/>
      <c r="J30" s="301"/>
      <c r="K30" s="301"/>
      <c r="L30" s="301"/>
      <c r="M30" s="301"/>
      <c r="N30" s="301"/>
      <c r="O30" s="301"/>
      <c r="P30" s="441"/>
      <c r="Q30" s="441"/>
      <c r="R30" s="441"/>
      <c r="S30" s="441"/>
      <c r="T30" s="135"/>
      <c r="W30" s="599"/>
    </row>
    <row r="31" spans="1:23" ht="15.75">
      <c r="B31" s="5"/>
      <c r="C31" s="302"/>
      <c r="D31" s="302"/>
      <c r="E31" s="302"/>
      <c r="F31" s="302"/>
      <c r="G31" s="302"/>
      <c r="H31" s="302"/>
      <c r="I31" s="302"/>
      <c r="J31" s="302"/>
      <c r="K31" s="302"/>
      <c r="L31" s="302"/>
      <c r="M31" s="302"/>
      <c r="N31" s="302"/>
      <c r="O31" s="302"/>
      <c r="P31" s="302"/>
      <c r="Q31" s="302"/>
      <c r="R31" s="302"/>
      <c r="S31" s="302"/>
      <c r="T31" s="135"/>
      <c r="V31" s="130" t="s">
        <v>1299</v>
      </c>
      <c r="W31" s="808">
        <v>43770.534</v>
      </c>
    </row>
    <row r="32" spans="1:23" ht="15.75">
      <c r="A32" s="155" t="s">
        <v>469</v>
      </c>
      <c r="B32" s="19" t="s">
        <v>464</v>
      </c>
      <c r="C32" s="75"/>
      <c r="D32" s="75"/>
      <c r="E32" s="590"/>
      <c r="F32" s="75"/>
      <c r="G32" s="75"/>
      <c r="H32" s="75"/>
      <c r="I32" s="590"/>
      <c r="J32" s="75"/>
      <c r="K32" s="75"/>
      <c r="L32" s="75"/>
      <c r="M32" s="590"/>
      <c r="N32" s="75"/>
      <c r="O32" s="75"/>
      <c r="P32" s="75"/>
      <c r="Q32" s="75"/>
      <c r="R32" s="75"/>
      <c r="S32" s="75"/>
      <c r="T32" s="135"/>
    </row>
    <row r="33" spans="2:23" ht="15.75">
      <c r="B33" s="21" t="s">
        <v>488</v>
      </c>
      <c r="C33" s="302"/>
      <c r="D33" s="302"/>
      <c r="E33" s="302"/>
      <c r="F33" s="302"/>
      <c r="G33" s="302"/>
      <c r="H33" s="302"/>
      <c r="I33" s="302"/>
      <c r="J33" s="302"/>
      <c r="K33" s="302"/>
      <c r="L33" s="302"/>
      <c r="M33" s="302"/>
      <c r="N33" s="302"/>
      <c r="O33" s="302"/>
      <c r="P33" s="302"/>
      <c r="Q33" s="302"/>
      <c r="R33" s="302"/>
      <c r="S33" s="302"/>
      <c r="T33" s="135"/>
    </row>
    <row r="34" spans="2:23" s="1" customFormat="1" ht="15.75">
      <c r="B34" s="21"/>
      <c r="C34" s="302"/>
      <c r="D34" s="302"/>
      <c r="E34" s="302"/>
      <c r="F34" s="302"/>
      <c r="G34" s="302"/>
      <c r="H34" s="302"/>
      <c r="I34" s="302"/>
      <c r="J34" s="302"/>
      <c r="K34" s="302"/>
      <c r="L34" s="302"/>
      <c r="M34" s="302"/>
      <c r="N34" s="302"/>
      <c r="O34" s="302"/>
      <c r="P34" s="302"/>
      <c r="Q34" s="302"/>
      <c r="R34" s="302"/>
      <c r="S34" s="302"/>
      <c r="T34" s="135"/>
      <c r="U34" s="744"/>
    </row>
    <row r="35" spans="2:23" ht="15.75" thickBot="1">
      <c r="B35" s="78"/>
      <c r="C35" s="208"/>
      <c r="D35" s="208"/>
      <c r="E35" s="208"/>
      <c r="F35" s="208"/>
      <c r="G35" s="208"/>
      <c r="H35" s="208"/>
      <c r="I35" s="208"/>
      <c r="J35" s="208"/>
      <c r="K35" s="208"/>
      <c r="L35" s="208"/>
      <c r="M35" s="208"/>
      <c r="N35" s="208"/>
      <c r="O35" s="208"/>
      <c r="P35" s="208"/>
      <c r="Q35" s="208"/>
      <c r="R35" s="208"/>
      <c r="S35" s="208"/>
      <c r="T35" s="208"/>
      <c r="V35" s="78"/>
      <c r="W35" s="208"/>
    </row>
    <row r="36" spans="2:23" ht="15.75" thickBot="1">
      <c r="B36" s="56" t="s">
        <v>37</v>
      </c>
      <c r="C36" s="445"/>
      <c r="D36" s="445"/>
      <c r="E36" s="445"/>
      <c r="F36" s="445"/>
      <c r="G36" s="445"/>
      <c r="H36" s="445"/>
      <c r="I36" s="445"/>
      <c r="J36" s="445"/>
      <c r="K36" s="445"/>
      <c r="L36" s="445"/>
      <c r="M36" s="445"/>
      <c r="N36" s="445"/>
      <c r="O36" s="445"/>
      <c r="P36" s="445"/>
      <c r="Q36" s="445"/>
      <c r="R36" s="445"/>
      <c r="S36" s="445"/>
      <c r="T36" s="445"/>
      <c r="V36" s="56" t="s">
        <v>37</v>
      </c>
      <c r="W36" s="445"/>
    </row>
    <row r="37" spans="2:23" ht="15.75" thickBot="1">
      <c r="B37" s="58" t="s">
        <v>38</v>
      </c>
      <c r="C37" s="292"/>
      <c r="D37" s="292"/>
      <c r="E37" s="292"/>
      <c r="F37" s="292"/>
      <c r="G37" s="292"/>
      <c r="H37" s="292"/>
      <c r="I37" s="292"/>
      <c r="J37" s="292"/>
      <c r="K37" s="292"/>
      <c r="L37" s="292"/>
      <c r="M37" s="292"/>
      <c r="N37" s="446"/>
      <c r="O37" s="446"/>
      <c r="P37" s="446"/>
      <c r="Q37" s="446"/>
      <c r="R37" s="446"/>
      <c r="S37" s="446"/>
      <c r="T37" s="446"/>
      <c r="V37" s="58" t="s">
        <v>38</v>
      </c>
      <c r="W37" s="446"/>
    </row>
    <row r="38" spans="2:23" s="1" customFormat="1" ht="15.75">
      <c r="B38" s="12" t="s">
        <v>489</v>
      </c>
      <c r="C38" s="285">
        <v>3100.344599999974</v>
      </c>
      <c r="D38" s="285">
        <v>22845.066629999998</v>
      </c>
      <c r="E38" s="285">
        <v>70681.831069999986</v>
      </c>
      <c r="F38" s="285">
        <v>9464.051300000001</v>
      </c>
      <c r="G38" s="285">
        <v>17494.000309999999</v>
      </c>
      <c r="H38" s="285">
        <v>24390.453149999998</v>
      </c>
      <c r="I38" s="285">
        <v>26200.126370000002</v>
      </c>
      <c r="J38" s="285">
        <v>48222.839619999999</v>
      </c>
      <c r="K38" s="285">
        <v>56073.660929999998</v>
      </c>
      <c r="L38" s="285">
        <v>34742.533000000003</v>
      </c>
      <c r="M38" s="285">
        <v>60515.888200000001</v>
      </c>
      <c r="N38" s="285">
        <v>77607.050920000009</v>
      </c>
      <c r="O38" s="285">
        <v>190640</v>
      </c>
      <c r="P38" s="440">
        <v>69361</v>
      </c>
      <c r="Q38" s="440">
        <v>53381</v>
      </c>
      <c r="R38" s="440">
        <v>120800</v>
      </c>
      <c r="S38" s="440">
        <v>73810.39181999999</v>
      </c>
      <c r="T38" s="440">
        <v>51935</v>
      </c>
      <c r="U38" s="744"/>
      <c r="V38" s="129" t="s">
        <v>489</v>
      </c>
      <c r="W38" s="440">
        <v>75447.950700000001</v>
      </c>
    </row>
    <row r="39" spans="2:23" s="1" customFormat="1" ht="15.75">
      <c r="B39" s="12" t="s">
        <v>490</v>
      </c>
      <c r="C39" s="285">
        <v>12810.560829999999</v>
      </c>
      <c r="D39" s="285">
        <v>17902.028999999999</v>
      </c>
      <c r="E39" s="285">
        <v>18674.970209999999</v>
      </c>
      <c r="F39" s="285">
        <v>19132.43346</v>
      </c>
      <c r="G39" s="285">
        <v>19834.966769999999</v>
      </c>
      <c r="H39" s="285">
        <v>22121.309000000001</v>
      </c>
      <c r="I39" s="285">
        <v>21651.036929999998</v>
      </c>
      <c r="J39" s="285">
        <v>21802.442440000003</v>
      </c>
      <c r="K39" s="285">
        <v>21421.465769999999</v>
      </c>
      <c r="L39" s="285">
        <v>22929.362000000001</v>
      </c>
      <c r="M39" s="285">
        <v>22076.112920000003</v>
      </c>
      <c r="N39" s="285">
        <v>23792.642019999999</v>
      </c>
      <c r="O39" s="285">
        <v>25650</v>
      </c>
      <c r="P39" s="440">
        <v>27395</v>
      </c>
      <c r="Q39" s="440">
        <v>29095</v>
      </c>
      <c r="R39" s="440">
        <v>31157</v>
      </c>
      <c r="S39" s="440">
        <v>32158.946390000001</v>
      </c>
      <c r="T39" s="440">
        <v>31603</v>
      </c>
      <c r="U39" s="744"/>
      <c r="V39" s="129" t="s">
        <v>111</v>
      </c>
      <c r="W39" s="440">
        <v>24537.460449999999</v>
      </c>
    </row>
    <row r="40" spans="2:23" s="1" customFormat="1" ht="15.75">
      <c r="B40" s="12" t="s">
        <v>491</v>
      </c>
      <c r="C40" s="285">
        <v>49989.800999999999</v>
      </c>
      <c r="D40" s="285">
        <v>17941.57</v>
      </c>
      <c r="E40" s="285">
        <v>16585.751039999999</v>
      </c>
      <c r="F40" s="285">
        <v>23471.900320000001</v>
      </c>
      <c r="G40" s="285">
        <v>23591.421739999998</v>
      </c>
      <c r="H40" s="285">
        <v>15075.039000000001</v>
      </c>
      <c r="I40" s="285">
        <v>19694.16762</v>
      </c>
      <c r="J40" s="285">
        <v>25493.541989999998</v>
      </c>
      <c r="K40" s="285">
        <v>29403.13377</v>
      </c>
      <c r="L40" s="285">
        <v>22255.904999999999</v>
      </c>
      <c r="M40" s="285">
        <v>29651.705600000001</v>
      </c>
      <c r="N40" s="285">
        <v>28825.336380000001</v>
      </c>
      <c r="O40" s="285">
        <v>12884</v>
      </c>
      <c r="P40" s="440">
        <v>19514</v>
      </c>
      <c r="Q40" s="440">
        <v>23111</v>
      </c>
      <c r="R40" s="440">
        <v>26560</v>
      </c>
      <c r="S40" s="440">
        <v>32588.31911</v>
      </c>
      <c r="T40" s="440">
        <v>27192</v>
      </c>
      <c r="U40" s="744"/>
      <c r="V40" s="129" t="s">
        <v>112</v>
      </c>
      <c r="W40" s="440">
        <v>30419.750980000004</v>
      </c>
    </row>
    <row r="41" spans="2:23" s="1" customFormat="1" ht="15.75">
      <c r="B41" s="12" t="s">
        <v>492</v>
      </c>
      <c r="C41" s="285">
        <v>5982.3008300000001</v>
      </c>
      <c r="D41" s="285">
        <v>3611.2267599999996</v>
      </c>
      <c r="E41" s="285">
        <v>4010.4315799999999</v>
      </c>
      <c r="F41" s="285">
        <v>4291.6916799999999</v>
      </c>
      <c r="G41" s="285">
        <v>4152.8440000000001</v>
      </c>
      <c r="H41" s="285">
        <v>5643.4131900000002</v>
      </c>
      <c r="I41" s="285">
        <v>5656.2311900000004</v>
      </c>
      <c r="J41" s="285">
        <v>5944.5310300000001</v>
      </c>
      <c r="K41" s="285">
        <v>5872.55357</v>
      </c>
      <c r="L41" s="285">
        <v>5777.8597499999996</v>
      </c>
      <c r="M41" s="285">
        <v>5696.3175700000002</v>
      </c>
      <c r="N41" s="285">
        <v>5735.0665799999997</v>
      </c>
      <c r="O41" s="285">
        <v>5988</v>
      </c>
      <c r="P41" s="440">
        <v>6263</v>
      </c>
      <c r="Q41" s="440">
        <v>6276</v>
      </c>
      <c r="R41" s="440">
        <v>6405</v>
      </c>
      <c r="S41" s="440">
        <v>6367.4235399999998</v>
      </c>
      <c r="T41" s="440">
        <v>6506</v>
      </c>
      <c r="U41" s="744"/>
      <c r="V41" s="129" t="s">
        <v>492</v>
      </c>
      <c r="W41" s="440">
        <v>6395.9930400000003</v>
      </c>
    </row>
    <row r="42" spans="2:23" s="1" customFormat="1" ht="15.75">
      <c r="B42" s="12" t="s">
        <v>114</v>
      </c>
      <c r="C42" s="285">
        <v>640.41286000000002</v>
      </c>
      <c r="D42" s="285">
        <v>884.24045999999998</v>
      </c>
      <c r="E42" s="285">
        <v>508.52312999999998</v>
      </c>
      <c r="F42" s="285">
        <v>100.48341000000001</v>
      </c>
      <c r="G42" s="285">
        <v>2835.7186000000002</v>
      </c>
      <c r="H42" s="285">
        <v>2309.1588999999999</v>
      </c>
      <c r="I42" s="285">
        <v>1847.0334399999999</v>
      </c>
      <c r="J42" s="285">
        <v>1382.75173</v>
      </c>
      <c r="K42" s="285">
        <v>1438.3046899999999</v>
      </c>
      <c r="L42" s="285">
        <v>1110.6847499999999</v>
      </c>
      <c r="M42" s="285">
        <v>3141.8599700000004</v>
      </c>
      <c r="N42" s="285">
        <v>2286.6473900000001</v>
      </c>
      <c r="O42" s="285">
        <v>3247</v>
      </c>
      <c r="P42" s="440">
        <v>2535</v>
      </c>
      <c r="Q42" s="440">
        <v>1886</v>
      </c>
      <c r="R42" s="440">
        <v>855</v>
      </c>
      <c r="S42" s="440">
        <v>3241.9642399999998</v>
      </c>
      <c r="T42" s="440">
        <v>2715</v>
      </c>
      <c r="U42" s="744"/>
      <c r="V42" s="129" t="s">
        <v>114</v>
      </c>
      <c r="W42" s="440">
        <v>2535.1574599999999</v>
      </c>
    </row>
    <row r="43" spans="2:23" s="1" customFormat="1" ht="15.75">
      <c r="B43" s="12" t="s">
        <v>493</v>
      </c>
      <c r="C43" s="285">
        <v>0</v>
      </c>
      <c r="D43" s="285">
        <v>0</v>
      </c>
      <c r="E43" s="285">
        <v>0</v>
      </c>
      <c r="F43" s="285">
        <v>0</v>
      </c>
      <c r="G43" s="285">
        <v>0</v>
      </c>
      <c r="H43" s="285">
        <v>0</v>
      </c>
      <c r="I43" s="285">
        <v>0</v>
      </c>
      <c r="J43" s="285">
        <v>0</v>
      </c>
      <c r="K43" s="285">
        <v>0</v>
      </c>
      <c r="L43" s="285">
        <v>16800</v>
      </c>
      <c r="M43" s="285">
        <v>0</v>
      </c>
      <c r="N43" s="285">
        <v>0</v>
      </c>
      <c r="O43" s="285">
        <v>0</v>
      </c>
      <c r="P43" s="440">
        <v>87162</v>
      </c>
      <c r="Q43" s="440">
        <v>101467</v>
      </c>
      <c r="R43" s="440">
        <v>0</v>
      </c>
      <c r="S43" s="440">
        <v>0</v>
      </c>
      <c r="T43" s="440">
        <v>0</v>
      </c>
      <c r="U43" s="744"/>
      <c r="V43" s="129" t="s">
        <v>101</v>
      </c>
      <c r="W43" s="440">
        <v>0</v>
      </c>
    </row>
    <row r="44" spans="2:23" s="1" customFormat="1" ht="15.75">
      <c r="B44" s="12" t="s">
        <v>115</v>
      </c>
      <c r="C44" s="285">
        <v>1199.6198100000001</v>
      </c>
      <c r="D44" s="285">
        <v>228.60698000000002</v>
      </c>
      <c r="E44" s="285">
        <v>14306.933789999999</v>
      </c>
      <c r="F44" s="285">
        <v>16859.066079999997</v>
      </c>
      <c r="G44" s="285">
        <v>21160.5255</v>
      </c>
      <c r="H44" s="285">
        <v>25120.717840000001</v>
      </c>
      <c r="I44" s="285">
        <v>25053.772639999999</v>
      </c>
      <c r="J44" s="285">
        <v>25293.328850000002</v>
      </c>
      <c r="K44" s="285">
        <v>28194.066269999999</v>
      </c>
      <c r="L44" s="285">
        <v>26294.862000000001</v>
      </c>
      <c r="M44" s="285">
        <v>20390.904190000001</v>
      </c>
      <c r="N44" s="285">
        <v>18834.96312</v>
      </c>
      <c r="O44" s="285">
        <v>23028</v>
      </c>
      <c r="P44" s="440">
        <v>43538</v>
      </c>
      <c r="Q44" s="440">
        <v>27435</v>
      </c>
      <c r="R44" s="440">
        <v>21275</v>
      </c>
      <c r="S44" s="440">
        <v>16845.141420000004</v>
      </c>
      <c r="T44" s="440">
        <v>12536</v>
      </c>
      <c r="U44" s="744"/>
      <c r="V44" s="129" t="s">
        <v>115</v>
      </c>
      <c r="W44" s="440">
        <v>10754.84201</v>
      </c>
    </row>
    <row r="45" spans="2:23" s="135" customFormat="1" ht="15.75">
      <c r="B45" s="129" t="s">
        <v>960</v>
      </c>
      <c r="C45" s="285">
        <v>0</v>
      </c>
      <c r="D45" s="285">
        <v>0</v>
      </c>
      <c r="E45" s="285">
        <v>0</v>
      </c>
      <c r="F45" s="285">
        <v>0</v>
      </c>
      <c r="G45" s="285">
        <v>0</v>
      </c>
      <c r="H45" s="285">
        <v>0</v>
      </c>
      <c r="I45" s="285">
        <v>0</v>
      </c>
      <c r="J45" s="285">
        <v>0</v>
      </c>
      <c r="K45" s="285">
        <v>0</v>
      </c>
      <c r="L45" s="285">
        <v>0</v>
      </c>
      <c r="M45" s="285">
        <v>0</v>
      </c>
      <c r="N45" s="285">
        <v>0</v>
      </c>
      <c r="O45" s="285">
        <v>0</v>
      </c>
      <c r="P45" s="440">
        <v>2104</v>
      </c>
      <c r="Q45" s="440">
        <v>2025</v>
      </c>
      <c r="R45" s="440">
        <v>390</v>
      </c>
      <c r="S45" s="440">
        <v>743.18207999999993</v>
      </c>
      <c r="T45" s="440">
        <v>1154</v>
      </c>
      <c r="U45" s="744"/>
      <c r="V45" s="129" t="s">
        <v>960</v>
      </c>
      <c r="W45" s="440">
        <v>0</v>
      </c>
    </row>
    <row r="46" spans="2:23" s="135" customFormat="1" ht="16.5" thickBot="1">
      <c r="B46" s="129" t="s">
        <v>961</v>
      </c>
      <c r="C46" s="285">
        <v>0</v>
      </c>
      <c r="D46" s="285">
        <v>0</v>
      </c>
      <c r="E46" s="285">
        <v>0</v>
      </c>
      <c r="F46" s="285">
        <v>0</v>
      </c>
      <c r="G46" s="285">
        <v>0</v>
      </c>
      <c r="H46" s="285">
        <v>0</v>
      </c>
      <c r="I46" s="285">
        <v>0</v>
      </c>
      <c r="J46" s="285">
        <v>0</v>
      </c>
      <c r="K46" s="285">
        <v>0</v>
      </c>
      <c r="L46" s="285">
        <v>0</v>
      </c>
      <c r="M46" s="285">
        <v>0</v>
      </c>
      <c r="N46" s="285">
        <v>0</v>
      </c>
      <c r="O46" s="285">
        <v>0</v>
      </c>
      <c r="P46" s="440">
        <v>8719</v>
      </c>
      <c r="Q46" s="440">
        <v>8579</v>
      </c>
      <c r="R46" s="440">
        <v>8579</v>
      </c>
      <c r="S46" s="440">
        <v>8578.9844200000007</v>
      </c>
      <c r="T46" s="440">
        <v>8599</v>
      </c>
      <c r="U46" s="744"/>
      <c r="V46" s="129" t="s">
        <v>961</v>
      </c>
      <c r="W46" s="440">
        <v>0</v>
      </c>
    </row>
    <row r="47" spans="2:23" ht="15.75" thickBot="1">
      <c r="B47" s="62" t="s">
        <v>45</v>
      </c>
      <c r="C47" s="293">
        <v>73723.039929999984</v>
      </c>
      <c r="D47" s="293">
        <v>63412.739829999991</v>
      </c>
      <c r="E47" s="293">
        <v>124768.44081999999</v>
      </c>
      <c r="F47" s="293">
        <v>73319.626250000001</v>
      </c>
      <c r="G47" s="293">
        <v>89069.476920000001</v>
      </c>
      <c r="H47" s="293">
        <v>94660.091079999998</v>
      </c>
      <c r="I47" s="293">
        <v>100102.36819000001</v>
      </c>
      <c r="J47" s="293">
        <v>128139.43566</v>
      </c>
      <c r="K47" s="293">
        <v>142403.185</v>
      </c>
      <c r="L47" s="293">
        <v>129911.2065</v>
      </c>
      <c r="M47" s="293">
        <v>141472.78844999999</v>
      </c>
      <c r="N47" s="447">
        <v>157081.70641000001</v>
      </c>
      <c r="O47" s="447">
        <v>261437</v>
      </c>
      <c r="P47" s="447">
        <f>SUM(P38:P46)</f>
        <v>266591</v>
      </c>
      <c r="Q47" s="447">
        <f>SUM(Q38:Q46)</f>
        <v>253255</v>
      </c>
      <c r="R47" s="447">
        <v>216021</v>
      </c>
      <c r="S47" s="447">
        <v>174334.35301999998</v>
      </c>
      <c r="T47" s="447">
        <f>SUM(T38:T46)</f>
        <v>142240</v>
      </c>
      <c r="V47" s="62" t="s">
        <v>45</v>
      </c>
      <c r="W47" s="447">
        <v>150091.15463999999</v>
      </c>
    </row>
    <row r="48" spans="2:23" ht="15.75" thickBot="1">
      <c r="B48" s="58" t="s">
        <v>46</v>
      </c>
      <c r="C48" s="292"/>
      <c r="D48" s="292"/>
      <c r="E48" s="292"/>
      <c r="F48" s="292"/>
      <c r="G48" s="292"/>
      <c r="H48" s="292"/>
      <c r="I48" s="292"/>
      <c r="J48" s="292"/>
      <c r="K48" s="292"/>
      <c r="L48" s="292"/>
      <c r="M48" s="292"/>
      <c r="N48" s="446"/>
      <c r="O48" s="446"/>
      <c r="P48" s="446"/>
      <c r="Q48" s="446"/>
      <c r="R48" s="446"/>
      <c r="S48" s="446"/>
      <c r="T48" s="446"/>
      <c r="V48" s="58" t="s">
        <v>46</v>
      </c>
      <c r="W48" s="446"/>
    </row>
    <row r="49" spans="2:23" s="1" customFormat="1" ht="15.75">
      <c r="B49" s="12" t="s">
        <v>490</v>
      </c>
      <c r="C49" s="285">
        <v>26053.380960000002</v>
      </c>
      <c r="D49" s="285">
        <v>25684.456999999999</v>
      </c>
      <c r="E49" s="285">
        <v>25924.948499999999</v>
      </c>
      <c r="F49" s="285">
        <v>26158.257160000001</v>
      </c>
      <c r="G49" s="285">
        <v>25897.892800000001</v>
      </c>
      <c r="H49" s="285">
        <v>25359.716</v>
      </c>
      <c r="I49" s="285">
        <v>25531.869409999999</v>
      </c>
      <c r="J49" s="285">
        <v>25760.963500000002</v>
      </c>
      <c r="K49" s="285">
        <v>25469.4611</v>
      </c>
      <c r="L49" s="285">
        <v>24672.55</v>
      </c>
      <c r="M49" s="285">
        <v>24818.98717</v>
      </c>
      <c r="N49" s="285">
        <v>24840.810519999999</v>
      </c>
      <c r="O49" s="285">
        <v>24498</v>
      </c>
      <c r="P49" s="440">
        <v>23676</v>
      </c>
      <c r="Q49" s="440">
        <v>23314</v>
      </c>
      <c r="R49" s="440">
        <v>23126</v>
      </c>
      <c r="S49" s="440">
        <v>22737.269250000001</v>
      </c>
      <c r="T49" s="440">
        <v>22340</v>
      </c>
      <c r="U49" s="744"/>
      <c r="V49" s="129" t="s">
        <v>111</v>
      </c>
      <c r="W49" s="440">
        <v>21934.56265</v>
      </c>
    </row>
    <row r="50" spans="2:23" s="1" customFormat="1" ht="15.75">
      <c r="B50" s="12" t="s">
        <v>491</v>
      </c>
      <c r="C50" s="285">
        <v>69146.199519999995</v>
      </c>
      <c r="D50" s="285">
        <v>73285.566999999995</v>
      </c>
      <c r="E50" s="285">
        <v>72258.835459999988</v>
      </c>
      <c r="F50" s="285">
        <v>69444.461089999997</v>
      </c>
      <c r="G50" s="285">
        <v>69033.159480000002</v>
      </c>
      <c r="H50" s="285">
        <v>71863.791089999999</v>
      </c>
      <c r="I50" s="285">
        <v>71883.734169999996</v>
      </c>
      <c r="J50" s="285">
        <v>72511.895310000007</v>
      </c>
      <c r="K50" s="285">
        <v>84611.131859999994</v>
      </c>
      <c r="L50" s="285">
        <v>102298.921</v>
      </c>
      <c r="M50" s="285">
        <v>112089.21623999999</v>
      </c>
      <c r="N50" s="285">
        <v>114768.61337000001</v>
      </c>
      <c r="O50" s="285">
        <v>120646</v>
      </c>
      <c r="P50" s="440">
        <v>127788</v>
      </c>
      <c r="Q50" s="440">
        <v>131110</v>
      </c>
      <c r="R50" s="440">
        <v>132757</v>
      </c>
      <c r="S50" s="440">
        <v>133600.05601999999</v>
      </c>
      <c r="T50" s="440">
        <v>135582</v>
      </c>
      <c r="U50" s="744"/>
      <c r="V50" s="129" t="s">
        <v>112</v>
      </c>
      <c r="W50" s="440">
        <v>134230.51102999999</v>
      </c>
    </row>
    <row r="51" spans="2:23" s="1" customFormat="1" ht="15.75">
      <c r="B51" s="12" t="s">
        <v>116</v>
      </c>
      <c r="C51" s="285">
        <v>17215.072319999999</v>
      </c>
      <c r="D51" s="285">
        <v>0</v>
      </c>
      <c r="E51" s="285">
        <v>0</v>
      </c>
      <c r="F51" s="285">
        <v>0</v>
      </c>
      <c r="G51" s="285">
        <v>0</v>
      </c>
      <c r="H51" s="285">
        <v>0</v>
      </c>
      <c r="I51" s="285">
        <v>0</v>
      </c>
      <c r="J51" s="285">
        <v>0</v>
      </c>
      <c r="K51" s="285">
        <v>0</v>
      </c>
      <c r="L51" s="285">
        <v>0</v>
      </c>
      <c r="M51" s="285">
        <v>0</v>
      </c>
      <c r="N51" s="285">
        <v>0</v>
      </c>
      <c r="O51" s="285">
        <v>0</v>
      </c>
      <c r="P51" s="440">
        <v>0</v>
      </c>
      <c r="Q51" s="440"/>
      <c r="R51" s="440"/>
      <c r="S51" s="440">
        <v>0</v>
      </c>
      <c r="T51" s="440">
        <v>0</v>
      </c>
      <c r="U51" s="744"/>
      <c r="V51" s="129" t="s">
        <v>116</v>
      </c>
      <c r="W51" s="440">
        <v>0</v>
      </c>
    </row>
    <row r="52" spans="2:23" s="1" customFormat="1" ht="15.75">
      <c r="B52" s="12" t="s">
        <v>494</v>
      </c>
      <c r="C52" s="285">
        <v>2521.1970600000127</v>
      </c>
      <c r="D52" s="285">
        <v>2422.7654400000001</v>
      </c>
      <c r="E52" s="285">
        <v>2369.9827600000003</v>
      </c>
      <c r="F52" s="285">
        <v>2320.1573399999997</v>
      </c>
      <c r="G52" s="285">
        <v>2271.21227</v>
      </c>
      <c r="H52" s="285">
        <v>2325.6148800000005</v>
      </c>
      <c r="I52" s="285">
        <v>2347.1055999999999</v>
      </c>
      <c r="J52" s="285">
        <v>2334.5615100000005</v>
      </c>
      <c r="K52" s="285">
        <v>2338.6625500000005</v>
      </c>
      <c r="L52" s="285">
        <v>2652.39966</v>
      </c>
      <c r="M52" s="285">
        <v>2640.6403300000002</v>
      </c>
      <c r="N52" s="285">
        <v>2631.74235</v>
      </c>
      <c r="O52" s="285">
        <v>2702</v>
      </c>
      <c r="P52" s="440">
        <v>3277</v>
      </c>
      <c r="Q52" s="440">
        <v>3248</v>
      </c>
      <c r="R52" s="440">
        <v>3283</v>
      </c>
      <c r="S52" s="440">
        <v>3144.9256700000001</v>
      </c>
      <c r="T52" s="440">
        <v>2953</v>
      </c>
      <c r="U52" s="744"/>
      <c r="V52" s="129" t="s">
        <v>494</v>
      </c>
      <c r="W52" s="440">
        <v>2951.1092899999999</v>
      </c>
    </row>
    <row r="53" spans="2:23" s="1" customFormat="1" ht="15.75">
      <c r="B53" s="12" t="s">
        <v>495</v>
      </c>
      <c r="C53" s="285">
        <v>1131079.0943799999</v>
      </c>
      <c r="D53" s="285">
        <v>1267725.21312</v>
      </c>
      <c r="E53" s="285">
        <v>1277493.3783900002</v>
      </c>
      <c r="F53" s="285">
        <v>1281165.17221</v>
      </c>
      <c r="G53" s="285">
        <v>1281265.0287299999</v>
      </c>
      <c r="H53" s="285">
        <v>1280264.2017999999</v>
      </c>
      <c r="I53" s="285">
        <v>1273214.0362499999</v>
      </c>
      <c r="J53" s="285">
        <v>1264249.69933</v>
      </c>
      <c r="K53" s="285">
        <v>1259752.0421800001</v>
      </c>
      <c r="L53" s="285">
        <v>1276788.8507100001</v>
      </c>
      <c r="M53" s="285">
        <v>1289187.7552100001</v>
      </c>
      <c r="N53" s="285">
        <v>1307571.6147</v>
      </c>
      <c r="O53" s="285">
        <v>1350529</v>
      </c>
      <c r="P53" s="440">
        <v>1386473</v>
      </c>
      <c r="Q53" s="440">
        <v>1411638</v>
      </c>
      <c r="R53" s="440">
        <v>1439427</v>
      </c>
      <c r="S53" s="440">
        <v>1473056.3463299999</v>
      </c>
      <c r="T53" s="440">
        <v>1519229</v>
      </c>
      <c r="U53" s="744"/>
      <c r="V53" s="129" t="s">
        <v>495</v>
      </c>
      <c r="W53" s="440">
        <v>1529815.9900100001</v>
      </c>
    </row>
    <row r="54" spans="2:23" s="1" customFormat="1" ht="15.75">
      <c r="B54" s="12" t="s">
        <v>496</v>
      </c>
      <c r="C54" s="285">
        <v>0</v>
      </c>
      <c r="D54" s="285">
        <v>0</v>
      </c>
      <c r="E54" s="285">
        <v>0</v>
      </c>
      <c r="F54" s="285">
        <v>0</v>
      </c>
      <c r="G54" s="285">
        <v>0</v>
      </c>
      <c r="H54" s="285">
        <v>0</v>
      </c>
      <c r="I54" s="285">
        <v>0</v>
      </c>
      <c r="J54" s="285">
        <v>0</v>
      </c>
      <c r="K54" s="285">
        <v>0</v>
      </c>
      <c r="L54" s="285">
        <v>0</v>
      </c>
      <c r="M54" s="285">
        <v>0</v>
      </c>
      <c r="N54" s="285">
        <v>0</v>
      </c>
      <c r="O54" s="285">
        <v>10002</v>
      </c>
      <c r="P54" s="440">
        <v>0</v>
      </c>
      <c r="Q54" s="440"/>
      <c r="R54" s="440">
        <v>0</v>
      </c>
      <c r="S54" s="440">
        <v>0</v>
      </c>
      <c r="T54" s="440">
        <v>0</v>
      </c>
      <c r="U54" s="744"/>
      <c r="V54" s="129" t="s">
        <v>496</v>
      </c>
      <c r="W54" s="440">
        <v>0</v>
      </c>
    </row>
    <row r="55" spans="2:23" s="1" customFormat="1" ht="15.75">
      <c r="B55" s="12" t="s">
        <v>497</v>
      </c>
      <c r="C55" s="285">
        <v>0</v>
      </c>
      <c r="D55" s="285">
        <v>0</v>
      </c>
      <c r="E55" s="285">
        <v>0</v>
      </c>
      <c r="F55" s="285">
        <v>0</v>
      </c>
      <c r="G55" s="285">
        <v>0</v>
      </c>
      <c r="H55" s="285">
        <v>0</v>
      </c>
      <c r="I55" s="285">
        <v>0</v>
      </c>
      <c r="J55" s="285">
        <v>0</v>
      </c>
      <c r="K55" s="285">
        <v>0</v>
      </c>
      <c r="L55" s="285">
        <v>0</v>
      </c>
      <c r="M55" s="285">
        <v>0</v>
      </c>
      <c r="N55" s="285">
        <v>0</v>
      </c>
      <c r="O55" s="285">
        <v>0</v>
      </c>
      <c r="P55" s="440">
        <v>0</v>
      </c>
      <c r="Q55" s="440"/>
      <c r="R55" s="440">
        <v>0</v>
      </c>
      <c r="S55" s="440">
        <v>0</v>
      </c>
      <c r="T55" s="440">
        <v>0</v>
      </c>
      <c r="U55" s="744"/>
      <c r="V55" s="129" t="s">
        <v>497</v>
      </c>
      <c r="W55" s="440">
        <v>0</v>
      </c>
    </row>
    <row r="56" spans="2:23" s="1" customFormat="1" ht="15.75">
      <c r="B56" s="12" t="s">
        <v>498</v>
      </c>
      <c r="C56" s="285">
        <v>0</v>
      </c>
      <c r="D56" s="285">
        <v>0</v>
      </c>
      <c r="E56" s="285">
        <v>0</v>
      </c>
      <c r="F56" s="285">
        <v>0</v>
      </c>
      <c r="G56" s="285">
        <v>0</v>
      </c>
      <c r="H56" s="285">
        <v>0</v>
      </c>
      <c r="I56" s="285">
        <v>0</v>
      </c>
      <c r="J56" s="285">
        <v>0</v>
      </c>
      <c r="K56" s="285">
        <v>0</v>
      </c>
      <c r="L56" s="285">
        <v>0</v>
      </c>
      <c r="M56" s="285">
        <v>0</v>
      </c>
      <c r="N56" s="285">
        <v>0</v>
      </c>
      <c r="O56" s="285">
        <v>0</v>
      </c>
      <c r="P56" s="440">
        <v>0</v>
      </c>
      <c r="Q56" s="440"/>
      <c r="R56" s="440">
        <v>0</v>
      </c>
      <c r="S56" s="440">
        <v>0</v>
      </c>
      <c r="T56" s="440">
        <v>0</v>
      </c>
      <c r="U56" s="744"/>
      <c r="V56" s="129" t="s">
        <v>498</v>
      </c>
      <c r="W56" s="440">
        <v>0</v>
      </c>
    </row>
    <row r="57" spans="2:23" s="1" customFormat="1" ht="15.75">
      <c r="B57" s="12" t="s">
        <v>499</v>
      </c>
      <c r="C57" s="285">
        <v>0</v>
      </c>
      <c r="D57" s="285">
        <v>0</v>
      </c>
      <c r="E57" s="285">
        <v>0</v>
      </c>
      <c r="F57" s="285">
        <v>0</v>
      </c>
      <c r="G57" s="285">
        <v>0</v>
      </c>
      <c r="H57" s="285">
        <v>0</v>
      </c>
      <c r="I57" s="285">
        <v>0</v>
      </c>
      <c r="J57" s="285">
        <v>0</v>
      </c>
      <c r="K57" s="285">
        <v>0</v>
      </c>
      <c r="L57" s="285">
        <v>0</v>
      </c>
      <c r="M57" s="285">
        <v>0</v>
      </c>
      <c r="N57" s="285">
        <v>0</v>
      </c>
      <c r="O57" s="285">
        <v>0</v>
      </c>
      <c r="P57" s="440">
        <v>0</v>
      </c>
      <c r="Q57" s="440"/>
      <c r="R57" s="440">
        <v>0</v>
      </c>
      <c r="S57" s="440">
        <v>0</v>
      </c>
      <c r="T57" s="440">
        <v>0</v>
      </c>
      <c r="U57" s="744"/>
      <c r="V57" s="129" t="s">
        <v>499</v>
      </c>
      <c r="W57" s="440">
        <v>0</v>
      </c>
    </row>
    <row r="58" spans="2:23" ht="15.75" thickBot="1">
      <c r="B58" s="58" t="s">
        <v>59</v>
      </c>
      <c r="C58" s="294">
        <v>1246014.9442399999</v>
      </c>
      <c r="D58" s="294">
        <v>1369118.0025599999</v>
      </c>
      <c r="E58" s="294">
        <v>1378047.1451100002</v>
      </c>
      <c r="F58" s="294">
        <v>1379088.0478000001</v>
      </c>
      <c r="G58" s="294">
        <v>1378467.2932799999</v>
      </c>
      <c r="H58" s="294">
        <v>1379813.3237699999</v>
      </c>
      <c r="I58" s="294">
        <v>1372976.7454299999</v>
      </c>
      <c r="J58" s="294">
        <v>1364857.11965</v>
      </c>
      <c r="K58" s="294">
        <v>1372171.2976900002</v>
      </c>
      <c r="L58" s="294">
        <v>1406412.7213700002</v>
      </c>
      <c r="M58" s="294">
        <v>1428736.59895</v>
      </c>
      <c r="N58" s="448">
        <v>1449812.78094</v>
      </c>
      <c r="O58" s="448">
        <v>1508377</v>
      </c>
      <c r="P58" s="448">
        <f>SUM(P49:P57)</f>
        <v>1541214</v>
      </c>
      <c r="Q58" s="448">
        <f t="shared" ref="Q58" si="6">SUM(Q49:Q57)</f>
        <v>1569310</v>
      </c>
      <c r="R58" s="448">
        <v>1598593</v>
      </c>
      <c r="S58" s="448">
        <v>1632538.5972699998</v>
      </c>
      <c r="T58" s="448">
        <f t="shared" ref="T58" si="7">SUM(T49:T57)</f>
        <v>1680104</v>
      </c>
      <c r="V58" s="58" t="s">
        <v>59</v>
      </c>
      <c r="W58" s="448">
        <v>1688932.17298</v>
      </c>
    </row>
    <row r="59" spans="2:23" ht="15.75" thickBot="1">
      <c r="B59" s="65" t="s">
        <v>60</v>
      </c>
      <c r="C59" s="295">
        <v>1319737.9841699998</v>
      </c>
      <c r="D59" s="295">
        <v>1432530.74239</v>
      </c>
      <c r="E59" s="295">
        <v>1502815.5859300001</v>
      </c>
      <c r="F59" s="295">
        <v>1452407.67405</v>
      </c>
      <c r="G59" s="295">
        <v>1467536.7701999999</v>
      </c>
      <c r="H59" s="295">
        <v>1474473.4148499998</v>
      </c>
      <c r="I59" s="295">
        <v>1473079.11362</v>
      </c>
      <c r="J59" s="295">
        <v>1492996.55531</v>
      </c>
      <c r="K59" s="295">
        <v>1514574.4826900002</v>
      </c>
      <c r="L59" s="295">
        <v>1536323.9278700002</v>
      </c>
      <c r="M59" s="295">
        <v>1570209.3873999999</v>
      </c>
      <c r="N59" s="449">
        <v>1606894.4873500001</v>
      </c>
      <c r="O59" s="449">
        <v>1769814</v>
      </c>
      <c r="P59" s="449">
        <f>P47+P58</f>
        <v>1807805</v>
      </c>
      <c r="Q59" s="449">
        <f t="shared" ref="Q59" si="8">Q47+Q58</f>
        <v>1822565</v>
      </c>
      <c r="R59" s="449">
        <v>1814614</v>
      </c>
      <c r="S59" s="449">
        <v>1806872.9502899998</v>
      </c>
      <c r="T59" s="449">
        <f t="shared" ref="T59" si="9">T47+T58</f>
        <v>1822344</v>
      </c>
      <c r="V59" s="65" t="s">
        <v>60</v>
      </c>
      <c r="W59" s="449">
        <v>1839023.3276200001</v>
      </c>
    </row>
    <row r="60" spans="2:23" ht="15.75" thickBot="1">
      <c r="B60" s="67"/>
      <c r="C60" s="296"/>
      <c r="D60" s="296"/>
      <c r="E60" s="296"/>
      <c r="F60" s="296"/>
      <c r="G60" s="296"/>
      <c r="H60" s="296"/>
      <c r="I60" s="296"/>
      <c r="J60" s="296"/>
      <c r="K60" s="296"/>
      <c r="L60" s="296"/>
      <c r="M60" s="296"/>
      <c r="N60" s="450"/>
      <c r="O60" s="450"/>
      <c r="P60" s="450"/>
      <c r="Q60" s="450"/>
      <c r="R60" s="450"/>
      <c r="S60" s="450">
        <v>0</v>
      </c>
      <c r="T60" s="135"/>
      <c r="V60" s="67"/>
      <c r="W60" s="744"/>
    </row>
    <row r="61" spans="2:23" ht="15.75" thickBot="1">
      <c r="B61" s="56" t="s">
        <v>61</v>
      </c>
      <c r="C61" s="297"/>
      <c r="D61" s="297"/>
      <c r="E61" s="297"/>
      <c r="F61" s="297"/>
      <c r="G61" s="297"/>
      <c r="H61" s="297"/>
      <c r="I61" s="297"/>
      <c r="J61" s="297"/>
      <c r="K61" s="297"/>
      <c r="L61" s="297"/>
      <c r="M61" s="297"/>
      <c r="N61" s="585"/>
      <c r="O61" s="585"/>
      <c r="P61" s="585"/>
      <c r="Q61" s="585"/>
      <c r="R61" s="585"/>
      <c r="S61" s="585"/>
      <c r="T61" s="585"/>
      <c r="V61" s="56" t="s">
        <v>61</v>
      </c>
      <c r="W61" s="585"/>
    </row>
    <row r="62" spans="2:23" ht="15.75" thickBot="1">
      <c r="B62" s="58" t="s">
        <v>62</v>
      </c>
      <c r="C62" s="298"/>
      <c r="D62" s="298"/>
      <c r="E62" s="298"/>
      <c r="F62" s="298"/>
      <c r="G62" s="298"/>
      <c r="H62" s="298"/>
      <c r="I62" s="298"/>
      <c r="J62" s="298"/>
      <c r="K62" s="298"/>
      <c r="L62" s="298"/>
      <c r="M62" s="298"/>
      <c r="N62" s="586"/>
      <c r="O62" s="586"/>
      <c r="P62" s="586"/>
      <c r="Q62" s="586"/>
      <c r="R62" s="586"/>
      <c r="S62" s="586"/>
      <c r="T62" s="586"/>
      <c r="V62" s="58" t="s">
        <v>62</v>
      </c>
      <c r="W62" s="586"/>
    </row>
    <row r="63" spans="2:23" s="1" customFormat="1" ht="15.75">
      <c r="B63" s="12" t="s">
        <v>500</v>
      </c>
      <c r="C63" s="285">
        <v>4495.8558599999997</v>
      </c>
      <c r="D63" s="285">
        <v>8379.9310999999998</v>
      </c>
      <c r="E63" s="285">
        <v>3949.8318599999998</v>
      </c>
      <c r="F63" s="285">
        <v>1945.8644099999999</v>
      </c>
      <c r="G63" s="285">
        <v>2817.27684</v>
      </c>
      <c r="H63" s="285">
        <v>5854.0709999999999</v>
      </c>
      <c r="I63" s="285">
        <v>4322.3543099999997</v>
      </c>
      <c r="J63" s="285">
        <v>1260.0704599999999</v>
      </c>
      <c r="K63" s="285">
        <v>9281.5932100000009</v>
      </c>
      <c r="L63" s="285">
        <v>14163.288400000001</v>
      </c>
      <c r="M63" s="285">
        <v>12988.08389</v>
      </c>
      <c r="N63" s="285">
        <v>8293.1468299999997</v>
      </c>
      <c r="O63" s="285">
        <v>10073</v>
      </c>
      <c r="P63" s="440">
        <v>9299</v>
      </c>
      <c r="Q63" s="440">
        <v>6457</v>
      </c>
      <c r="R63" s="440">
        <v>6115</v>
      </c>
      <c r="S63" s="440">
        <v>5630.39653</v>
      </c>
      <c r="T63" s="440">
        <v>8627</v>
      </c>
      <c r="U63" s="744"/>
      <c r="V63" s="129" t="s">
        <v>117</v>
      </c>
      <c r="W63" s="440">
        <v>5338.8266399999993</v>
      </c>
    </row>
    <row r="64" spans="2:23" s="1" customFormat="1" ht="15.75">
      <c r="B64" s="12" t="s">
        <v>501</v>
      </c>
      <c r="C64" s="285">
        <v>4734.8090000000002</v>
      </c>
      <c r="D64" s="285">
        <v>3878.7779999999998</v>
      </c>
      <c r="E64" s="285">
        <v>11361.17361</v>
      </c>
      <c r="F64" s="285">
        <v>13009.458359999997</v>
      </c>
      <c r="G64" s="285">
        <v>17959.353299999995</v>
      </c>
      <c r="H64" s="285">
        <v>6202.8850000000002</v>
      </c>
      <c r="I64" s="285">
        <v>17144.553680000005</v>
      </c>
      <c r="J64" s="285">
        <v>18190.772459999993</v>
      </c>
      <c r="K64" s="285">
        <v>26451.918600000001</v>
      </c>
      <c r="L64" s="285">
        <v>7624.3639999999996</v>
      </c>
      <c r="M64" s="285">
        <v>24128.544909999997</v>
      </c>
      <c r="N64" s="285">
        <v>13414.86085999999</v>
      </c>
      <c r="O64" s="285">
        <v>44110</v>
      </c>
      <c r="P64" s="440">
        <v>9934</v>
      </c>
      <c r="Q64" s="440">
        <v>11753</v>
      </c>
      <c r="R64" s="440">
        <v>5902</v>
      </c>
      <c r="S64" s="440">
        <v>12499.7444</v>
      </c>
      <c r="T64" s="440">
        <v>12501</v>
      </c>
      <c r="U64" s="744"/>
      <c r="V64" s="129" t="s">
        <v>118</v>
      </c>
      <c r="W64" s="440">
        <v>3058.0942</v>
      </c>
    </row>
    <row r="65" spans="2:23" s="1" customFormat="1" ht="15.75">
      <c r="B65" s="12" t="s">
        <v>119</v>
      </c>
      <c r="C65" s="285">
        <v>120368.42105263159</v>
      </c>
      <c r="D65" s="285">
        <v>28206.668000000001</v>
      </c>
      <c r="E65" s="285">
        <v>48207.599000000002</v>
      </c>
      <c r="F65" s="285">
        <v>90491.48083</v>
      </c>
      <c r="G65" s="285">
        <v>83422.414930000014</v>
      </c>
      <c r="H65" s="285">
        <v>90782.826109999995</v>
      </c>
      <c r="I65" s="285">
        <v>63930.995219999997</v>
      </c>
      <c r="J65" s="285">
        <v>15000</v>
      </c>
      <c r="K65" s="285">
        <v>0</v>
      </c>
      <c r="L65" s="285">
        <v>0</v>
      </c>
      <c r="M65" s="285">
        <v>0</v>
      </c>
      <c r="N65" s="285">
        <v>100000</v>
      </c>
      <c r="O65" s="285">
        <v>0</v>
      </c>
      <c r="P65" s="440">
        <v>1504</v>
      </c>
      <c r="Q65" s="440">
        <v>47255</v>
      </c>
      <c r="R65" s="440">
        <v>84892</v>
      </c>
      <c r="S65" s="440">
        <v>96792.098299999998</v>
      </c>
      <c r="T65" s="440">
        <v>84691</v>
      </c>
      <c r="U65" s="744"/>
      <c r="V65" s="129" t="s">
        <v>119</v>
      </c>
      <c r="W65" s="440">
        <v>96330.730500000005</v>
      </c>
    </row>
    <row r="66" spans="2:23" s="1" customFormat="1" ht="15.75">
      <c r="B66" s="12" t="s">
        <v>120</v>
      </c>
      <c r="C66" s="285">
        <v>23872.601119999999</v>
      </c>
      <c r="D66" s="285">
        <v>15878.199329999999</v>
      </c>
      <c r="E66" s="285">
        <v>72533.666549999994</v>
      </c>
      <c r="F66" s="285">
        <v>9023.5958100000007</v>
      </c>
      <c r="G66" s="285">
        <v>5316.5259400000004</v>
      </c>
      <c r="H66" s="285">
        <v>8541.9537700000001</v>
      </c>
      <c r="I66" s="285">
        <v>8397.3404300000002</v>
      </c>
      <c r="J66" s="285">
        <v>6750.1602400000002</v>
      </c>
      <c r="K66" s="285">
        <v>5295.8337300000003</v>
      </c>
      <c r="L66" s="285">
        <v>17222.496829999996</v>
      </c>
      <c r="M66" s="285">
        <v>14317.83124</v>
      </c>
      <c r="N66" s="285">
        <v>8715.1798500000004</v>
      </c>
      <c r="O66" s="285">
        <v>11257</v>
      </c>
      <c r="P66" s="440">
        <v>35091</v>
      </c>
      <c r="Q66" s="440">
        <v>76904</v>
      </c>
      <c r="R66" s="440">
        <v>11712</v>
      </c>
      <c r="S66" s="440">
        <v>14209.23</v>
      </c>
      <c r="T66" s="440">
        <v>17664</v>
      </c>
      <c r="U66" s="744"/>
      <c r="V66" s="129" t="s">
        <v>120</v>
      </c>
      <c r="W66" s="440">
        <v>31546.070179999999</v>
      </c>
    </row>
    <row r="67" spans="2:23" s="1" customFormat="1" ht="15.75">
      <c r="B67" s="12" t="s">
        <v>121</v>
      </c>
      <c r="C67" s="285">
        <v>3456.252</v>
      </c>
      <c r="D67" s="285">
        <v>1676.0319999999999</v>
      </c>
      <c r="E67" s="285">
        <v>1614.67092</v>
      </c>
      <c r="F67" s="285">
        <v>1614.67092</v>
      </c>
      <c r="G67" s="285">
        <v>1614.67092</v>
      </c>
      <c r="H67" s="285">
        <v>1729.8309999999999</v>
      </c>
      <c r="I67" s="285">
        <v>1718.6699199999998</v>
      </c>
      <c r="J67" s="285">
        <v>1718.6699199999998</v>
      </c>
      <c r="K67" s="285">
        <v>1718.6699199999998</v>
      </c>
      <c r="L67" s="285">
        <v>2468.5070000000001</v>
      </c>
      <c r="M67" s="285">
        <v>2441.5359199999998</v>
      </c>
      <c r="N67" s="285">
        <v>2441.5359199999998</v>
      </c>
      <c r="O67" s="285">
        <v>2441</v>
      </c>
      <c r="P67" s="440">
        <v>3233</v>
      </c>
      <c r="Q67" s="440"/>
      <c r="R67" s="440">
        <v>3233</v>
      </c>
      <c r="S67" s="440">
        <v>3232.6898300000003</v>
      </c>
      <c r="T67" s="440">
        <v>1365</v>
      </c>
      <c r="U67" s="744"/>
      <c r="V67" s="129" t="s">
        <v>121</v>
      </c>
      <c r="W67" s="440">
        <v>1365.8307500000001</v>
      </c>
    </row>
    <row r="68" spans="2:23" ht="15.75" thickBot="1">
      <c r="B68" s="58" t="s">
        <v>70</v>
      </c>
      <c r="C68" s="294">
        <v>156927.93903263161</v>
      </c>
      <c r="D68" s="294">
        <v>58019.60843</v>
      </c>
      <c r="E68" s="294">
        <v>137666.94193999999</v>
      </c>
      <c r="F68" s="294">
        <v>116085.07033</v>
      </c>
      <c r="G68" s="294">
        <v>111130.24193000002</v>
      </c>
      <c r="H68" s="294">
        <v>113111.56688</v>
      </c>
      <c r="I68" s="294">
        <v>95513.913560000001</v>
      </c>
      <c r="J68" s="294">
        <v>42919.673079999993</v>
      </c>
      <c r="K68" s="294">
        <v>42748.015460000002</v>
      </c>
      <c r="L68" s="294">
        <v>41478.656229999993</v>
      </c>
      <c r="M68" s="294">
        <v>53875.99596</v>
      </c>
      <c r="N68" s="448">
        <v>132864.72346000001</v>
      </c>
      <c r="O68" s="448">
        <v>67881</v>
      </c>
      <c r="P68" s="448">
        <f>SUM(P63:P67)</f>
        <v>59061</v>
      </c>
      <c r="Q68" s="448">
        <f>SUM(Q63:Q67)</f>
        <v>142369</v>
      </c>
      <c r="R68" s="448">
        <v>111854</v>
      </c>
      <c r="S68" s="448">
        <v>132364.15906000001</v>
      </c>
      <c r="T68" s="448">
        <f>SUM(T63:T67)</f>
        <v>124848</v>
      </c>
      <c r="V68" s="58" t="s">
        <v>70</v>
      </c>
      <c r="W68" s="448">
        <v>137639.55227000001</v>
      </c>
    </row>
    <row r="69" spans="2:23" ht="15.75" thickBot="1">
      <c r="B69" s="71" t="s">
        <v>71</v>
      </c>
      <c r="C69" s="300"/>
      <c r="D69" s="300"/>
      <c r="E69" s="300"/>
      <c r="F69" s="300"/>
      <c r="G69" s="300"/>
      <c r="H69" s="300"/>
      <c r="I69" s="300"/>
      <c r="J69" s="300"/>
      <c r="K69" s="300"/>
      <c r="L69" s="300"/>
      <c r="M69" s="300"/>
      <c r="N69" s="451"/>
      <c r="O69" s="451"/>
      <c r="P69" s="451"/>
      <c r="Q69" s="451"/>
      <c r="R69" s="451"/>
      <c r="S69" s="451"/>
      <c r="T69" s="451"/>
      <c r="V69" s="71" t="s">
        <v>71</v>
      </c>
      <c r="W69" s="451"/>
    </row>
    <row r="70" spans="2:23" s="1" customFormat="1" ht="15.75">
      <c r="B70" s="12" t="s">
        <v>122</v>
      </c>
      <c r="C70" s="285">
        <v>1051.0146499999998</v>
      </c>
      <c r="D70" s="285">
        <v>1015.90939</v>
      </c>
      <c r="E70" s="285">
        <v>1015.90939</v>
      </c>
      <c r="F70" s="285">
        <v>919.55375000000004</v>
      </c>
      <c r="G70" s="285">
        <v>897.07326999999998</v>
      </c>
      <c r="H70" s="285">
        <v>874.90928000000008</v>
      </c>
      <c r="I70" s="285">
        <v>852.77043000000003</v>
      </c>
      <c r="J70" s="285">
        <v>830.54120999999998</v>
      </c>
      <c r="K70" s="285">
        <v>806.86728000000005</v>
      </c>
      <c r="L70" s="285">
        <v>783.90521000000001</v>
      </c>
      <c r="M70" s="285">
        <v>768.68551000000002</v>
      </c>
      <c r="N70" s="285">
        <v>737.74070999999992</v>
      </c>
      <c r="O70" s="285">
        <v>645</v>
      </c>
      <c r="P70" s="440">
        <v>1047</v>
      </c>
      <c r="Q70" s="440">
        <v>1025</v>
      </c>
      <c r="R70" s="440">
        <v>1003</v>
      </c>
      <c r="S70" s="440">
        <v>980.50080000000003</v>
      </c>
      <c r="T70" s="440">
        <v>957</v>
      </c>
      <c r="U70" s="744"/>
      <c r="V70" s="129" t="s">
        <v>122</v>
      </c>
      <c r="W70" s="440">
        <v>925.56916000000001</v>
      </c>
    </row>
    <row r="71" spans="2:23" s="1" customFormat="1" ht="15.75">
      <c r="B71" s="12" t="s">
        <v>123</v>
      </c>
      <c r="C71" s="285">
        <v>616277.39800000004</v>
      </c>
      <c r="D71" s="285">
        <v>758206.64932999993</v>
      </c>
      <c r="E71" s="285">
        <v>793583.54624000005</v>
      </c>
      <c r="F71" s="285">
        <v>744631.88431999995</v>
      </c>
      <c r="G71" s="285">
        <v>745076.15850999998</v>
      </c>
      <c r="H71" s="285">
        <v>730999.56871000002</v>
      </c>
      <c r="I71" s="285">
        <v>724112.16554999992</v>
      </c>
      <c r="J71" s="285">
        <v>845118.49503000011</v>
      </c>
      <c r="K71" s="285">
        <v>844954.25805999991</v>
      </c>
      <c r="L71" s="285">
        <v>845164.12774000003</v>
      </c>
      <c r="M71" s="285">
        <v>845402.18974000006</v>
      </c>
      <c r="N71" s="285">
        <v>845597.47574000002</v>
      </c>
      <c r="O71" s="285">
        <v>1050000</v>
      </c>
      <c r="P71" s="440">
        <v>1075668</v>
      </c>
      <c r="Q71" s="440">
        <v>1050000</v>
      </c>
      <c r="R71" s="440">
        <v>1050000</v>
      </c>
      <c r="S71" s="440">
        <v>1050000</v>
      </c>
      <c r="T71" s="440">
        <v>1050000</v>
      </c>
      <c r="U71" s="744"/>
      <c r="V71" s="129" t="s">
        <v>123</v>
      </c>
      <c r="W71" s="440">
        <v>1050000</v>
      </c>
    </row>
    <row r="72" spans="2:23" s="1" customFormat="1" ht="15.75">
      <c r="B72" s="12" t="s">
        <v>502</v>
      </c>
      <c r="C72" s="285">
        <v>7618.84</v>
      </c>
      <c r="D72" s="285">
        <v>11895.880060000001</v>
      </c>
      <c r="E72" s="285">
        <v>14123.878419999999</v>
      </c>
      <c r="F72" s="285">
        <v>16316.48659</v>
      </c>
      <c r="G72" s="285">
        <v>17611.174579999999</v>
      </c>
      <c r="H72" s="285">
        <v>16456.04435</v>
      </c>
      <c r="I72" s="285">
        <v>17562.629069999999</v>
      </c>
      <c r="J72" s="285">
        <v>18339.15669</v>
      </c>
      <c r="K72" s="285">
        <v>19195.551950000001</v>
      </c>
      <c r="L72" s="285">
        <v>18843.485760000003</v>
      </c>
      <c r="M72" s="285">
        <v>20808.110199999999</v>
      </c>
      <c r="N72" s="285">
        <v>22633.236260000001</v>
      </c>
      <c r="O72" s="285">
        <v>23991</v>
      </c>
      <c r="P72" s="440">
        <v>23173</v>
      </c>
      <c r="Q72" s="440">
        <v>24338</v>
      </c>
      <c r="R72" s="440">
        <v>25379</v>
      </c>
      <c r="S72" s="440">
        <v>26340.200519999999</v>
      </c>
      <c r="T72" s="440">
        <v>29255</v>
      </c>
      <c r="U72" s="744"/>
      <c r="V72" s="129" t="s">
        <v>502</v>
      </c>
      <c r="W72" s="440">
        <v>30025.11837</v>
      </c>
    </row>
    <row r="73" spans="2:23" s="1" customFormat="1" ht="15.75">
      <c r="B73" s="12" t="s">
        <v>124</v>
      </c>
      <c r="C73" s="285">
        <v>84072.864000000001</v>
      </c>
      <c r="D73" s="285">
        <v>0</v>
      </c>
      <c r="E73" s="285">
        <v>0</v>
      </c>
      <c r="F73" s="285">
        <v>0</v>
      </c>
      <c r="G73" s="285">
        <v>0</v>
      </c>
      <c r="H73" s="285">
        <v>0</v>
      </c>
      <c r="I73" s="285">
        <v>0</v>
      </c>
      <c r="J73" s="285">
        <v>0</v>
      </c>
      <c r="K73" s="285">
        <v>0</v>
      </c>
      <c r="L73" s="285">
        <v>0</v>
      </c>
      <c r="M73" s="285">
        <v>0</v>
      </c>
      <c r="N73" s="285">
        <v>0</v>
      </c>
      <c r="O73" s="285">
        <v>0</v>
      </c>
      <c r="P73" s="440">
        <v>0</v>
      </c>
      <c r="Q73" s="440">
        <v>0</v>
      </c>
      <c r="R73" s="440">
        <v>0</v>
      </c>
      <c r="S73" s="440">
        <v>0</v>
      </c>
      <c r="T73" s="440">
        <v>0</v>
      </c>
      <c r="U73" s="744"/>
      <c r="V73" s="129" t="s">
        <v>124</v>
      </c>
      <c r="W73" s="440">
        <v>0</v>
      </c>
    </row>
    <row r="74" spans="2:23" s="1" customFormat="1" ht="15.75">
      <c r="B74" s="12" t="s">
        <v>503</v>
      </c>
      <c r="C74" s="285">
        <v>0</v>
      </c>
      <c r="D74" s="285">
        <v>104712.27099999999</v>
      </c>
      <c r="E74" s="285">
        <v>110128.52305</v>
      </c>
      <c r="F74" s="285">
        <v>115733.90889000001</v>
      </c>
      <c r="G74" s="285">
        <v>121330.149</v>
      </c>
      <c r="H74" s="285">
        <v>127971.56600000001</v>
      </c>
      <c r="I74" s="285">
        <v>134357.59452000001</v>
      </c>
      <c r="J74" s="285">
        <v>139341.226</v>
      </c>
      <c r="K74" s="285">
        <v>145907.77802</v>
      </c>
      <c r="L74" s="285">
        <v>152635.15982</v>
      </c>
      <c r="M74" s="285">
        <v>158425.17157000001</v>
      </c>
      <c r="N74" s="285">
        <v>164625.56788999998</v>
      </c>
      <c r="O74" s="285">
        <v>170342</v>
      </c>
      <c r="P74" s="440">
        <v>176453</v>
      </c>
      <c r="Q74" s="440">
        <v>181784</v>
      </c>
      <c r="R74" s="440">
        <v>187981</v>
      </c>
      <c r="S74" s="440">
        <v>192453.63237000001</v>
      </c>
      <c r="T74" s="440">
        <v>197203</v>
      </c>
      <c r="U74" s="744"/>
      <c r="V74" s="129" t="s">
        <v>503</v>
      </c>
      <c r="W74" s="440">
        <v>202647.02911</v>
      </c>
    </row>
    <row r="75" spans="2:23" ht="15.75" thickBot="1">
      <c r="B75" s="58" t="s">
        <v>73</v>
      </c>
      <c r="C75" s="294">
        <v>709020.11664999998</v>
      </c>
      <c r="D75" s="294">
        <v>875830.70977999992</v>
      </c>
      <c r="E75" s="294">
        <v>918851.85710000002</v>
      </c>
      <c r="F75" s="294">
        <v>877601.83354999986</v>
      </c>
      <c r="G75" s="294">
        <v>884914.55536</v>
      </c>
      <c r="H75" s="294">
        <v>876302.08834000002</v>
      </c>
      <c r="I75" s="294">
        <v>876885.15957000002</v>
      </c>
      <c r="J75" s="294">
        <v>1003629.4189300002</v>
      </c>
      <c r="K75" s="294">
        <v>1010864.4553099999</v>
      </c>
      <c r="L75" s="294">
        <v>1017426.6785299999</v>
      </c>
      <c r="M75" s="294">
        <v>1025404.15702</v>
      </c>
      <c r="N75" s="448">
        <v>1033594.0206</v>
      </c>
      <c r="O75" s="448">
        <v>1244978</v>
      </c>
      <c r="P75" s="448">
        <f>SUM(P70:P74)</f>
        <v>1276341</v>
      </c>
      <c r="Q75" s="448">
        <f t="shared" ref="Q75" si="10">SUM(Q70:Q74)</f>
        <v>1257147</v>
      </c>
      <c r="R75" s="448">
        <v>1264363</v>
      </c>
      <c r="S75" s="448">
        <v>1269774.33369</v>
      </c>
      <c r="T75" s="448">
        <f t="shared" ref="T75" si="11">SUM(T70:T74)</f>
        <v>1277415</v>
      </c>
      <c r="V75" s="58" t="s">
        <v>73</v>
      </c>
      <c r="W75" s="448">
        <v>1283597.71664</v>
      </c>
    </row>
    <row r="76" spans="2:23" ht="15.75" thickBot="1">
      <c r="B76" s="65" t="s">
        <v>74</v>
      </c>
      <c r="C76" s="295">
        <v>865948.05568263156</v>
      </c>
      <c r="D76" s="295">
        <v>933850.31820999994</v>
      </c>
      <c r="E76" s="295">
        <v>1056518.79904</v>
      </c>
      <c r="F76" s="295">
        <v>993686.90387999988</v>
      </c>
      <c r="G76" s="295">
        <v>996044.79729000002</v>
      </c>
      <c r="H76" s="295">
        <v>989413.65522000007</v>
      </c>
      <c r="I76" s="295">
        <v>972399.07313000003</v>
      </c>
      <c r="J76" s="295">
        <v>1046549.0920100001</v>
      </c>
      <c r="K76" s="295">
        <v>1053612.4707699998</v>
      </c>
      <c r="L76" s="295">
        <v>1058905.33476</v>
      </c>
      <c r="M76" s="295">
        <v>1079280.15298</v>
      </c>
      <c r="N76" s="449">
        <v>1166458.7440599999</v>
      </c>
      <c r="O76" s="449">
        <v>1312859</v>
      </c>
      <c r="P76" s="449">
        <f>P68+P75</f>
        <v>1335402</v>
      </c>
      <c r="Q76" s="449">
        <f t="shared" ref="Q76" si="12">Q68+Q75</f>
        <v>1399516</v>
      </c>
      <c r="R76" s="449">
        <v>1376217</v>
      </c>
      <c r="S76" s="449">
        <v>1402138.49275</v>
      </c>
      <c r="T76" s="449">
        <f t="shared" ref="T76" si="13">T68+T75</f>
        <v>1402263</v>
      </c>
      <c r="V76" s="65" t="s">
        <v>74</v>
      </c>
      <c r="W76" s="449">
        <v>1421237.2689100001</v>
      </c>
    </row>
    <row r="77" spans="2:23" ht="15.75" thickBot="1">
      <c r="B77" s="67"/>
      <c r="C77" s="296"/>
      <c r="D77" s="296"/>
      <c r="E77" s="296"/>
      <c r="F77" s="296"/>
      <c r="G77" s="296"/>
      <c r="H77" s="296"/>
      <c r="I77" s="296"/>
      <c r="J77" s="296"/>
      <c r="K77" s="296"/>
      <c r="L77" s="296"/>
      <c r="M77" s="296"/>
      <c r="N77" s="450"/>
      <c r="O77" s="450"/>
      <c r="P77" s="450"/>
      <c r="Q77" s="450"/>
      <c r="R77" s="450"/>
      <c r="S77" s="450">
        <v>0</v>
      </c>
      <c r="T77" s="450"/>
      <c r="V77" s="67"/>
      <c r="W77" s="450"/>
    </row>
    <row r="78" spans="2:23" ht="15.75" thickBot="1">
      <c r="B78" s="73" t="s">
        <v>75</v>
      </c>
      <c r="C78" s="300"/>
      <c r="D78" s="300"/>
      <c r="E78" s="300"/>
      <c r="F78" s="300"/>
      <c r="G78" s="300"/>
      <c r="H78" s="300"/>
      <c r="I78" s="300"/>
      <c r="J78" s="300"/>
      <c r="K78" s="300"/>
      <c r="L78" s="300"/>
      <c r="M78" s="300"/>
      <c r="N78" s="451"/>
      <c r="O78" s="451"/>
      <c r="P78" s="451"/>
      <c r="Q78" s="451"/>
      <c r="R78" s="451"/>
      <c r="S78" s="451"/>
      <c r="T78" s="451"/>
      <c r="V78" s="73" t="s">
        <v>75</v>
      </c>
      <c r="W78" s="451"/>
    </row>
    <row r="79" spans="2:23" s="1" customFormat="1" ht="15.75">
      <c r="B79" s="12" t="s">
        <v>504</v>
      </c>
      <c r="C79" s="285">
        <v>265409.19397999998</v>
      </c>
      <c r="D79" s="285">
        <v>265409.19397999998</v>
      </c>
      <c r="E79" s="285">
        <v>265409.19397999998</v>
      </c>
      <c r="F79" s="285">
        <v>265409.19397999998</v>
      </c>
      <c r="G79" s="285">
        <v>265409.19397999998</v>
      </c>
      <c r="H79" s="285">
        <v>265409.19397999998</v>
      </c>
      <c r="I79" s="285">
        <v>265409.19397999998</v>
      </c>
      <c r="J79" s="285">
        <v>265409.19397999998</v>
      </c>
      <c r="K79" s="285">
        <v>265409.19397999998</v>
      </c>
      <c r="L79" s="285">
        <v>265409.19397999998</v>
      </c>
      <c r="M79" s="285">
        <v>265409.19397999998</v>
      </c>
      <c r="N79" s="285">
        <v>265409.19397999998</v>
      </c>
      <c r="O79" s="285">
        <v>265409</v>
      </c>
      <c r="P79" s="440">
        <v>265409</v>
      </c>
      <c r="Q79" s="440">
        <v>265409</v>
      </c>
      <c r="R79" s="440">
        <v>265409</v>
      </c>
      <c r="S79" s="440">
        <v>265409.19397999998</v>
      </c>
      <c r="T79" s="440">
        <v>265409.19397999998</v>
      </c>
      <c r="U79" s="744"/>
      <c r="V79" s="129" t="s">
        <v>504</v>
      </c>
      <c r="W79" s="440">
        <v>265409.19397999998</v>
      </c>
    </row>
    <row r="80" spans="2:23" s="1" customFormat="1" ht="15.75">
      <c r="B80" s="12" t="s">
        <v>505</v>
      </c>
      <c r="C80" s="285">
        <v>0</v>
      </c>
      <c r="D80" s="285">
        <v>0</v>
      </c>
      <c r="E80" s="285">
        <v>0</v>
      </c>
      <c r="F80" s="285">
        <v>0</v>
      </c>
      <c r="G80" s="285">
        <v>0</v>
      </c>
      <c r="H80" s="285">
        <v>0</v>
      </c>
      <c r="I80" s="285">
        <v>0</v>
      </c>
      <c r="J80" s="285">
        <v>0</v>
      </c>
      <c r="K80" s="285">
        <v>0</v>
      </c>
      <c r="L80" s="285">
        <v>0</v>
      </c>
      <c r="M80" s="285">
        <v>0</v>
      </c>
      <c r="N80" s="285">
        <v>0</v>
      </c>
      <c r="O80" s="285">
        <v>0</v>
      </c>
      <c r="P80" s="440">
        <v>0</v>
      </c>
      <c r="Q80" s="440">
        <v>0</v>
      </c>
      <c r="R80" s="440">
        <v>0</v>
      </c>
      <c r="S80" s="440">
        <v>0</v>
      </c>
      <c r="T80" s="440">
        <v>0</v>
      </c>
      <c r="U80" s="744"/>
      <c r="V80" s="129" t="s">
        <v>505</v>
      </c>
      <c r="W80" s="440">
        <v>0</v>
      </c>
    </row>
    <row r="81" spans="1:23" s="1" customFormat="1" ht="15.75">
      <c r="B81" s="12" t="s">
        <v>506</v>
      </c>
      <c r="C81" s="285">
        <v>18213.73155</v>
      </c>
      <c r="D81" s="285">
        <v>22516.466550000001</v>
      </c>
      <c r="E81" s="285">
        <v>27005.51655</v>
      </c>
      <c r="F81" s="285">
        <v>27005.51655</v>
      </c>
      <c r="G81" s="285">
        <v>27005.51655</v>
      </c>
      <c r="H81" s="285">
        <v>27005.51655</v>
      </c>
      <c r="I81" s="285">
        <v>27005.517</v>
      </c>
      <c r="J81" s="285">
        <v>32175.186550000002</v>
      </c>
      <c r="K81" s="285">
        <v>32175.186550000002</v>
      </c>
      <c r="L81" s="285">
        <v>32175.186550000002</v>
      </c>
      <c r="M81" s="285">
        <v>37911.06955</v>
      </c>
      <c r="N81" s="285">
        <v>37911.06955</v>
      </c>
      <c r="O81" s="285">
        <v>37911</v>
      </c>
      <c r="P81" s="440">
        <v>37911</v>
      </c>
      <c r="Q81" s="440">
        <v>43910</v>
      </c>
      <c r="R81" s="440">
        <v>43910</v>
      </c>
      <c r="S81" s="440">
        <v>43909.538549999997</v>
      </c>
      <c r="T81" s="440">
        <v>43910</v>
      </c>
      <c r="U81" s="744"/>
      <c r="V81" s="129" t="s">
        <v>125</v>
      </c>
      <c r="W81" s="440">
        <v>50177.250549999997</v>
      </c>
    </row>
    <row r="82" spans="1:23" s="1" customFormat="1" ht="15.75">
      <c r="B82" s="12" t="s">
        <v>507</v>
      </c>
      <c r="C82" s="285">
        <v>127139.65247</v>
      </c>
      <c r="D82" s="285">
        <v>210754.76357999994</v>
      </c>
      <c r="E82" s="285">
        <v>153882.07629000003</v>
      </c>
      <c r="F82" s="285">
        <v>166306.05958</v>
      </c>
      <c r="G82" s="285">
        <v>179077.26233</v>
      </c>
      <c r="H82" s="285">
        <v>192645.04902999999</v>
      </c>
      <c r="I82" s="285">
        <v>208265.32913</v>
      </c>
      <c r="J82" s="285">
        <v>148863.08302000002</v>
      </c>
      <c r="K82" s="285">
        <v>163377.63139</v>
      </c>
      <c r="L82" s="285">
        <v>179834.21222999995</v>
      </c>
      <c r="M82" s="285">
        <v>187608.97097999998</v>
      </c>
      <c r="N82" s="285">
        <v>137115.47936999999</v>
      </c>
      <c r="O82" s="285">
        <v>153635</v>
      </c>
      <c r="P82" s="440">
        <v>169083</v>
      </c>
      <c r="Q82" s="440">
        <v>113730</v>
      </c>
      <c r="R82" s="440">
        <v>129078</v>
      </c>
      <c r="S82" s="440">
        <v>95415.725009999995</v>
      </c>
      <c r="T82" s="440">
        <v>110762</v>
      </c>
      <c r="U82" s="744"/>
      <c r="V82" s="129" t="s">
        <v>126</v>
      </c>
      <c r="W82" s="440">
        <v>102199.61418</v>
      </c>
    </row>
    <row r="83" spans="1:23" s="1" customFormat="1" ht="15.75">
      <c r="B83" s="12" t="s">
        <v>508</v>
      </c>
      <c r="C83" s="285">
        <v>43027.350349999993</v>
      </c>
      <c r="D83" s="285">
        <v>0</v>
      </c>
      <c r="E83" s="285">
        <v>0</v>
      </c>
      <c r="F83" s="285">
        <v>0</v>
      </c>
      <c r="G83" s="285">
        <v>0</v>
      </c>
      <c r="H83" s="285">
        <v>0</v>
      </c>
      <c r="I83" s="285">
        <v>0</v>
      </c>
      <c r="J83" s="285">
        <v>0</v>
      </c>
      <c r="K83" s="285">
        <v>0</v>
      </c>
      <c r="L83" s="285">
        <v>0</v>
      </c>
      <c r="M83" s="285">
        <v>0</v>
      </c>
      <c r="N83" s="285">
        <v>0</v>
      </c>
      <c r="O83" s="285">
        <v>0</v>
      </c>
      <c r="P83" s="440">
        <v>0</v>
      </c>
      <c r="Q83" s="440">
        <v>0</v>
      </c>
      <c r="R83" s="440">
        <v>0</v>
      </c>
      <c r="S83" s="440">
        <v>0</v>
      </c>
      <c r="T83" s="440">
        <v>0</v>
      </c>
      <c r="U83" s="744"/>
      <c r="V83" s="129" t="s">
        <v>508</v>
      </c>
      <c r="W83" s="440">
        <v>0</v>
      </c>
    </row>
    <row r="84" spans="1:23" s="1" customFormat="1" ht="15.75">
      <c r="B84" s="12" t="s">
        <v>509</v>
      </c>
      <c r="C84" s="285">
        <v>0</v>
      </c>
      <c r="D84" s="285">
        <v>0</v>
      </c>
      <c r="E84" s="285">
        <v>0</v>
      </c>
      <c r="F84" s="285">
        <v>0</v>
      </c>
      <c r="G84" s="285">
        <v>0</v>
      </c>
      <c r="H84" s="285">
        <v>0</v>
      </c>
      <c r="I84" s="285">
        <v>0</v>
      </c>
      <c r="J84" s="285">
        <v>0</v>
      </c>
      <c r="K84" s="285">
        <v>0</v>
      </c>
      <c r="L84" s="285">
        <v>0</v>
      </c>
      <c r="M84" s="285">
        <v>0</v>
      </c>
      <c r="N84" s="285">
        <v>0</v>
      </c>
      <c r="O84" s="285">
        <v>0</v>
      </c>
      <c r="P84" s="440">
        <v>0</v>
      </c>
      <c r="Q84" s="440">
        <v>0</v>
      </c>
      <c r="R84" s="440">
        <v>0</v>
      </c>
      <c r="S84" s="440">
        <v>0</v>
      </c>
      <c r="T84" s="440">
        <v>0</v>
      </c>
      <c r="U84" s="744"/>
      <c r="V84" s="129" t="s">
        <v>509</v>
      </c>
      <c r="W84" s="440">
        <v>0</v>
      </c>
    </row>
    <row r="85" spans="1:23" ht="15.75" thickBot="1">
      <c r="B85" s="58" t="s">
        <v>84</v>
      </c>
      <c r="C85" s="294">
        <v>453789.92834999994</v>
      </c>
      <c r="D85" s="294">
        <v>498680.42410999991</v>
      </c>
      <c r="E85" s="294">
        <v>446296.78682000004</v>
      </c>
      <c r="F85" s="294">
        <v>458720.77010999998</v>
      </c>
      <c r="G85" s="294">
        <v>471491.97285999998</v>
      </c>
      <c r="H85" s="294">
        <v>485059.75955999998</v>
      </c>
      <c r="I85" s="294">
        <v>500680.04010999994</v>
      </c>
      <c r="J85" s="294">
        <v>446447.46354999999</v>
      </c>
      <c r="K85" s="294">
        <v>460962.01191999996</v>
      </c>
      <c r="L85" s="294">
        <v>477418.59275999991</v>
      </c>
      <c r="M85" s="294">
        <v>490929.23450999998</v>
      </c>
      <c r="N85" s="448">
        <v>440435.74289999995</v>
      </c>
      <c r="O85" s="448">
        <v>456955</v>
      </c>
      <c r="P85" s="448">
        <f>SUM(P79:P84)</f>
        <v>472403</v>
      </c>
      <c r="Q85" s="448">
        <f t="shared" ref="Q85" si="14">SUM(Q79:Q84)</f>
        <v>423049</v>
      </c>
      <c r="R85" s="448">
        <v>438397</v>
      </c>
      <c r="S85" s="448">
        <v>404734.45753999997</v>
      </c>
      <c r="T85" s="448">
        <f t="shared" ref="T85" si="15">SUM(T79:T84)</f>
        <v>420081.19397999998</v>
      </c>
      <c r="V85" s="58" t="s">
        <v>84</v>
      </c>
      <c r="W85" s="448">
        <v>417786.05871000001</v>
      </c>
    </row>
    <row r="86" spans="1:23" ht="15.75" thickBot="1">
      <c r="B86" s="74" t="s">
        <v>85</v>
      </c>
      <c r="C86" s="295">
        <v>1319737.9840326314</v>
      </c>
      <c r="D86" s="295">
        <v>1432530.7423199997</v>
      </c>
      <c r="E86" s="295">
        <v>1502815.58586</v>
      </c>
      <c r="F86" s="295">
        <v>1452407.6739899998</v>
      </c>
      <c r="G86" s="295">
        <v>1467536.77015</v>
      </c>
      <c r="H86" s="295">
        <v>1474473.41478</v>
      </c>
      <c r="I86" s="295">
        <v>1473079.1132399999</v>
      </c>
      <c r="J86" s="295">
        <v>1492996.5555600002</v>
      </c>
      <c r="K86" s="295">
        <v>1514574.4826899997</v>
      </c>
      <c r="L86" s="295">
        <v>1536323.9275199999</v>
      </c>
      <c r="M86" s="295">
        <v>1570209.3874900001</v>
      </c>
      <c r="N86" s="449">
        <v>1606894.4869599999</v>
      </c>
      <c r="O86" s="449">
        <v>1769814</v>
      </c>
      <c r="P86" s="449">
        <f>P76+P85</f>
        <v>1807805</v>
      </c>
      <c r="Q86" s="449">
        <f t="shared" ref="Q86" si="16">Q76+Q85</f>
        <v>1822565</v>
      </c>
      <c r="R86" s="449">
        <v>1814614</v>
      </c>
      <c r="S86" s="449">
        <v>1806872.9502900001</v>
      </c>
      <c r="T86" s="449">
        <f t="shared" ref="T86" si="17">T76+T85</f>
        <v>1822344.19398</v>
      </c>
      <c r="V86" s="74" t="s">
        <v>85</v>
      </c>
      <c r="W86" s="449">
        <v>1839023.3276200001</v>
      </c>
    </row>
    <row r="87" spans="1:23" ht="15.75">
      <c r="C87" s="587">
        <f>+C59-C76-C85</f>
        <v>1.3736833352595568E-4</v>
      </c>
      <c r="D87" s="587">
        <f t="shared" ref="D87:N87" si="18">+D59-D76-D85</f>
        <v>7.0000183768570423E-5</v>
      </c>
      <c r="E87" s="587">
        <f t="shared" si="18"/>
        <v>7.0000067353248596E-5</v>
      </c>
      <c r="F87" s="587">
        <f t="shared" si="18"/>
        <v>6.0000165831297636E-5</v>
      </c>
      <c r="G87" s="587">
        <f t="shared" si="18"/>
        <v>4.9999915063381195E-5</v>
      </c>
      <c r="H87" s="587">
        <f t="shared" si="18"/>
        <v>6.9999776314944029E-5</v>
      </c>
      <c r="I87" s="587">
        <f t="shared" si="18"/>
        <v>3.7999998312443495E-4</v>
      </c>
      <c r="J87" s="587">
        <f t="shared" si="18"/>
        <v>-2.5000015739351511E-4</v>
      </c>
      <c r="K87" s="587">
        <f t="shared" si="18"/>
        <v>4.6566128730773926E-10</v>
      </c>
      <c r="L87" s="587">
        <f t="shared" si="18"/>
        <v>3.5000033676624298E-4</v>
      </c>
      <c r="M87" s="587">
        <f t="shared" si="18"/>
        <v>-9.000010322779417E-5</v>
      </c>
      <c r="N87" s="587">
        <f t="shared" si="18"/>
        <v>3.9000017568469048E-4</v>
      </c>
      <c r="O87" s="587">
        <v>0</v>
      </c>
      <c r="P87" s="587">
        <f>+P59-P76-P85</f>
        <v>0</v>
      </c>
      <c r="Q87" s="587">
        <f>+Q59-Q76-Q85</f>
        <v>0</v>
      </c>
      <c r="R87" s="587">
        <v>0</v>
      </c>
      <c r="S87" s="587"/>
      <c r="T87" s="135"/>
    </row>
    <row r="88" spans="1:23" ht="15.75">
      <c r="C88" s="282">
        <f>+C28-C83</f>
        <v>-0.35034999999334104</v>
      </c>
      <c r="D88" s="282">
        <f>+D28-D85</f>
        <v>-454107.42410999991</v>
      </c>
      <c r="E88" s="282">
        <f>+E28-E83</f>
        <v>12617</v>
      </c>
      <c r="F88" s="282">
        <f>+E28+F28-F83</f>
        <v>25040</v>
      </c>
      <c r="G88" s="282">
        <f>+G28+F28+E28-G83</f>
        <v>37812</v>
      </c>
      <c r="H88" s="282">
        <f>+H28+G28+F28+E28-H83</f>
        <v>51697</v>
      </c>
      <c r="I88" s="282">
        <f>+I28-I83</f>
        <v>15620</v>
      </c>
      <c r="J88" s="282">
        <f>+I28+J28-J83</f>
        <v>26388</v>
      </c>
      <c r="K88" s="282">
        <f>+K28+J28+I28-K83</f>
        <v>40902</v>
      </c>
      <c r="L88" s="282">
        <f>+L28+K28+J28+I28-L83</f>
        <v>57359</v>
      </c>
      <c r="M88" s="282">
        <f>+M28-M83</f>
        <v>13511</v>
      </c>
      <c r="N88" s="282">
        <f>+M28+N28-N83</f>
        <v>28018</v>
      </c>
      <c r="O88" s="282">
        <v>31025</v>
      </c>
      <c r="P88" s="282"/>
      <c r="Q88" s="282"/>
      <c r="R88" s="282"/>
      <c r="S88" s="282"/>
      <c r="T88" s="135"/>
    </row>
    <row r="89" spans="1:23" ht="15.75">
      <c r="C89" s="265"/>
      <c r="D89" s="265"/>
      <c r="E89" s="265"/>
      <c r="F89" s="265"/>
      <c r="G89" s="265"/>
      <c r="H89" s="265"/>
      <c r="I89" s="265"/>
      <c r="J89" s="265"/>
      <c r="K89" s="265"/>
      <c r="L89" s="265"/>
      <c r="M89" s="265"/>
      <c r="N89" s="265"/>
      <c r="O89" s="265"/>
      <c r="P89" s="265"/>
      <c r="Q89" s="265"/>
      <c r="R89" s="265"/>
      <c r="S89" s="265"/>
      <c r="T89" s="135"/>
    </row>
    <row r="90" spans="1:23" ht="15.75">
      <c r="A90" s="155" t="s">
        <v>469</v>
      </c>
      <c r="B90" s="19" t="s">
        <v>465</v>
      </c>
      <c r="C90" s="265"/>
      <c r="D90" s="265"/>
      <c r="E90" s="265"/>
      <c r="F90" s="265"/>
      <c r="G90" s="265"/>
      <c r="H90" s="265"/>
      <c r="I90" s="265"/>
      <c r="J90" s="265"/>
      <c r="K90" s="265"/>
      <c r="L90" s="265"/>
      <c r="M90" s="265"/>
      <c r="N90" s="265"/>
      <c r="O90" s="265"/>
      <c r="P90" s="265"/>
      <c r="Q90" s="265"/>
      <c r="R90" s="265"/>
      <c r="S90" s="265"/>
      <c r="T90" s="135"/>
    </row>
    <row r="91" spans="1:23" ht="15.75">
      <c r="B91" s="21" t="s">
        <v>488</v>
      </c>
      <c r="C91" s="265"/>
      <c r="D91" s="265"/>
      <c r="E91" s="265"/>
      <c r="F91" s="265"/>
      <c r="G91" s="265"/>
      <c r="H91" s="289"/>
      <c r="I91" s="289"/>
      <c r="J91" s="289"/>
      <c r="K91" s="265"/>
      <c r="L91" s="289"/>
      <c r="M91" s="265"/>
      <c r="N91" s="265"/>
      <c r="O91" s="265"/>
      <c r="P91" s="265"/>
      <c r="Q91" s="265"/>
      <c r="R91" s="265"/>
      <c r="S91" s="265"/>
      <c r="T91" s="135"/>
    </row>
    <row r="92" spans="1:23" ht="15.75">
      <c r="C92" s="265"/>
      <c r="D92" s="265"/>
      <c r="E92" s="289"/>
      <c r="F92" s="289"/>
      <c r="G92" s="289"/>
      <c r="H92" s="289"/>
      <c r="I92" s="265"/>
      <c r="J92" s="265"/>
      <c r="K92" s="265"/>
      <c r="L92" s="289"/>
      <c r="M92" s="265"/>
      <c r="N92" s="265"/>
      <c r="O92" s="265"/>
      <c r="P92" s="265"/>
      <c r="Q92" s="265"/>
      <c r="R92" s="265"/>
      <c r="S92" s="265"/>
      <c r="T92" s="135"/>
    </row>
    <row r="93" spans="1:23">
      <c r="B93" s="78"/>
      <c r="C93" s="208">
        <v>2016</v>
      </c>
      <c r="D93" s="208">
        <v>2017</v>
      </c>
      <c r="E93" s="208" t="s">
        <v>650</v>
      </c>
      <c r="F93" s="208" t="s">
        <v>651</v>
      </c>
      <c r="G93" s="208" t="s">
        <v>652</v>
      </c>
      <c r="H93" s="208" t="s">
        <v>653</v>
      </c>
      <c r="I93" s="208" t="s">
        <v>654</v>
      </c>
      <c r="J93" s="208" t="s">
        <v>655</v>
      </c>
      <c r="K93" s="208" t="s">
        <v>656</v>
      </c>
      <c r="L93" s="208" t="s">
        <v>657</v>
      </c>
      <c r="M93" s="208" t="s">
        <v>658</v>
      </c>
      <c r="N93" s="208" t="s">
        <v>659</v>
      </c>
      <c r="O93" s="208" t="s">
        <v>626</v>
      </c>
      <c r="P93" s="208" t="s">
        <v>958</v>
      </c>
      <c r="Q93" s="208" t="s">
        <v>1014</v>
      </c>
      <c r="R93" s="208" t="s">
        <v>1048</v>
      </c>
      <c r="S93" s="208" t="s">
        <v>1187</v>
      </c>
      <c r="T93" s="208" t="s">
        <v>1246</v>
      </c>
    </row>
    <row r="94" spans="1:23" ht="15.75">
      <c r="B94" s="80"/>
      <c r="C94" s="77"/>
      <c r="D94" s="77"/>
      <c r="E94" s="77"/>
      <c r="F94" s="77"/>
      <c r="G94" s="77"/>
      <c r="H94" s="77"/>
      <c r="I94" s="77"/>
      <c r="J94" s="77"/>
      <c r="K94" s="77"/>
      <c r="L94" s="77"/>
      <c r="M94" s="77"/>
      <c r="N94" s="77"/>
      <c r="O94" s="77"/>
      <c r="P94" s="442"/>
      <c r="Q94" s="442"/>
      <c r="R94" s="442"/>
      <c r="S94" s="442"/>
      <c r="T94" s="135"/>
    </row>
    <row r="95" spans="1:23" s="133" customFormat="1" ht="15.75">
      <c r="B95" s="129" t="s">
        <v>13</v>
      </c>
      <c r="C95" s="285">
        <v>30837</v>
      </c>
      <c r="D95" s="285">
        <v>18651</v>
      </c>
      <c r="E95" s="285">
        <v>681</v>
      </c>
      <c r="F95" s="285">
        <v>847</v>
      </c>
      <c r="G95" s="285">
        <v>985</v>
      </c>
      <c r="H95" s="285">
        <v>10662</v>
      </c>
      <c r="I95" s="285">
        <v>3583</v>
      </c>
      <c r="J95" s="285">
        <v>1753</v>
      </c>
      <c r="K95" s="285">
        <v>287</v>
      </c>
      <c r="L95" s="285">
        <v>1795</v>
      </c>
      <c r="M95" s="285">
        <v>3646</v>
      </c>
      <c r="N95" s="285">
        <v>4418</v>
      </c>
      <c r="O95" s="285">
        <v>11173</v>
      </c>
      <c r="P95" s="440">
        <v>1779</v>
      </c>
      <c r="Q95" s="440">
        <v>1264</v>
      </c>
      <c r="R95" s="440">
        <v>1363</v>
      </c>
      <c r="S95" s="440">
        <v>-0.12613000000010288</v>
      </c>
      <c r="T95" s="440">
        <v>266</v>
      </c>
      <c r="U95" s="744"/>
      <c r="V95" s="129" t="s">
        <v>13</v>
      </c>
      <c r="W95" s="440">
        <v>0</v>
      </c>
    </row>
    <row r="96" spans="1:23" s="133" customFormat="1" ht="15.75">
      <c r="B96" s="129" t="s">
        <v>14</v>
      </c>
      <c r="C96" s="285">
        <v>30808</v>
      </c>
      <c r="D96" s="285">
        <v>18251</v>
      </c>
      <c r="E96" s="285">
        <v>504</v>
      </c>
      <c r="F96" s="285">
        <v>943</v>
      </c>
      <c r="G96" s="285">
        <v>949</v>
      </c>
      <c r="H96" s="285">
        <v>11129</v>
      </c>
      <c r="I96" s="285">
        <v>3593</v>
      </c>
      <c r="J96" s="285">
        <v>1742</v>
      </c>
      <c r="K96" s="285">
        <v>284</v>
      </c>
      <c r="L96" s="285">
        <v>1800</v>
      </c>
      <c r="M96" s="285">
        <v>3646</v>
      </c>
      <c r="N96" s="285">
        <v>4418</v>
      </c>
      <c r="O96" s="285">
        <v>11173</v>
      </c>
      <c r="P96" s="440">
        <v>1831</v>
      </c>
      <c r="Q96" s="440">
        <v>1270</v>
      </c>
      <c r="R96" s="440">
        <v>1432</v>
      </c>
      <c r="S96" s="440">
        <v>137.73720999999978</v>
      </c>
      <c r="T96" s="440">
        <v>48</v>
      </c>
      <c r="U96" s="744"/>
      <c r="V96" s="129" t="s">
        <v>14</v>
      </c>
      <c r="W96" s="440">
        <v>0</v>
      </c>
    </row>
    <row r="97" spans="2:23" s="133" customFormat="1" ht="15.75">
      <c r="B97" s="132" t="s">
        <v>15</v>
      </c>
      <c r="C97" s="301">
        <f t="shared" ref="C97:Q97" si="19">+C95-C96</f>
        <v>29</v>
      </c>
      <c r="D97" s="301">
        <f t="shared" si="19"/>
        <v>400</v>
      </c>
      <c r="E97" s="301">
        <f t="shared" si="19"/>
        <v>177</v>
      </c>
      <c r="F97" s="301">
        <f t="shared" si="19"/>
        <v>-96</v>
      </c>
      <c r="G97" s="301">
        <f t="shared" si="19"/>
        <v>36</v>
      </c>
      <c r="H97" s="301">
        <f t="shared" si="19"/>
        <v>-467</v>
      </c>
      <c r="I97" s="301">
        <f t="shared" si="19"/>
        <v>-10</v>
      </c>
      <c r="J97" s="301">
        <f t="shared" si="19"/>
        <v>11</v>
      </c>
      <c r="K97" s="301">
        <f t="shared" si="19"/>
        <v>3</v>
      </c>
      <c r="L97" s="301">
        <f t="shared" si="19"/>
        <v>-5</v>
      </c>
      <c r="M97" s="301">
        <f t="shared" si="19"/>
        <v>0</v>
      </c>
      <c r="N97" s="301">
        <f t="shared" si="19"/>
        <v>0</v>
      </c>
      <c r="O97" s="301">
        <v>0</v>
      </c>
      <c r="P97" s="441">
        <f t="shared" si="19"/>
        <v>-52</v>
      </c>
      <c r="Q97" s="441">
        <f t="shared" si="19"/>
        <v>-6</v>
      </c>
      <c r="R97" s="441">
        <v>-69</v>
      </c>
      <c r="S97" s="441">
        <v>-137.86333999999988</v>
      </c>
      <c r="T97" s="441">
        <f t="shared" ref="T97" si="20">+T95-T96</f>
        <v>218</v>
      </c>
      <c r="U97" s="744"/>
      <c r="V97" s="132" t="s">
        <v>1293</v>
      </c>
      <c r="W97" s="441">
        <v>0</v>
      </c>
    </row>
    <row r="98" spans="2:23" s="133" customFormat="1" ht="15.75">
      <c r="B98" s="128"/>
      <c r="C98" s="9"/>
      <c r="D98" s="9"/>
      <c r="E98" s="9"/>
      <c r="F98" s="9"/>
      <c r="G98" s="9"/>
      <c r="H98" s="9"/>
      <c r="I98" s="9"/>
      <c r="J98" s="9"/>
      <c r="K98" s="9"/>
      <c r="L98" s="9"/>
      <c r="M98" s="9"/>
      <c r="N98" s="9"/>
      <c r="O98" s="9"/>
      <c r="P98" s="442"/>
      <c r="Q98" s="442"/>
      <c r="R98" s="442"/>
      <c r="S98" s="442"/>
      <c r="T98" s="442"/>
      <c r="U98" s="744"/>
      <c r="W98" s="442"/>
    </row>
    <row r="99" spans="2:23" ht="15.75">
      <c r="B99" s="12" t="s">
        <v>88</v>
      </c>
      <c r="C99" s="285">
        <v>116591</v>
      </c>
      <c r="D99" s="285">
        <v>128337</v>
      </c>
      <c r="E99" s="285">
        <v>33702</v>
      </c>
      <c r="F99" s="285">
        <v>35790</v>
      </c>
      <c r="G99" s="285">
        <v>35784</v>
      </c>
      <c r="H99" s="285">
        <v>38494</v>
      </c>
      <c r="I99" s="285">
        <v>36262</v>
      </c>
      <c r="J99" s="285">
        <v>37670</v>
      </c>
      <c r="K99" s="285">
        <v>38176</v>
      </c>
      <c r="L99" s="285">
        <v>37354</v>
      </c>
      <c r="M99" s="285">
        <v>35845</v>
      </c>
      <c r="N99" s="285">
        <v>38423</v>
      </c>
      <c r="O99" s="285">
        <v>37404</v>
      </c>
      <c r="P99" s="440">
        <v>37287</v>
      </c>
      <c r="Q99" s="440">
        <v>38038</v>
      </c>
      <c r="R99" s="440">
        <v>38028</v>
      </c>
      <c r="S99" s="440">
        <v>38268.883549999999</v>
      </c>
      <c r="T99" s="440">
        <v>37991</v>
      </c>
      <c r="V99" s="129" t="s">
        <v>88</v>
      </c>
      <c r="W99" s="440">
        <v>38313.712049999995</v>
      </c>
    </row>
    <row r="100" spans="2:23" ht="15.75">
      <c r="B100" s="12" t="s">
        <v>510</v>
      </c>
      <c r="C100" s="285">
        <v>20342</v>
      </c>
      <c r="D100" s="285">
        <v>16295</v>
      </c>
      <c r="E100" s="285">
        <v>4469</v>
      </c>
      <c r="F100" s="285">
        <v>3864</v>
      </c>
      <c r="G100" s="285">
        <v>4195</v>
      </c>
      <c r="H100" s="285">
        <v>9449</v>
      </c>
      <c r="I100" s="285">
        <v>4704</v>
      </c>
      <c r="J100" s="285">
        <v>5108</v>
      </c>
      <c r="K100" s="285">
        <v>4686</v>
      </c>
      <c r="L100" s="285">
        <v>4629</v>
      </c>
      <c r="M100" s="285">
        <v>4859</v>
      </c>
      <c r="N100" s="285">
        <v>4684</v>
      </c>
      <c r="O100" s="285">
        <v>4392</v>
      </c>
      <c r="P100" s="440">
        <v>4767</v>
      </c>
      <c r="Q100" s="440">
        <v>4764</v>
      </c>
      <c r="R100" s="440">
        <v>3902</v>
      </c>
      <c r="S100" s="440">
        <v>5903.5095799999999</v>
      </c>
      <c r="T100" s="440">
        <v>5006</v>
      </c>
      <c r="V100" s="129" t="s">
        <v>127</v>
      </c>
      <c r="W100" s="440">
        <v>6159.57474</v>
      </c>
    </row>
    <row r="101" spans="2:23" ht="15.75">
      <c r="B101" s="12" t="s">
        <v>22</v>
      </c>
      <c r="C101" s="285">
        <v>0</v>
      </c>
      <c r="D101" s="285">
        <v>0</v>
      </c>
      <c r="E101" s="285">
        <v>0</v>
      </c>
      <c r="F101" s="285">
        <v>0</v>
      </c>
      <c r="G101" s="285">
        <v>0</v>
      </c>
      <c r="H101" s="285">
        <v>0</v>
      </c>
      <c r="I101" s="285">
        <v>0</v>
      </c>
      <c r="J101" s="285">
        <v>0</v>
      </c>
      <c r="K101" s="285">
        <v>0</v>
      </c>
      <c r="L101" s="285">
        <v>0</v>
      </c>
      <c r="M101" s="285">
        <v>0</v>
      </c>
      <c r="N101" s="285">
        <v>0</v>
      </c>
      <c r="O101" s="285">
        <v>0</v>
      </c>
      <c r="P101" s="440">
        <v>110</v>
      </c>
      <c r="Q101" s="440">
        <v>0</v>
      </c>
      <c r="R101" s="440">
        <v>0</v>
      </c>
      <c r="S101" s="440">
        <v>0</v>
      </c>
      <c r="T101" s="440">
        <v>0</v>
      </c>
      <c r="V101" s="129" t="s">
        <v>22</v>
      </c>
      <c r="W101" s="440">
        <v>78.27758</v>
      </c>
    </row>
    <row r="102" spans="2:23" ht="15.75">
      <c r="B102" s="12" t="s">
        <v>23</v>
      </c>
      <c r="C102" s="285">
        <v>44261</v>
      </c>
      <c r="D102" s="285">
        <f>41857+2222</f>
        <v>44079</v>
      </c>
      <c r="E102" s="285">
        <v>11359</v>
      </c>
      <c r="F102" s="285">
        <v>11199</v>
      </c>
      <c r="G102" s="285">
        <v>11646</v>
      </c>
      <c r="H102" s="591">
        <v>12170</v>
      </c>
      <c r="I102" s="285">
        <v>11111</v>
      </c>
      <c r="J102" s="285">
        <v>11834</v>
      </c>
      <c r="K102" s="285">
        <v>10933</v>
      </c>
      <c r="L102" s="285">
        <v>9452</v>
      </c>
      <c r="M102" s="285">
        <v>10188</v>
      </c>
      <c r="N102" s="285">
        <v>10939</v>
      </c>
      <c r="O102" s="285">
        <v>11062</v>
      </c>
      <c r="P102" s="440">
        <v>13809</v>
      </c>
      <c r="Q102" s="440">
        <v>10193</v>
      </c>
      <c r="R102" s="440">
        <v>11154</v>
      </c>
      <c r="S102" s="440">
        <v>12699.638699999996</v>
      </c>
      <c r="T102" s="440">
        <v>14495</v>
      </c>
      <c r="V102" s="129" t="s">
        <v>23</v>
      </c>
      <c r="W102" s="440">
        <v>11742.731930000002</v>
      </c>
    </row>
    <row r="103" spans="2:23" s="133" customFormat="1" ht="15.75">
      <c r="B103" s="132" t="s">
        <v>24</v>
      </c>
      <c r="C103" s="301">
        <f t="shared" ref="C103:P103" si="21">+SUM(C99:C101)-C102</f>
        <v>92672</v>
      </c>
      <c r="D103" s="301">
        <f t="shared" si="21"/>
        <v>100553</v>
      </c>
      <c r="E103" s="301">
        <f t="shared" si="21"/>
        <v>26812</v>
      </c>
      <c r="F103" s="301">
        <f t="shared" si="21"/>
        <v>28455</v>
      </c>
      <c r="G103" s="301">
        <f t="shared" si="21"/>
        <v>28333</v>
      </c>
      <c r="H103" s="301">
        <f t="shared" si="21"/>
        <v>35773</v>
      </c>
      <c r="I103" s="301">
        <f t="shared" si="21"/>
        <v>29855</v>
      </c>
      <c r="J103" s="301">
        <f t="shared" si="21"/>
        <v>30944</v>
      </c>
      <c r="K103" s="301">
        <f t="shared" si="21"/>
        <v>31929</v>
      </c>
      <c r="L103" s="301">
        <f t="shared" si="21"/>
        <v>32531</v>
      </c>
      <c r="M103" s="301">
        <f t="shared" si="21"/>
        <v>30516</v>
      </c>
      <c r="N103" s="301">
        <f t="shared" si="21"/>
        <v>32168</v>
      </c>
      <c r="O103" s="301">
        <v>30734</v>
      </c>
      <c r="P103" s="441">
        <f t="shared" si="21"/>
        <v>28355</v>
      </c>
      <c r="Q103" s="441">
        <f t="shared" ref="Q103" si="22">+SUM(Q99:Q101)-Q102</f>
        <v>32609</v>
      </c>
      <c r="R103" s="441">
        <v>30776</v>
      </c>
      <c r="S103" s="441">
        <v>31472.754430000001</v>
      </c>
      <c r="T103" s="441">
        <f t="shared" ref="T103" si="23">+SUM(T99:T101)-T102</f>
        <v>28502</v>
      </c>
      <c r="U103" s="744"/>
      <c r="V103" s="129" t="s">
        <v>26</v>
      </c>
      <c r="W103" s="440">
        <v>9041.4740300000012</v>
      </c>
    </row>
    <row r="104" spans="2:23" ht="15.75">
      <c r="B104" s="16" t="s">
        <v>92</v>
      </c>
      <c r="C104" s="286">
        <f>+C97+C103</f>
        <v>92701</v>
      </c>
      <c r="D104" s="286">
        <f t="shared" ref="D104:Q104" si="24">+D97+D103</f>
        <v>100953</v>
      </c>
      <c r="E104" s="286">
        <f t="shared" si="24"/>
        <v>26989</v>
      </c>
      <c r="F104" s="286">
        <f t="shared" si="24"/>
        <v>28359</v>
      </c>
      <c r="G104" s="286">
        <f t="shared" si="24"/>
        <v>28369</v>
      </c>
      <c r="H104" s="286">
        <f t="shared" si="24"/>
        <v>35306</v>
      </c>
      <c r="I104" s="286">
        <f t="shared" si="24"/>
        <v>29845</v>
      </c>
      <c r="J104" s="286">
        <f t="shared" si="24"/>
        <v>30955</v>
      </c>
      <c r="K104" s="286">
        <f t="shared" si="24"/>
        <v>31932</v>
      </c>
      <c r="L104" s="286">
        <f t="shared" si="24"/>
        <v>32526</v>
      </c>
      <c r="M104" s="286">
        <f t="shared" si="24"/>
        <v>30516</v>
      </c>
      <c r="N104" s="286">
        <f t="shared" si="24"/>
        <v>32168</v>
      </c>
      <c r="O104" s="286">
        <v>30734</v>
      </c>
      <c r="P104" s="443">
        <f t="shared" si="24"/>
        <v>28303</v>
      </c>
      <c r="Q104" s="443">
        <f t="shared" si="24"/>
        <v>32603</v>
      </c>
      <c r="R104" s="443">
        <v>30707</v>
      </c>
      <c r="S104" s="443">
        <v>31334.891090000001</v>
      </c>
      <c r="T104" s="443">
        <f t="shared" ref="T104" si="25">+T97+T103</f>
        <v>28720</v>
      </c>
      <c r="V104" s="130" t="s">
        <v>677</v>
      </c>
      <c r="W104" s="443">
        <v>23767.358409999997</v>
      </c>
    </row>
    <row r="105" spans="2:23" ht="15.75">
      <c r="B105" s="10"/>
      <c r="C105" s="9"/>
      <c r="D105" s="9"/>
      <c r="E105" s="9"/>
      <c r="F105" s="9"/>
      <c r="G105" s="9"/>
      <c r="H105" s="9"/>
      <c r="I105" s="9"/>
      <c r="J105" s="9"/>
      <c r="K105" s="9"/>
      <c r="L105" s="9"/>
      <c r="M105" s="9"/>
      <c r="N105" s="9"/>
      <c r="O105" s="9"/>
      <c r="P105" s="442"/>
      <c r="Q105" s="442"/>
      <c r="R105" s="442"/>
      <c r="S105" s="442"/>
      <c r="T105" s="442"/>
    </row>
    <row r="106" spans="2:23" ht="15.75">
      <c r="B106" s="12" t="s">
        <v>26</v>
      </c>
      <c r="C106" s="592">
        <v>39467</v>
      </c>
      <c r="D106" s="592">
        <v>42909</v>
      </c>
      <c r="E106" s="592">
        <v>10593</v>
      </c>
      <c r="F106" s="592">
        <v>10578</v>
      </c>
      <c r="G106" s="592">
        <v>10546</v>
      </c>
      <c r="H106" s="592">
        <v>10617</v>
      </c>
      <c r="I106" s="592">
        <v>10571</v>
      </c>
      <c r="J106" s="592">
        <v>10974</v>
      </c>
      <c r="K106" s="592">
        <v>10897</v>
      </c>
      <c r="L106" s="592">
        <v>-8660</v>
      </c>
      <c r="M106" s="592">
        <v>10418</v>
      </c>
      <c r="N106" s="592">
        <v>10487</v>
      </c>
      <c r="O106" s="592">
        <v>10439</v>
      </c>
      <c r="P106" s="588">
        <v>11202</v>
      </c>
      <c r="Q106" s="588">
        <v>10463</v>
      </c>
      <c r="R106" s="588">
        <v>10533</v>
      </c>
      <c r="S106" s="588">
        <v>10518.46731</v>
      </c>
      <c r="T106" s="588">
        <v>9731</v>
      </c>
    </row>
    <row r="107" spans="2:23" s="134" customFormat="1" ht="15.75">
      <c r="B107" s="129" t="s">
        <v>27</v>
      </c>
      <c r="C107" s="285">
        <v>0</v>
      </c>
      <c r="D107" s="285">
        <v>0</v>
      </c>
      <c r="E107" s="285">
        <v>0</v>
      </c>
      <c r="F107" s="285">
        <v>0</v>
      </c>
      <c r="G107" s="285">
        <v>0</v>
      </c>
      <c r="H107" s="285">
        <v>0</v>
      </c>
      <c r="I107" s="285">
        <v>0</v>
      </c>
      <c r="J107" s="285">
        <v>0</v>
      </c>
      <c r="K107" s="285">
        <v>0</v>
      </c>
      <c r="L107" s="285">
        <v>0</v>
      </c>
      <c r="M107" s="285">
        <v>0</v>
      </c>
      <c r="N107" s="285">
        <v>0</v>
      </c>
      <c r="O107" s="285">
        <v>0</v>
      </c>
      <c r="P107" s="440">
        <v>0</v>
      </c>
      <c r="Q107" s="440">
        <v>0</v>
      </c>
      <c r="R107" s="440">
        <v>0</v>
      </c>
      <c r="S107" s="440">
        <v>0</v>
      </c>
      <c r="T107" s="440">
        <v>0</v>
      </c>
      <c r="U107" s="744"/>
      <c r="V107" s="129" t="s">
        <v>27</v>
      </c>
      <c r="W107" s="440">
        <v>0</v>
      </c>
    </row>
    <row r="108" spans="2:23" s="134" customFormat="1" ht="15.75">
      <c r="B108" s="129" t="s">
        <v>28</v>
      </c>
      <c r="C108" s="285">
        <v>1312</v>
      </c>
      <c r="D108" s="285">
        <v>2222</v>
      </c>
      <c r="E108" s="285">
        <v>358</v>
      </c>
      <c r="F108" s="285">
        <v>192</v>
      </c>
      <c r="G108" s="285">
        <v>575</v>
      </c>
      <c r="H108" s="285">
        <f>1609-E108-F108-G108</f>
        <v>484</v>
      </c>
      <c r="I108" s="285">
        <v>-218</v>
      </c>
      <c r="J108" s="285">
        <v>-84</v>
      </c>
      <c r="K108" s="285">
        <v>-267</v>
      </c>
      <c r="L108" s="285">
        <v>-130</v>
      </c>
      <c r="M108" s="285">
        <f>-ROUND(161225.72/1000,0)</f>
        <v>-161</v>
      </c>
      <c r="N108" s="285">
        <f>-ROUND(110194.07/1000,0)</f>
        <v>-110</v>
      </c>
      <c r="O108" s="285">
        <v>271</v>
      </c>
      <c r="P108" s="440">
        <v>0</v>
      </c>
      <c r="Q108" s="440">
        <v>709</v>
      </c>
      <c r="R108" s="440">
        <v>-309</v>
      </c>
      <c r="S108" s="440">
        <v>123.70071000000007</v>
      </c>
      <c r="T108" s="440">
        <v>3530</v>
      </c>
      <c r="U108" s="744"/>
      <c r="V108" s="129" t="s">
        <v>28</v>
      </c>
      <c r="W108" s="440">
        <v>-3.92821</v>
      </c>
    </row>
    <row r="109" spans="2:23" ht="15.75">
      <c r="B109" s="16" t="s">
        <v>29</v>
      </c>
      <c r="C109" s="286">
        <f>+C104-C106+C107+C108</f>
        <v>54546</v>
      </c>
      <c r="D109" s="286">
        <f t="shared" ref="D109:Q109" si="26">+D104-D106+D107+D108</f>
        <v>60266</v>
      </c>
      <c r="E109" s="286">
        <f t="shared" si="26"/>
        <v>16754</v>
      </c>
      <c r="F109" s="286">
        <f t="shared" si="26"/>
        <v>17973</v>
      </c>
      <c r="G109" s="286">
        <f t="shared" si="26"/>
        <v>18398</v>
      </c>
      <c r="H109" s="286">
        <f t="shared" si="26"/>
        <v>25173</v>
      </c>
      <c r="I109" s="286">
        <f t="shared" si="26"/>
        <v>19056</v>
      </c>
      <c r="J109" s="286">
        <f t="shared" si="26"/>
        <v>19897</v>
      </c>
      <c r="K109" s="286">
        <f t="shared" si="26"/>
        <v>20768</v>
      </c>
      <c r="L109" s="286">
        <f t="shared" si="26"/>
        <v>41056</v>
      </c>
      <c r="M109" s="286">
        <f t="shared" si="26"/>
        <v>19937</v>
      </c>
      <c r="N109" s="286">
        <f t="shared" si="26"/>
        <v>21571</v>
      </c>
      <c r="O109" s="286">
        <v>20566</v>
      </c>
      <c r="P109" s="443">
        <f t="shared" si="26"/>
        <v>17101</v>
      </c>
      <c r="Q109" s="443">
        <f t="shared" si="26"/>
        <v>22849</v>
      </c>
      <c r="R109" s="443">
        <v>19865</v>
      </c>
      <c r="S109" s="443">
        <v>20940.124490000002</v>
      </c>
      <c r="T109" s="443">
        <f t="shared" ref="T109" si="27">+T104-T106+T107+T108</f>
        <v>22519</v>
      </c>
      <c r="V109" s="130" t="s">
        <v>29</v>
      </c>
      <c r="W109" s="443">
        <v>23763.430199999999</v>
      </c>
    </row>
    <row r="110" spans="2:23" ht="15.75">
      <c r="B110" s="12"/>
      <c r="C110" s="285"/>
      <c r="D110" s="285"/>
      <c r="E110" s="285"/>
      <c r="F110" s="285"/>
      <c r="G110" s="285"/>
      <c r="H110" s="285"/>
      <c r="I110" s="285"/>
      <c r="J110" s="285"/>
      <c r="K110" s="285"/>
      <c r="L110" s="285"/>
      <c r="M110" s="285"/>
      <c r="N110" s="285"/>
      <c r="O110" s="285"/>
      <c r="P110" s="440"/>
      <c r="Q110" s="440"/>
      <c r="R110" s="440"/>
      <c r="S110" s="440">
        <v>0</v>
      </c>
      <c r="T110" s="440"/>
      <c r="V110" s="129"/>
      <c r="W110" s="440"/>
    </row>
    <row r="111" spans="2:23" ht="15.75">
      <c r="B111" s="12" t="s">
        <v>30</v>
      </c>
      <c r="C111" s="285">
        <v>-14091</v>
      </c>
      <c r="D111" s="285">
        <v>-11195</v>
      </c>
      <c r="E111" s="285">
        <v>-3430</v>
      </c>
      <c r="F111" s="285">
        <v>-2930</v>
      </c>
      <c r="G111" s="285">
        <v>-3295</v>
      </c>
      <c r="H111" s="285">
        <v>-3146</v>
      </c>
      <c r="I111" s="285">
        <v>-2574</v>
      </c>
      <c r="J111" s="285">
        <v>-3014</v>
      </c>
      <c r="K111" s="285">
        <v>-3347</v>
      </c>
      <c r="L111" s="285">
        <f>-10438-I111-J111-K111</f>
        <v>-1503</v>
      </c>
      <c r="M111" s="285">
        <v>-3889</v>
      </c>
      <c r="N111" s="285">
        <v>-4279</v>
      </c>
      <c r="O111" s="285">
        <v>-3844</v>
      </c>
      <c r="P111" s="440">
        <v>-2344</v>
      </c>
      <c r="Q111" s="440">
        <v>-4427</v>
      </c>
      <c r="R111" s="440">
        <v>-3797</v>
      </c>
      <c r="S111" s="440">
        <v>-1278.6547699999992</v>
      </c>
      <c r="T111" s="440">
        <v>-2140</v>
      </c>
      <c r="V111" s="129" t="s">
        <v>30</v>
      </c>
      <c r="W111" s="440">
        <v>-2944.6895299999996</v>
      </c>
    </row>
    <row r="112" spans="2:23" ht="15.75">
      <c r="B112" s="16" t="s">
        <v>31</v>
      </c>
      <c r="C112" s="287">
        <f>+C109+C111</f>
        <v>40455</v>
      </c>
      <c r="D112" s="287">
        <f t="shared" ref="D112:Q112" si="28">+D109+D111</f>
        <v>49071</v>
      </c>
      <c r="E112" s="287">
        <f t="shared" si="28"/>
        <v>13324</v>
      </c>
      <c r="F112" s="287">
        <f t="shared" si="28"/>
        <v>15043</v>
      </c>
      <c r="G112" s="287">
        <f t="shared" si="28"/>
        <v>15103</v>
      </c>
      <c r="H112" s="287">
        <f t="shared" si="28"/>
        <v>22027</v>
      </c>
      <c r="I112" s="287">
        <f t="shared" si="28"/>
        <v>16482</v>
      </c>
      <c r="J112" s="287">
        <f t="shared" si="28"/>
        <v>16883</v>
      </c>
      <c r="K112" s="287">
        <f t="shared" si="28"/>
        <v>17421</v>
      </c>
      <c r="L112" s="287">
        <f t="shared" si="28"/>
        <v>39553</v>
      </c>
      <c r="M112" s="287">
        <f t="shared" si="28"/>
        <v>16048</v>
      </c>
      <c r="N112" s="287">
        <f t="shared" si="28"/>
        <v>17292</v>
      </c>
      <c r="O112" s="287">
        <v>16722</v>
      </c>
      <c r="P112" s="444">
        <f t="shared" si="28"/>
        <v>14757</v>
      </c>
      <c r="Q112" s="444">
        <f t="shared" si="28"/>
        <v>18422</v>
      </c>
      <c r="R112" s="444">
        <v>16068</v>
      </c>
      <c r="S112" s="444">
        <v>19661.469720000001</v>
      </c>
      <c r="T112" s="444">
        <f t="shared" ref="T112" si="29">+T109+T111</f>
        <v>20379</v>
      </c>
      <c r="V112" s="130" t="s">
        <v>31</v>
      </c>
      <c r="W112" s="444">
        <v>20818.740669999999</v>
      </c>
    </row>
    <row r="113" spans="1:23" ht="15.75">
      <c r="B113" s="10"/>
      <c r="C113" s="9"/>
      <c r="D113" s="9"/>
      <c r="E113" s="9"/>
      <c r="F113" s="9"/>
      <c r="G113" s="9"/>
      <c r="H113" s="9"/>
      <c r="I113" s="593"/>
      <c r="J113" s="593"/>
      <c r="K113" s="9"/>
      <c r="L113" s="9"/>
      <c r="M113" s="9"/>
      <c r="N113" s="9"/>
      <c r="O113" s="9"/>
      <c r="P113" s="442"/>
      <c r="Q113" s="442"/>
      <c r="R113" s="442"/>
      <c r="S113" s="442"/>
      <c r="T113" s="442"/>
      <c r="V113" s="10"/>
      <c r="W113" s="442"/>
    </row>
    <row r="114" spans="1:23" ht="15.75">
      <c r="B114" s="12" t="s">
        <v>32</v>
      </c>
      <c r="C114" s="285">
        <v>10419</v>
      </c>
      <c r="D114" s="285">
        <v>18827</v>
      </c>
      <c r="E114" s="285">
        <v>3617</v>
      </c>
      <c r="F114" s="285">
        <v>4519</v>
      </c>
      <c r="G114" s="285">
        <v>4188</v>
      </c>
      <c r="H114" s="285">
        <v>6136</v>
      </c>
      <c r="I114" s="285">
        <v>4530</v>
      </c>
      <c r="J114" s="285">
        <v>5066</v>
      </c>
      <c r="K114" s="285">
        <v>4601</v>
      </c>
      <c r="L114" s="285">
        <v>11208</v>
      </c>
      <c r="M114" s="285">
        <v>4337</v>
      </c>
      <c r="N114" s="285">
        <v>4700</v>
      </c>
      <c r="O114" s="285">
        <v>4539</v>
      </c>
      <c r="P114" s="440">
        <v>5036</v>
      </c>
      <c r="Q114" s="440">
        <v>5099</v>
      </c>
      <c r="R114" s="440">
        <v>3987</v>
      </c>
      <c r="S114" s="440">
        <v>5343.7957800000004</v>
      </c>
      <c r="T114" s="440">
        <v>5936</v>
      </c>
      <c r="V114" s="129" t="s">
        <v>32</v>
      </c>
      <c r="W114" s="440">
        <v>5686.0379599999997</v>
      </c>
    </row>
    <row r="115" spans="1:23" ht="15.75">
      <c r="B115" s="16" t="s">
        <v>35</v>
      </c>
      <c r="C115" s="287">
        <f>+C112-C114</f>
        <v>30036</v>
      </c>
      <c r="D115" s="287">
        <f t="shared" ref="D115:Q115" si="30">+D112-D114</f>
        <v>30244</v>
      </c>
      <c r="E115" s="287">
        <f t="shared" si="30"/>
        <v>9707</v>
      </c>
      <c r="F115" s="287">
        <f t="shared" si="30"/>
        <v>10524</v>
      </c>
      <c r="G115" s="287">
        <f t="shared" si="30"/>
        <v>10915</v>
      </c>
      <c r="H115" s="287">
        <f t="shared" si="30"/>
        <v>15891</v>
      </c>
      <c r="I115" s="287">
        <f t="shared" si="30"/>
        <v>11952</v>
      </c>
      <c r="J115" s="287">
        <f t="shared" si="30"/>
        <v>11817</v>
      </c>
      <c r="K115" s="287">
        <f t="shared" si="30"/>
        <v>12820</v>
      </c>
      <c r="L115" s="287">
        <f t="shared" si="30"/>
        <v>28345</v>
      </c>
      <c r="M115" s="287">
        <f t="shared" si="30"/>
        <v>11711</v>
      </c>
      <c r="N115" s="287">
        <f t="shared" si="30"/>
        <v>12592</v>
      </c>
      <c r="O115" s="287">
        <v>12183</v>
      </c>
      <c r="P115" s="444">
        <f t="shared" si="30"/>
        <v>9721</v>
      </c>
      <c r="Q115" s="444">
        <f t="shared" si="30"/>
        <v>13323</v>
      </c>
      <c r="R115" s="444">
        <v>12081</v>
      </c>
      <c r="S115" s="444">
        <v>14317.673940000001</v>
      </c>
      <c r="T115" s="444">
        <f t="shared" ref="T115" si="31">+T112-T114</f>
        <v>14443</v>
      </c>
      <c r="V115" s="130" t="s">
        <v>35</v>
      </c>
      <c r="W115" s="444">
        <v>15132.70271</v>
      </c>
    </row>
    <row r="116" spans="1:23" ht="15.75">
      <c r="B116" s="98"/>
      <c r="C116" s="265"/>
      <c r="D116" s="265"/>
      <c r="E116" s="265"/>
      <c r="F116" s="265"/>
      <c r="G116" s="265"/>
      <c r="H116" s="265"/>
      <c r="I116" s="265"/>
      <c r="J116" s="265"/>
      <c r="K116" s="265"/>
      <c r="L116" s="265"/>
      <c r="M116" s="265"/>
      <c r="N116" s="265"/>
      <c r="O116" s="265"/>
      <c r="P116" s="265"/>
      <c r="Q116" s="265"/>
      <c r="R116" s="265"/>
      <c r="S116" s="265"/>
      <c r="T116" s="135"/>
      <c r="W116" s="744"/>
    </row>
    <row r="117" spans="1:23" ht="15.75">
      <c r="B117" s="98"/>
      <c r="C117" s="265"/>
      <c r="D117" s="265"/>
      <c r="E117" s="265"/>
      <c r="F117" s="265"/>
      <c r="G117" s="265"/>
      <c r="H117" s="265"/>
      <c r="I117" s="265"/>
      <c r="J117" s="265"/>
      <c r="K117" s="265"/>
      <c r="L117" s="265"/>
      <c r="M117" s="265"/>
      <c r="N117" s="265"/>
      <c r="O117" s="265"/>
      <c r="P117" s="265"/>
      <c r="Q117" s="265"/>
      <c r="R117" s="265"/>
      <c r="S117" s="265"/>
      <c r="T117" s="135"/>
      <c r="W117" s="744"/>
    </row>
    <row r="118" spans="1:23" ht="15.75">
      <c r="A118" s="155" t="s">
        <v>469</v>
      </c>
      <c r="B118" s="19" t="s">
        <v>467</v>
      </c>
      <c r="C118" s="75"/>
      <c r="D118" s="75"/>
      <c r="E118" s="590"/>
      <c r="F118" s="265"/>
      <c r="G118" s="75"/>
      <c r="H118" s="75"/>
      <c r="I118" s="590"/>
      <c r="J118" s="75"/>
      <c r="K118" s="75"/>
      <c r="L118" s="75"/>
      <c r="M118" s="590"/>
      <c r="N118" s="75"/>
      <c r="O118" s="75"/>
      <c r="P118" s="75"/>
      <c r="Q118" s="75"/>
      <c r="R118" s="75"/>
      <c r="S118" s="75"/>
      <c r="T118" s="135"/>
      <c r="V118" s="810" t="s">
        <v>1315</v>
      </c>
      <c r="W118" s="444">
        <v>32372.803</v>
      </c>
    </row>
    <row r="119" spans="1:23" ht="15.75">
      <c r="B119" s="99" t="s">
        <v>511</v>
      </c>
      <c r="C119" s="302"/>
      <c r="D119" s="302"/>
      <c r="E119" s="302"/>
      <c r="F119" s="302"/>
      <c r="G119" s="302"/>
      <c r="H119" s="302"/>
      <c r="I119" s="302"/>
      <c r="J119" s="302"/>
      <c r="K119" s="302"/>
      <c r="L119" s="302"/>
      <c r="M119" s="302"/>
      <c r="N119" s="302"/>
      <c r="O119" s="302"/>
      <c r="P119" s="302"/>
      <c r="Q119" s="302"/>
      <c r="R119" s="302"/>
      <c r="S119" s="302"/>
      <c r="T119" s="135"/>
    </row>
    <row r="120" spans="1:23" ht="15.75" thickBot="1">
      <c r="B120" s="78"/>
      <c r="C120" s="208">
        <v>2016</v>
      </c>
      <c r="D120" s="208">
        <v>2017</v>
      </c>
      <c r="E120" s="208" t="s">
        <v>650</v>
      </c>
      <c r="F120" s="208" t="s">
        <v>651</v>
      </c>
      <c r="G120" s="208" t="s">
        <v>652</v>
      </c>
      <c r="H120" s="208" t="s">
        <v>653</v>
      </c>
      <c r="I120" s="208" t="s">
        <v>654</v>
      </c>
      <c r="J120" s="208" t="s">
        <v>655</v>
      </c>
      <c r="K120" s="208" t="s">
        <v>656</v>
      </c>
      <c r="L120" s="208" t="s">
        <v>657</v>
      </c>
      <c r="M120" s="208" t="s">
        <v>658</v>
      </c>
      <c r="N120" s="208" t="s">
        <v>659</v>
      </c>
      <c r="O120" s="208" t="s">
        <v>626</v>
      </c>
      <c r="P120" s="208" t="s">
        <v>958</v>
      </c>
      <c r="Q120" s="208" t="s">
        <v>1014</v>
      </c>
      <c r="R120" s="208" t="s">
        <v>1048</v>
      </c>
      <c r="S120" s="208" t="s">
        <v>1187</v>
      </c>
      <c r="T120" s="208" t="s">
        <v>1239</v>
      </c>
      <c r="V120" s="78"/>
      <c r="W120" s="208" t="s">
        <v>1292</v>
      </c>
    </row>
    <row r="121" spans="1:23" ht="15.75" thickBot="1">
      <c r="B121" s="56" t="s">
        <v>37</v>
      </c>
      <c r="C121" s="445"/>
      <c r="D121" s="445"/>
      <c r="E121" s="445"/>
      <c r="F121" s="445"/>
      <c r="G121" s="445"/>
      <c r="H121" s="445"/>
      <c r="I121" s="445"/>
      <c r="J121" s="445"/>
      <c r="K121" s="445"/>
      <c r="L121" s="445"/>
      <c r="M121" s="445"/>
      <c r="N121" s="445"/>
      <c r="O121" s="445"/>
      <c r="P121" s="445"/>
      <c r="Q121" s="445"/>
      <c r="R121" s="445"/>
      <c r="S121" s="445"/>
      <c r="T121" s="445"/>
      <c r="V121" s="56" t="s">
        <v>37</v>
      </c>
      <c r="W121" s="445"/>
    </row>
    <row r="122" spans="1:23" ht="15.75" thickBot="1">
      <c r="B122" s="58" t="s">
        <v>38</v>
      </c>
      <c r="C122" s="292"/>
      <c r="D122" s="292"/>
      <c r="E122" s="292"/>
      <c r="F122" s="292"/>
      <c r="G122" s="292"/>
      <c r="H122" s="292"/>
      <c r="I122" s="292"/>
      <c r="J122" s="292"/>
      <c r="K122" s="292"/>
      <c r="L122" s="292"/>
      <c r="M122" s="292"/>
      <c r="N122" s="446"/>
      <c r="O122" s="446"/>
      <c r="P122" s="446"/>
      <c r="Q122" s="446"/>
      <c r="R122" s="446"/>
      <c r="S122" s="446"/>
      <c r="T122" s="446"/>
      <c r="V122" s="58" t="s">
        <v>38</v>
      </c>
      <c r="W122" s="446"/>
    </row>
    <row r="123" spans="1:23" s="1" customFormat="1" ht="15.75">
      <c r="B123" s="12" t="s">
        <v>489</v>
      </c>
      <c r="C123" s="285">
        <v>12954</v>
      </c>
      <c r="D123" s="285">
        <v>16516</v>
      </c>
      <c r="E123" s="285">
        <v>50094</v>
      </c>
      <c r="F123" s="285">
        <v>15029</v>
      </c>
      <c r="G123" s="285">
        <v>20655</v>
      </c>
      <c r="H123" s="285">
        <v>15110</v>
      </c>
      <c r="I123" s="285">
        <v>26636</v>
      </c>
      <c r="J123" s="285">
        <v>5281</v>
      </c>
      <c r="K123" s="285">
        <v>2631</v>
      </c>
      <c r="L123" s="285">
        <v>18809</v>
      </c>
      <c r="M123" s="285">
        <v>83848</v>
      </c>
      <c r="N123" s="285">
        <v>34398</v>
      </c>
      <c r="O123" s="285">
        <v>5725</v>
      </c>
      <c r="P123" s="440">
        <v>12617</v>
      </c>
      <c r="Q123" s="440">
        <v>8426</v>
      </c>
      <c r="R123" s="440">
        <v>62289</v>
      </c>
      <c r="S123" s="440">
        <v>30918.867879999998</v>
      </c>
      <c r="T123" s="440">
        <v>28106</v>
      </c>
      <c r="U123" s="744"/>
      <c r="V123" s="129" t="s">
        <v>489</v>
      </c>
      <c r="W123" s="440">
        <v>38836.307540000002</v>
      </c>
    </row>
    <row r="124" spans="1:23" s="1" customFormat="1" ht="15.75">
      <c r="B124" s="12" t="s">
        <v>111</v>
      </c>
      <c r="C124" s="285">
        <v>17931</v>
      </c>
      <c r="D124" s="285">
        <v>17804</v>
      </c>
      <c r="E124" s="285">
        <v>19522</v>
      </c>
      <c r="F124" s="285">
        <v>20736</v>
      </c>
      <c r="G124" s="285">
        <v>20980</v>
      </c>
      <c r="H124" s="285">
        <v>27724</v>
      </c>
      <c r="I124" s="285">
        <v>26728</v>
      </c>
      <c r="J124" s="285">
        <v>26095</v>
      </c>
      <c r="K124" s="285">
        <v>24761</v>
      </c>
      <c r="L124" s="285">
        <v>23202</v>
      </c>
      <c r="M124" s="285">
        <v>19902</v>
      </c>
      <c r="N124" s="285">
        <v>19622</v>
      </c>
      <c r="O124" s="285">
        <v>20037</v>
      </c>
      <c r="P124" s="440">
        <v>19787</v>
      </c>
      <c r="Q124" s="440">
        <v>20524</v>
      </c>
      <c r="R124" s="440">
        <v>22466</v>
      </c>
      <c r="S124" s="440">
        <v>24814.016370000001</v>
      </c>
      <c r="T124" s="440">
        <v>28729</v>
      </c>
      <c r="U124" s="744"/>
      <c r="V124" s="129" t="s">
        <v>111</v>
      </c>
      <c r="W124" s="440">
        <v>29429.054090000001</v>
      </c>
    </row>
    <row r="125" spans="1:23" s="1" customFormat="1" ht="15.75">
      <c r="B125" s="12" t="s">
        <v>115</v>
      </c>
      <c r="C125" s="285">
        <v>769</v>
      </c>
      <c r="D125" s="285">
        <v>1477</v>
      </c>
      <c r="E125" s="285">
        <v>1270</v>
      </c>
      <c r="F125" s="285">
        <v>931</v>
      </c>
      <c r="G125" s="285">
        <v>468</v>
      </c>
      <c r="H125" s="285">
        <v>970</v>
      </c>
      <c r="I125" s="285">
        <v>709</v>
      </c>
      <c r="J125" s="285">
        <v>1948</v>
      </c>
      <c r="K125" s="285">
        <v>1181</v>
      </c>
      <c r="L125" s="285">
        <v>1259</v>
      </c>
      <c r="M125" s="285">
        <v>1568</v>
      </c>
      <c r="N125" s="285">
        <v>1159</v>
      </c>
      <c r="O125" s="285">
        <v>1634</v>
      </c>
      <c r="P125" s="440">
        <v>854</v>
      </c>
      <c r="Q125" s="440">
        <v>1610</v>
      </c>
      <c r="R125" s="440">
        <v>321</v>
      </c>
      <c r="S125" s="440">
        <v>27114.561559999998</v>
      </c>
      <c r="T125" s="440">
        <v>1587</v>
      </c>
      <c r="U125" s="744"/>
      <c r="V125" s="129" t="s">
        <v>115</v>
      </c>
      <c r="W125" s="440">
        <v>3314.3289500000001</v>
      </c>
    </row>
    <row r="126" spans="1:23" s="1" customFormat="1" ht="15.75">
      <c r="B126" s="12" t="s">
        <v>112</v>
      </c>
      <c r="C126" s="285">
        <v>4662</v>
      </c>
      <c r="D126" s="285">
        <v>2715</v>
      </c>
      <c r="E126" s="285">
        <v>3596</v>
      </c>
      <c r="F126" s="285">
        <v>4652</v>
      </c>
      <c r="G126" s="285">
        <v>4096</v>
      </c>
      <c r="H126" s="285">
        <v>2324</v>
      </c>
      <c r="I126" s="285">
        <v>1930</v>
      </c>
      <c r="J126" s="285">
        <v>1643</v>
      </c>
      <c r="K126" s="285">
        <v>3589</v>
      </c>
      <c r="L126" s="285">
        <v>5044</v>
      </c>
      <c r="M126" s="285">
        <v>4869</v>
      </c>
      <c r="N126" s="285">
        <v>4108</v>
      </c>
      <c r="O126" s="285">
        <v>2740</v>
      </c>
      <c r="P126" s="440">
        <v>3745</v>
      </c>
      <c r="Q126" s="440">
        <v>4692</v>
      </c>
      <c r="R126" s="440">
        <v>4297</v>
      </c>
      <c r="S126" s="440">
        <v>3716.4677700000002</v>
      </c>
      <c r="T126" s="440">
        <v>2744</v>
      </c>
      <c r="U126" s="744"/>
      <c r="V126" s="129" t="s">
        <v>112</v>
      </c>
      <c r="W126" s="440">
        <v>3999.0017000000003</v>
      </c>
    </row>
    <row r="127" spans="1:23" s="1" customFormat="1" ht="15.75">
      <c r="B127" s="12" t="s">
        <v>128</v>
      </c>
      <c r="C127" s="285">
        <v>10198</v>
      </c>
      <c r="D127" s="285">
        <v>9221</v>
      </c>
      <c r="E127" s="285">
        <v>9241</v>
      </c>
      <c r="F127" s="285">
        <v>10129</v>
      </c>
      <c r="G127" s="285">
        <v>10316</v>
      </c>
      <c r="H127" s="285">
        <v>10836</v>
      </c>
      <c r="I127" s="285">
        <v>9527</v>
      </c>
      <c r="J127" s="285">
        <v>9316</v>
      </c>
      <c r="K127" s="285">
        <v>9487</v>
      </c>
      <c r="L127" s="285">
        <v>11562</v>
      </c>
      <c r="M127" s="285">
        <v>11626</v>
      </c>
      <c r="N127" s="285">
        <v>11004</v>
      </c>
      <c r="O127" s="285">
        <v>11001</v>
      </c>
      <c r="P127" s="440">
        <v>10698</v>
      </c>
      <c r="Q127" s="440">
        <v>10022</v>
      </c>
      <c r="R127" s="440">
        <v>9822</v>
      </c>
      <c r="S127" s="440">
        <v>9920.62284</v>
      </c>
      <c r="T127" s="440">
        <v>11510</v>
      </c>
      <c r="U127" s="744"/>
      <c r="V127" s="129" t="s">
        <v>128</v>
      </c>
      <c r="W127" s="440">
        <v>10272.08905</v>
      </c>
    </row>
    <row r="128" spans="1:23" s="1" customFormat="1" ht="15.75">
      <c r="B128" s="12" t="s">
        <v>101</v>
      </c>
      <c r="C128" s="285">
        <v>0</v>
      </c>
      <c r="D128" s="285">
        <v>0</v>
      </c>
      <c r="E128" s="285">
        <v>0</v>
      </c>
      <c r="F128" s="285">
        <v>0</v>
      </c>
      <c r="G128" s="285">
        <v>0</v>
      </c>
      <c r="H128" s="285">
        <v>0</v>
      </c>
      <c r="I128" s="285">
        <v>0</v>
      </c>
      <c r="J128" s="285">
        <v>0</v>
      </c>
      <c r="K128" s="285">
        <v>0</v>
      </c>
      <c r="L128" s="285">
        <v>2900</v>
      </c>
      <c r="M128" s="285">
        <v>0</v>
      </c>
      <c r="N128" s="285">
        <v>0</v>
      </c>
      <c r="O128" s="285">
        <v>0</v>
      </c>
      <c r="P128" s="440">
        <v>8206</v>
      </c>
      <c r="Q128" s="440">
        <v>8516</v>
      </c>
      <c r="R128" s="440">
        <v>0</v>
      </c>
      <c r="S128" s="440">
        <v>0</v>
      </c>
      <c r="T128" s="440">
        <v>0</v>
      </c>
      <c r="U128" s="744"/>
      <c r="V128" s="129" t="s">
        <v>101</v>
      </c>
      <c r="W128" s="440">
        <v>0</v>
      </c>
    </row>
    <row r="129" spans="2:23" s="1" customFormat="1" ht="16.5" thickBot="1">
      <c r="B129" s="12" t="s">
        <v>129</v>
      </c>
      <c r="C129" s="285">
        <v>93</v>
      </c>
      <c r="D129" s="285">
        <v>858</v>
      </c>
      <c r="E129" s="285">
        <v>583</v>
      </c>
      <c r="F129" s="285">
        <v>402</v>
      </c>
      <c r="G129" s="285">
        <v>2367</v>
      </c>
      <c r="H129" s="285">
        <v>1814</v>
      </c>
      <c r="I129" s="285">
        <v>1506</v>
      </c>
      <c r="J129" s="285">
        <v>1027</v>
      </c>
      <c r="K129" s="285">
        <v>541</v>
      </c>
      <c r="L129" s="285">
        <v>114</v>
      </c>
      <c r="M129" s="285">
        <v>2205</v>
      </c>
      <c r="N129" s="285">
        <v>1585</v>
      </c>
      <c r="O129" s="285">
        <v>1450</v>
      </c>
      <c r="P129" s="440">
        <v>913</v>
      </c>
      <c r="Q129" s="440">
        <v>963</v>
      </c>
      <c r="R129" s="440">
        <v>580</v>
      </c>
      <c r="S129" s="440">
        <v>2286.8167200000003</v>
      </c>
      <c r="T129" s="440">
        <v>1833</v>
      </c>
      <c r="U129" s="744"/>
      <c r="V129" s="129" t="s">
        <v>129</v>
      </c>
      <c r="W129" s="440">
        <v>1799.61448</v>
      </c>
    </row>
    <row r="130" spans="2:23" ht="15.75" thickBot="1">
      <c r="B130" s="62" t="s">
        <v>45</v>
      </c>
      <c r="C130" s="293">
        <v>46607</v>
      </c>
      <c r="D130" s="293">
        <v>48591</v>
      </c>
      <c r="E130" s="293">
        <v>84306</v>
      </c>
      <c r="F130" s="293">
        <v>51879</v>
      </c>
      <c r="G130" s="293">
        <v>58882</v>
      </c>
      <c r="H130" s="293">
        <v>58778</v>
      </c>
      <c r="I130" s="293">
        <v>67036</v>
      </c>
      <c r="J130" s="293">
        <v>45310</v>
      </c>
      <c r="K130" s="293">
        <v>42190</v>
      </c>
      <c r="L130" s="293">
        <v>62890</v>
      </c>
      <c r="M130" s="293">
        <v>124018</v>
      </c>
      <c r="N130" s="447">
        <v>71876</v>
      </c>
      <c r="O130" s="447">
        <v>42587</v>
      </c>
      <c r="P130" s="447">
        <f>SUM(P123:P129)</f>
        <v>56820</v>
      </c>
      <c r="Q130" s="447">
        <f>SUM(Q123:Q129)</f>
        <v>54753</v>
      </c>
      <c r="R130" s="447">
        <v>99775</v>
      </c>
      <c r="S130" s="447">
        <v>98771.353140000007</v>
      </c>
      <c r="T130" s="447">
        <f>SUM(T123:T129)</f>
        <v>74509</v>
      </c>
      <c r="V130" s="62" t="s">
        <v>45</v>
      </c>
      <c r="W130" s="447">
        <f>+SUM(W123:W129)</f>
        <v>87650.395809999987</v>
      </c>
    </row>
    <row r="131" spans="2:23" ht="15.75" thickBot="1">
      <c r="B131" s="58" t="s">
        <v>46</v>
      </c>
      <c r="C131" s="292"/>
      <c r="D131" s="292"/>
      <c r="E131" s="292"/>
      <c r="F131" s="292"/>
      <c r="G131" s="292"/>
      <c r="H131" s="292"/>
      <c r="I131" s="292"/>
      <c r="J131" s="292"/>
      <c r="K131" s="292"/>
      <c r="L131" s="292"/>
      <c r="M131" s="292"/>
      <c r="N131" s="446"/>
      <c r="O131" s="446"/>
      <c r="P131" s="446"/>
      <c r="Q131" s="446"/>
      <c r="R131" s="446"/>
      <c r="S131" s="446"/>
      <c r="T131" s="446"/>
      <c r="V131" s="58" t="s">
        <v>46</v>
      </c>
      <c r="W131" s="446"/>
    </row>
    <row r="132" spans="2:23" s="1" customFormat="1" ht="15.75">
      <c r="B132" s="12" t="s">
        <v>130</v>
      </c>
      <c r="C132" s="285">
        <v>0</v>
      </c>
      <c r="D132" s="285">
        <v>486</v>
      </c>
      <c r="E132" s="285">
        <v>0</v>
      </c>
      <c r="F132" s="285">
        <v>0</v>
      </c>
      <c r="G132" s="285">
        <v>0</v>
      </c>
      <c r="H132" s="285">
        <v>0</v>
      </c>
      <c r="I132" s="285">
        <v>0</v>
      </c>
      <c r="J132" s="285">
        <v>0</v>
      </c>
      <c r="K132" s="285">
        <v>0</v>
      </c>
      <c r="L132" s="285">
        <v>0</v>
      </c>
      <c r="M132" s="285">
        <v>0</v>
      </c>
      <c r="N132" s="285">
        <v>0</v>
      </c>
      <c r="O132" s="285">
        <v>0</v>
      </c>
      <c r="P132" s="440">
        <v>0</v>
      </c>
      <c r="Q132" s="440">
        <v>0</v>
      </c>
      <c r="R132" s="440">
        <v>0</v>
      </c>
      <c r="S132" s="440">
        <v>0</v>
      </c>
      <c r="T132" s="440">
        <v>0</v>
      </c>
      <c r="U132" s="744"/>
      <c r="V132" s="129" t="s">
        <v>130</v>
      </c>
      <c r="W132" s="440"/>
    </row>
    <row r="133" spans="2:23" s="1" customFormat="1" ht="15.75">
      <c r="B133" s="12" t="s">
        <v>131</v>
      </c>
      <c r="C133" s="285">
        <v>1051</v>
      </c>
      <c r="D133" s="285">
        <v>965</v>
      </c>
      <c r="E133" s="285">
        <v>951</v>
      </c>
      <c r="F133" s="285">
        <v>920</v>
      </c>
      <c r="G133" s="285">
        <v>897</v>
      </c>
      <c r="H133" s="285">
        <v>875</v>
      </c>
      <c r="I133" s="285">
        <v>853</v>
      </c>
      <c r="J133" s="285">
        <v>831</v>
      </c>
      <c r="K133" s="285">
        <v>807</v>
      </c>
      <c r="L133" s="285">
        <v>784</v>
      </c>
      <c r="M133" s="285">
        <v>769</v>
      </c>
      <c r="N133" s="285">
        <v>738</v>
      </c>
      <c r="O133" s="285">
        <v>645</v>
      </c>
      <c r="P133" s="440">
        <v>1047</v>
      </c>
      <c r="Q133" s="440">
        <v>1025</v>
      </c>
      <c r="R133" s="440">
        <v>1003</v>
      </c>
      <c r="S133" s="440">
        <v>980.50080000000003</v>
      </c>
      <c r="T133" s="440">
        <v>958</v>
      </c>
      <c r="U133" s="744"/>
      <c r="V133" s="129" t="s">
        <v>131</v>
      </c>
      <c r="W133" s="440">
        <v>925.56916000000001</v>
      </c>
    </row>
    <row r="134" spans="2:23" s="1" customFormat="1" ht="15.75">
      <c r="B134" s="12" t="s">
        <v>132</v>
      </c>
      <c r="C134" s="285">
        <v>5087</v>
      </c>
      <c r="D134" s="285">
        <v>4950</v>
      </c>
      <c r="E134" s="285">
        <v>4942</v>
      </c>
      <c r="F134" s="285">
        <v>4907</v>
      </c>
      <c r="G134" s="285">
        <v>4873</v>
      </c>
      <c r="H134" s="285">
        <v>4859</v>
      </c>
      <c r="I134" s="285">
        <v>4829</v>
      </c>
      <c r="J134" s="285">
        <v>4797</v>
      </c>
      <c r="K134" s="285">
        <v>4762</v>
      </c>
      <c r="L134" s="285">
        <v>4714</v>
      </c>
      <c r="M134" s="285">
        <v>4692</v>
      </c>
      <c r="N134" s="285">
        <v>4643</v>
      </c>
      <c r="O134" s="285">
        <v>4600</v>
      </c>
      <c r="P134" s="440">
        <v>4558</v>
      </c>
      <c r="Q134" s="440">
        <v>4516</v>
      </c>
      <c r="R134" s="440">
        <v>4475</v>
      </c>
      <c r="S134" s="440">
        <v>4428.8829699999997</v>
      </c>
      <c r="T134" s="440">
        <v>4384</v>
      </c>
      <c r="U134" s="744"/>
      <c r="V134" s="129" t="s">
        <v>132</v>
      </c>
      <c r="W134" s="440">
        <v>4344.2047999999995</v>
      </c>
    </row>
    <row r="135" spans="2:23" s="1" customFormat="1" ht="15.75">
      <c r="B135" s="12" t="s">
        <v>133</v>
      </c>
      <c r="C135" s="285">
        <v>13915</v>
      </c>
      <c r="D135" s="285">
        <v>11392</v>
      </c>
      <c r="E135" s="285">
        <v>10908</v>
      </c>
      <c r="F135" s="285">
        <v>10443</v>
      </c>
      <c r="G135" s="285">
        <v>10194</v>
      </c>
      <c r="H135" s="285">
        <v>10130</v>
      </c>
      <c r="I135" s="285">
        <v>9757</v>
      </c>
      <c r="J135" s="285">
        <v>9412</v>
      </c>
      <c r="K135" s="285">
        <v>8981</v>
      </c>
      <c r="L135" s="285">
        <v>8688</v>
      </c>
      <c r="M135" s="285">
        <v>8547</v>
      </c>
      <c r="N135" s="285">
        <v>8619</v>
      </c>
      <c r="O135" s="285">
        <v>7495</v>
      </c>
      <c r="P135" s="440">
        <v>9982</v>
      </c>
      <c r="Q135" s="440">
        <v>9604</v>
      </c>
      <c r="R135" s="440">
        <v>9308</v>
      </c>
      <c r="S135" s="440">
        <v>9047.8868900000052</v>
      </c>
      <c r="T135" s="440">
        <v>8908</v>
      </c>
      <c r="U135" s="744"/>
      <c r="V135" s="129" t="s">
        <v>133</v>
      </c>
      <c r="W135" s="440">
        <v>8409.2963499999969</v>
      </c>
    </row>
    <row r="136" spans="2:23" s="1" customFormat="1" ht="15.75">
      <c r="B136" s="12" t="s">
        <v>134</v>
      </c>
      <c r="C136" s="285">
        <v>0</v>
      </c>
      <c r="D136" s="285">
        <v>0</v>
      </c>
      <c r="E136" s="285">
        <v>0</v>
      </c>
      <c r="F136" s="285">
        <v>0</v>
      </c>
      <c r="G136" s="285">
        <v>0</v>
      </c>
      <c r="H136" s="285">
        <v>0</v>
      </c>
      <c r="I136" s="285">
        <v>0</v>
      </c>
      <c r="J136" s="285">
        <v>0</v>
      </c>
      <c r="K136" s="285">
        <v>0</v>
      </c>
      <c r="L136" s="285">
        <v>8178</v>
      </c>
      <c r="M136" s="285">
        <v>8021</v>
      </c>
      <c r="N136" s="285">
        <v>7863</v>
      </c>
      <c r="O136" s="285">
        <v>8673</v>
      </c>
      <c r="P136" s="440">
        <v>7851</v>
      </c>
      <c r="Q136" s="440">
        <v>7658</v>
      </c>
      <c r="R136" s="440">
        <v>7464</v>
      </c>
      <c r="S136" s="440">
        <v>7270.5197200000002</v>
      </c>
      <c r="T136" s="440">
        <v>3624</v>
      </c>
      <c r="U136" s="744"/>
      <c r="V136" s="129" t="s">
        <v>134</v>
      </c>
      <c r="W136" s="440">
        <v>3493.7066800000007</v>
      </c>
    </row>
    <row r="137" spans="2:23" s="1" customFormat="1" ht="15.75">
      <c r="B137" s="12" t="s">
        <v>135</v>
      </c>
      <c r="C137" s="285">
        <v>460058</v>
      </c>
      <c r="D137" s="285">
        <v>449579</v>
      </c>
      <c r="E137" s="285">
        <v>442321</v>
      </c>
      <c r="F137" s="285">
        <v>435023</v>
      </c>
      <c r="G137" s="285">
        <v>428216</v>
      </c>
      <c r="H137" s="285">
        <v>431266</v>
      </c>
      <c r="I137" s="285">
        <v>427302</v>
      </c>
      <c r="J137" s="285">
        <v>421072</v>
      </c>
      <c r="K137" s="285">
        <v>413561</v>
      </c>
      <c r="L137" s="285">
        <v>427337</v>
      </c>
      <c r="M137" s="285">
        <v>424263</v>
      </c>
      <c r="N137" s="285">
        <v>421959</v>
      </c>
      <c r="O137" s="285">
        <v>426470</v>
      </c>
      <c r="P137" s="440">
        <v>421755</v>
      </c>
      <c r="Q137" s="440">
        <v>416129</v>
      </c>
      <c r="R137" s="440">
        <v>410580</v>
      </c>
      <c r="S137" s="440">
        <v>403773.54605</v>
      </c>
      <c r="T137" s="440">
        <v>397232</v>
      </c>
      <c r="U137" s="744"/>
      <c r="V137" s="129" t="s">
        <v>135</v>
      </c>
      <c r="W137" s="440">
        <v>390540.71172000002</v>
      </c>
    </row>
    <row r="138" spans="2:23" ht="15.75" thickBot="1">
      <c r="B138" s="58" t="s">
        <v>59</v>
      </c>
      <c r="C138" s="294">
        <v>480111</v>
      </c>
      <c r="D138" s="294">
        <v>467372</v>
      </c>
      <c r="E138" s="294">
        <v>459122</v>
      </c>
      <c r="F138" s="294">
        <v>451293</v>
      </c>
      <c r="G138" s="294">
        <v>444180</v>
      </c>
      <c r="H138" s="294">
        <v>447130</v>
      </c>
      <c r="I138" s="294">
        <v>442741</v>
      </c>
      <c r="J138" s="294">
        <v>436112</v>
      </c>
      <c r="K138" s="294">
        <v>428111</v>
      </c>
      <c r="L138" s="294">
        <v>449701</v>
      </c>
      <c r="M138" s="294">
        <v>446292</v>
      </c>
      <c r="N138" s="448">
        <v>443822</v>
      </c>
      <c r="O138" s="448">
        <v>447883</v>
      </c>
      <c r="P138" s="448">
        <f>SUM(P132:P137)</f>
        <v>445193</v>
      </c>
      <c r="Q138" s="448">
        <f t="shared" ref="Q138" si="32">SUM(Q132:Q137)</f>
        <v>438932</v>
      </c>
      <c r="R138" s="448">
        <v>432830</v>
      </c>
      <c r="S138" s="448">
        <v>425501.33643000002</v>
      </c>
      <c r="T138" s="448">
        <f t="shared" ref="T138" si="33">SUM(T132:T137)</f>
        <v>415106</v>
      </c>
      <c r="V138" s="58" t="s">
        <v>59</v>
      </c>
      <c r="W138" s="448">
        <f>+SUM(W133:W137)</f>
        <v>407713.48871000001</v>
      </c>
    </row>
    <row r="139" spans="2:23" ht="15.75" thickBot="1">
      <c r="B139" s="65" t="s">
        <v>60</v>
      </c>
      <c r="C139" s="295">
        <v>526718</v>
      </c>
      <c r="D139" s="295">
        <v>515963</v>
      </c>
      <c r="E139" s="295">
        <v>543428</v>
      </c>
      <c r="F139" s="295">
        <v>503172</v>
      </c>
      <c r="G139" s="295">
        <v>503062</v>
      </c>
      <c r="H139" s="295">
        <v>505908</v>
      </c>
      <c r="I139" s="295">
        <v>509777</v>
      </c>
      <c r="J139" s="295">
        <v>481422</v>
      </c>
      <c r="K139" s="295">
        <v>470301</v>
      </c>
      <c r="L139" s="295">
        <v>512591</v>
      </c>
      <c r="M139" s="295">
        <v>570310</v>
      </c>
      <c r="N139" s="449">
        <v>515698</v>
      </c>
      <c r="O139" s="449">
        <v>490470</v>
      </c>
      <c r="P139" s="449">
        <f>P130+P138</f>
        <v>502013</v>
      </c>
      <c r="Q139" s="449">
        <f t="shared" ref="Q139" si="34">Q130+Q138</f>
        <v>493685</v>
      </c>
      <c r="R139" s="449">
        <v>532605</v>
      </c>
      <c r="S139" s="449">
        <v>524272.68957000005</v>
      </c>
      <c r="T139" s="449">
        <f t="shared" ref="T139" si="35">T130+T138</f>
        <v>489615</v>
      </c>
      <c r="V139" s="65" t="s">
        <v>60</v>
      </c>
      <c r="W139" s="449">
        <f>+W130+W138</f>
        <v>495363.88451999996</v>
      </c>
    </row>
    <row r="140" spans="2:23" ht="15.75" thickBot="1">
      <c r="B140" s="67"/>
      <c r="C140" s="296"/>
      <c r="D140" s="296"/>
      <c r="E140" s="296"/>
      <c r="F140" s="296"/>
      <c r="G140" s="296"/>
      <c r="H140" s="296"/>
      <c r="I140" s="296"/>
      <c r="J140" s="296"/>
      <c r="K140" s="296"/>
      <c r="L140" s="296"/>
      <c r="M140" s="296"/>
      <c r="N140" s="450"/>
      <c r="O140" s="450"/>
      <c r="P140" s="450"/>
      <c r="Q140" s="450"/>
      <c r="R140" s="450"/>
      <c r="S140" s="450">
        <v>0</v>
      </c>
      <c r="T140" s="135"/>
      <c r="V140" s="67"/>
      <c r="W140" s="744"/>
    </row>
    <row r="141" spans="2:23" ht="15.75" thickBot="1">
      <c r="B141" s="56" t="s">
        <v>61</v>
      </c>
      <c r="C141" s="297"/>
      <c r="D141" s="297"/>
      <c r="E141" s="297"/>
      <c r="F141" s="297"/>
      <c r="G141" s="297"/>
      <c r="H141" s="297"/>
      <c r="I141" s="297"/>
      <c r="J141" s="297"/>
      <c r="K141" s="297"/>
      <c r="L141" s="297"/>
      <c r="M141" s="297"/>
      <c r="N141" s="585"/>
      <c r="O141" s="585"/>
      <c r="P141" s="585"/>
      <c r="Q141" s="585"/>
      <c r="R141" s="585"/>
      <c r="S141" s="585"/>
      <c r="T141" s="585"/>
      <c r="V141" s="56" t="s">
        <v>61</v>
      </c>
      <c r="W141" s="585"/>
    </row>
    <row r="142" spans="2:23" ht="15.75" thickBot="1">
      <c r="B142" s="58" t="s">
        <v>62</v>
      </c>
      <c r="C142" s="298"/>
      <c r="D142" s="298"/>
      <c r="E142" s="298"/>
      <c r="F142" s="298"/>
      <c r="G142" s="298"/>
      <c r="H142" s="298"/>
      <c r="I142" s="298"/>
      <c r="J142" s="298"/>
      <c r="K142" s="298"/>
      <c r="L142" s="298"/>
      <c r="M142" s="298"/>
      <c r="N142" s="586"/>
      <c r="O142" s="586"/>
      <c r="P142" s="586"/>
      <c r="Q142" s="586"/>
      <c r="R142" s="586"/>
      <c r="S142" s="586"/>
      <c r="T142" s="586"/>
      <c r="V142" s="58" t="s">
        <v>62</v>
      </c>
      <c r="W142" s="586"/>
    </row>
    <row r="143" spans="2:23" s="1" customFormat="1" ht="15.75">
      <c r="B143" s="12" t="s">
        <v>117</v>
      </c>
      <c r="C143" s="285">
        <v>11450</v>
      </c>
      <c r="D143" s="285">
        <v>8714</v>
      </c>
      <c r="E143" s="285">
        <v>5921</v>
      </c>
      <c r="F143" s="285">
        <v>5349</v>
      </c>
      <c r="G143" s="285">
        <v>4755</v>
      </c>
      <c r="H143" s="285">
        <v>11309</v>
      </c>
      <c r="I143" s="285">
        <v>6822</v>
      </c>
      <c r="J143" s="285">
        <v>5120</v>
      </c>
      <c r="K143" s="285">
        <v>4322</v>
      </c>
      <c r="L143" s="285">
        <v>10451</v>
      </c>
      <c r="M143" s="285">
        <v>5498</v>
      </c>
      <c r="N143" s="285">
        <v>4317</v>
      </c>
      <c r="O143" s="285">
        <v>8840</v>
      </c>
      <c r="P143" s="440">
        <v>11085</v>
      </c>
      <c r="Q143" s="440">
        <v>5081</v>
      </c>
      <c r="R143" s="440">
        <v>5614</v>
      </c>
      <c r="S143" s="440">
        <v>7357.08979</v>
      </c>
      <c r="T143" s="440">
        <v>16320</v>
      </c>
      <c r="U143" s="744"/>
      <c r="V143" s="129" t="s">
        <v>117</v>
      </c>
      <c r="W143" s="440">
        <v>9476.5604199999998</v>
      </c>
    </row>
    <row r="144" spans="2:23" s="1" customFormat="1" ht="15.75">
      <c r="B144" s="12" t="s">
        <v>120</v>
      </c>
      <c r="C144" s="285">
        <v>1777</v>
      </c>
      <c r="D144" s="285">
        <v>1424</v>
      </c>
      <c r="E144" s="285">
        <v>41547</v>
      </c>
      <c r="F144" s="285">
        <v>773</v>
      </c>
      <c r="G144" s="285">
        <v>1262</v>
      </c>
      <c r="H144" s="285">
        <v>1778</v>
      </c>
      <c r="I144" s="285">
        <v>61817</v>
      </c>
      <c r="J144" s="285">
        <v>1019</v>
      </c>
      <c r="K144" s="285">
        <v>1583</v>
      </c>
      <c r="L144" s="285">
        <v>2065</v>
      </c>
      <c r="M144" s="285">
        <v>1028</v>
      </c>
      <c r="N144" s="285">
        <v>1295</v>
      </c>
      <c r="O144" s="285">
        <v>1827</v>
      </c>
      <c r="P144" s="440">
        <v>2205</v>
      </c>
      <c r="Q144" s="440">
        <v>49069</v>
      </c>
      <c r="R144" s="440">
        <v>1050</v>
      </c>
      <c r="S144" s="440">
        <v>1699.0661599999999</v>
      </c>
      <c r="T144" s="440">
        <v>2142</v>
      </c>
      <c r="U144" s="744"/>
      <c r="V144" s="129" t="s">
        <v>120</v>
      </c>
      <c r="W144" s="440">
        <v>29531.449420000001</v>
      </c>
    </row>
    <row r="145" spans="2:23" s="1" customFormat="1" ht="15.75">
      <c r="B145" s="12" t="s">
        <v>136</v>
      </c>
      <c r="C145" s="285">
        <v>1523</v>
      </c>
      <c r="D145" s="285">
        <v>3723</v>
      </c>
      <c r="E145" s="285">
        <v>2826</v>
      </c>
      <c r="F145" s="285">
        <v>3633</v>
      </c>
      <c r="G145" s="285">
        <v>5398</v>
      </c>
      <c r="H145" s="285">
        <v>7378</v>
      </c>
      <c r="I145" s="285">
        <v>5283</v>
      </c>
      <c r="J145" s="285">
        <v>2407</v>
      </c>
      <c r="K145" s="285">
        <v>2818</v>
      </c>
      <c r="L145" s="285">
        <v>3276</v>
      </c>
      <c r="M145" s="285">
        <v>1293</v>
      </c>
      <c r="N145" s="285">
        <v>2946</v>
      </c>
      <c r="O145" s="285">
        <v>1655</v>
      </c>
      <c r="P145" s="440">
        <v>3914</v>
      </c>
      <c r="Q145" s="440">
        <v>0</v>
      </c>
      <c r="R145" s="440">
        <v>5435</v>
      </c>
      <c r="S145" s="440">
        <v>7756.0475500000002</v>
      </c>
      <c r="T145" s="440">
        <v>5010</v>
      </c>
      <c r="U145" s="744"/>
      <c r="V145" s="129" t="s">
        <v>136</v>
      </c>
      <c r="W145" s="440">
        <v>0</v>
      </c>
    </row>
    <row r="146" spans="2:23" s="1" customFormat="1" ht="15.75">
      <c r="B146" s="12" t="s">
        <v>118</v>
      </c>
      <c r="C146" s="285">
        <v>8344</v>
      </c>
      <c r="D146" s="285">
        <v>7385</v>
      </c>
      <c r="E146" s="285">
        <v>9019</v>
      </c>
      <c r="F146" s="285">
        <v>9011</v>
      </c>
      <c r="G146" s="285">
        <v>10392</v>
      </c>
      <c r="H146" s="285">
        <v>9223</v>
      </c>
      <c r="I146" s="285">
        <v>9244</v>
      </c>
      <c r="J146" s="285">
        <v>9188</v>
      </c>
      <c r="K146" s="285">
        <v>9847</v>
      </c>
      <c r="L146" s="285">
        <v>8502</v>
      </c>
      <c r="M146" s="285">
        <v>9283</v>
      </c>
      <c r="N146" s="285">
        <v>10035</v>
      </c>
      <c r="O146" s="285">
        <v>10974</v>
      </c>
      <c r="P146" s="440">
        <f>2875+6614</f>
        <v>9489</v>
      </c>
      <c r="Q146" s="440">
        <v>11526</v>
      </c>
      <c r="R146" s="440">
        <v>5447</v>
      </c>
      <c r="S146" s="440">
        <v>4936.0788000000011</v>
      </c>
      <c r="T146" s="440">
        <v>6509</v>
      </c>
      <c r="U146" s="744"/>
      <c r="V146" s="129" t="s">
        <v>118</v>
      </c>
      <c r="W146" s="440">
        <v>10435.831190000001</v>
      </c>
    </row>
    <row r="147" spans="2:23" s="1" customFormat="1" ht="15.75">
      <c r="B147" s="12" t="s">
        <v>502</v>
      </c>
      <c r="C147" s="285">
        <v>10683</v>
      </c>
      <c r="D147" s="285">
        <v>13110</v>
      </c>
      <c r="E147" s="285">
        <v>13044</v>
      </c>
      <c r="F147" s="285">
        <v>13128</v>
      </c>
      <c r="G147" s="285">
        <v>12915</v>
      </c>
      <c r="H147" s="285">
        <v>15206</v>
      </c>
      <c r="I147" s="285">
        <v>15377</v>
      </c>
      <c r="J147" s="285">
        <v>15206</v>
      </c>
      <c r="K147" s="285">
        <v>14860</v>
      </c>
      <c r="L147" s="285">
        <v>16876</v>
      </c>
      <c r="M147" s="285">
        <v>16844</v>
      </c>
      <c r="N147" s="285">
        <v>16909</v>
      </c>
      <c r="O147" s="285">
        <v>16909</v>
      </c>
      <c r="P147" s="440">
        <v>16382</v>
      </c>
      <c r="Q147" s="440">
        <v>16377</v>
      </c>
      <c r="R147" s="440">
        <v>16375</v>
      </c>
      <c r="S147" s="440">
        <v>16356.30601</v>
      </c>
      <c r="T147" s="440">
        <v>13779</v>
      </c>
      <c r="U147" s="744"/>
      <c r="V147" s="129" t="s">
        <v>502</v>
      </c>
      <c r="W147" s="440">
        <v>13816.145269999999</v>
      </c>
    </row>
    <row r="148" spans="2:23" s="1" customFormat="1" ht="15.75">
      <c r="B148" s="12" t="s">
        <v>137</v>
      </c>
      <c r="C148" s="285">
        <v>45993</v>
      </c>
      <c r="D148" s="285">
        <v>75887</v>
      </c>
      <c r="E148" s="285">
        <v>45887</v>
      </c>
      <c r="F148" s="285">
        <v>45282</v>
      </c>
      <c r="G148" s="285">
        <v>72793</v>
      </c>
      <c r="H148" s="285">
        <v>72089</v>
      </c>
      <c r="I148" s="285">
        <v>71601</v>
      </c>
      <c r="J148" s="285">
        <v>71358</v>
      </c>
      <c r="K148" s="285">
        <v>3358</v>
      </c>
      <c r="L148" s="285">
        <v>3730</v>
      </c>
      <c r="M148" s="285">
        <v>58359</v>
      </c>
      <c r="N148" s="285">
        <v>58360</v>
      </c>
      <c r="O148" s="285">
        <v>18360</v>
      </c>
      <c r="P148" s="440">
        <v>19049</v>
      </c>
      <c r="Q148" s="440">
        <v>19156</v>
      </c>
      <c r="R148" s="440">
        <v>79568</v>
      </c>
      <c r="S148" s="440">
        <v>79895.863799999992</v>
      </c>
      <c r="T148" s="440">
        <v>78945</v>
      </c>
      <c r="U148" s="744"/>
      <c r="V148" s="129" t="s">
        <v>137</v>
      </c>
      <c r="W148" s="440">
        <v>79331.638300000006</v>
      </c>
    </row>
    <row r="149" spans="2:23" ht="15.75" thickBot="1">
      <c r="B149" s="58" t="s">
        <v>70</v>
      </c>
      <c r="C149" s="294">
        <v>79770</v>
      </c>
      <c r="D149" s="294">
        <v>110243</v>
      </c>
      <c r="E149" s="294">
        <v>118244</v>
      </c>
      <c r="F149" s="294">
        <v>77176</v>
      </c>
      <c r="G149" s="294">
        <v>107515</v>
      </c>
      <c r="H149" s="294">
        <v>116983</v>
      </c>
      <c r="I149" s="294">
        <v>170144</v>
      </c>
      <c r="J149" s="294">
        <v>104298</v>
      </c>
      <c r="K149" s="294">
        <v>36788</v>
      </c>
      <c r="L149" s="294">
        <v>44900</v>
      </c>
      <c r="M149" s="294">
        <v>92305</v>
      </c>
      <c r="N149" s="448">
        <v>93862</v>
      </c>
      <c r="O149" s="448">
        <v>58565</v>
      </c>
      <c r="P149" s="448">
        <f>SUM(P143:P148)</f>
        <v>62124</v>
      </c>
      <c r="Q149" s="448">
        <f>SUM(Q143:Q148)</f>
        <v>101209</v>
      </c>
      <c r="R149" s="448">
        <v>113489</v>
      </c>
      <c r="S149" s="448">
        <v>118000.45210999998</v>
      </c>
      <c r="T149" s="448">
        <f>SUM(T143:T148)</f>
        <v>122705</v>
      </c>
      <c r="V149" s="58" t="s">
        <v>70</v>
      </c>
      <c r="W149" s="448">
        <f>+SUM(W143:W148)</f>
        <v>142591.62460000001</v>
      </c>
    </row>
    <row r="150" spans="2:23" ht="15.75" thickBot="1">
      <c r="B150" s="71" t="s">
        <v>71</v>
      </c>
      <c r="C150" s="300"/>
      <c r="D150" s="300"/>
      <c r="E150" s="300"/>
      <c r="F150" s="300"/>
      <c r="G150" s="300"/>
      <c r="H150" s="300"/>
      <c r="I150" s="300"/>
      <c r="J150" s="300"/>
      <c r="K150" s="300"/>
      <c r="L150" s="300"/>
      <c r="M150" s="300"/>
      <c r="N150" s="451"/>
      <c r="O150" s="451"/>
      <c r="P150" s="451"/>
      <c r="Q150" s="451"/>
      <c r="R150" s="451"/>
      <c r="S150" s="451">
        <v>0</v>
      </c>
      <c r="T150" s="451"/>
      <c r="V150" s="71" t="s">
        <v>71</v>
      </c>
      <c r="W150" s="451"/>
    </row>
    <row r="151" spans="2:23" s="1" customFormat="1" ht="15.75">
      <c r="B151" s="12" t="s">
        <v>138</v>
      </c>
      <c r="C151" s="285">
        <v>232</v>
      </c>
      <c r="D151" s="285">
        <v>105</v>
      </c>
      <c r="E151" s="285">
        <v>73</v>
      </c>
      <c r="F151" s="285">
        <v>32</v>
      </c>
      <c r="G151" s="285">
        <v>0</v>
      </c>
      <c r="H151" s="285">
        <v>0</v>
      </c>
      <c r="I151" s="285">
        <v>0</v>
      </c>
      <c r="J151" s="285">
        <v>0</v>
      </c>
      <c r="K151" s="285">
        <v>0</v>
      </c>
      <c r="L151" s="285">
        <v>0</v>
      </c>
      <c r="M151" s="285">
        <v>7983</v>
      </c>
      <c r="N151" s="285">
        <v>8139</v>
      </c>
      <c r="O151" s="285">
        <v>7998</v>
      </c>
      <c r="P151" s="440">
        <v>125</v>
      </c>
      <c r="Q151" s="440">
        <v>128</v>
      </c>
      <c r="R151" s="440">
        <v>277</v>
      </c>
      <c r="S151" s="440">
        <v>276.52782000000002</v>
      </c>
      <c r="T151" s="440">
        <v>1157</v>
      </c>
      <c r="U151" s="744"/>
      <c r="V151" s="129" t="s">
        <v>138</v>
      </c>
      <c r="W151" s="440">
        <v>1157.4003300000002</v>
      </c>
    </row>
    <row r="152" spans="2:23" s="1" customFormat="1" ht="15.75">
      <c r="B152" s="12" t="s">
        <v>139</v>
      </c>
      <c r="C152" s="285">
        <v>29340</v>
      </c>
      <c r="D152" s="285">
        <v>30048</v>
      </c>
      <c r="E152" s="285">
        <v>32825</v>
      </c>
      <c r="F152" s="285">
        <v>35334</v>
      </c>
      <c r="G152" s="285">
        <v>36492</v>
      </c>
      <c r="H152" s="285">
        <v>28464</v>
      </c>
      <c r="I152" s="285">
        <v>29539</v>
      </c>
      <c r="J152" s="285">
        <v>30928</v>
      </c>
      <c r="K152" s="285">
        <v>32270</v>
      </c>
      <c r="L152" s="285">
        <v>23534</v>
      </c>
      <c r="M152" s="285">
        <v>25061</v>
      </c>
      <c r="N152" s="285">
        <v>27403</v>
      </c>
      <c r="O152" s="285">
        <v>27069</v>
      </c>
      <c r="P152" s="440">
        <v>24170</v>
      </c>
      <c r="Q152" s="440">
        <v>25530</v>
      </c>
      <c r="R152" s="440">
        <v>26586</v>
      </c>
      <c r="S152" s="440">
        <v>27125.491590000001</v>
      </c>
      <c r="T152" s="440">
        <v>24328</v>
      </c>
      <c r="U152" s="744"/>
      <c r="V152" s="129" t="s">
        <v>139</v>
      </c>
      <c r="W152" s="440">
        <v>23895.689890000001</v>
      </c>
    </row>
    <row r="153" spans="2:23" s="1" customFormat="1" ht="15.75">
      <c r="B153" s="12" t="s">
        <v>140</v>
      </c>
      <c r="C153" s="285">
        <v>178724</v>
      </c>
      <c r="D153" s="285">
        <v>144712</v>
      </c>
      <c r="E153" s="285">
        <v>192993</v>
      </c>
      <c r="F153" s="285">
        <v>181203</v>
      </c>
      <c r="G153" s="285">
        <v>139125</v>
      </c>
      <c r="H153" s="285">
        <v>138123</v>
      </c>
      <c r="I153" s="285">
        <v>137475</v>
      </c>
      <c r="J153" s="285">
        <v>162768</v>
      </c>
      <c r="K153" s="285">
        <v>205251</v>
      </c>
      <c r="L153" s="285">
        <v>213549</v>
      </c>
      <c r="M153" s="285">
        <v>202051</v>
      </c>
      <c r="N153" s="285">
        <v>200788</v>
      </c>
      <c r="O153" s="285">
        <v>198685</v>
      </c>
      <c r="P153" s="440">
        <v>206497</v>
      </c>
      <c r="Q153" s="440">
        <v>189875</v>
      </c>
      <c r="R153" s="440">
        <v>202122</v>
      </c>
      <c r="S153" s="440">
        <v>198091.37095000001</v>
      </c>
      <c r="T153" s="440">
        <v>171563</v>
      </c>
      <c r="U153" s="744"/>
      <c r="V153" s="129" t="s">
        <v>140</v>
      </c>
      <c r="W153" s="440">
        <v>174755.88086999996</v>
      </c>
    </row>
    <row r="154" spans="2:23" s="1" customFormat="1" ht="15.75">
      <c r="B154" s="12" t="s">
        <v>141</v>
      </c>
      <c r="C154" s="285">
        <v>28448</v>
      </c>
      <c r="D154" s="285">
        <v>20542</v>
      </c>
      <c r="E154" s="285">
        <v>18860</v>
      </c>
      <c r="F154" s="285">
        <v>19362</v>
      </c>
      <c r="G154" s="285">
        <v>19762</v>
      </c>
      <c r="H154" s="285">
        <v>22055</v>
      </c>
      <c r="I154" s="285">
        <v>20530</v>
      </c>
      <c r="J154" s="285">
        <v>20908</v>
      </c>
      <c r="K154" s="285">
        <v>20870</v>
      </c>
      <c r="L154" s="285">
        <v>19267</v>
      </c>
      <c r="M154" s="285">
        <v>21844</v>
      </c>
      <c r="N154" s="285">
        <v>22330</v>
      </c>
      <c r="O154" s="285">
        <v>22624</v>
      </c>
      <c r="P154" s="440">
        <v>22357</v>
      </c>
      <c r="Q154" s="440">
        <v>24249</v>
      </c>
      <c r="R154" s="440">
        <v>25420</v>
      </c>
      <c r="S154" s="440">
        <v>28475.733640000002</v>
      </c>
      <c r="T154" s="440">
        <v>26709</v>
      </c>
      <c r="U154" s="744"/>
      <c r="V154" s="129" t="s">
        <v>141</v>
      </c>
      <c r="W154" s="440">
        <v>22909.054559999997</v>
      </c>
    </row>
    <row r="155" spans="2:23" s="1" customFormat="1" ht="15.75">
      <c r="B155" s="12" t="s">
        <v>142</v>
      </c>
      <c r="C155" s="285">
        <v>10484</v>
      </c>
      <c r="D155" s="285">
        <v>15944</v>
      </c>
      <c r="E155" s="285">
        <v>15025</v>
      </c>
      <c r="F155" s="285">
        <v>13794</v>
      </c>
      <c r="G155" s="285">
        <v>12820</v>
      </c>
      <c r="H155" s="285">
        <v>13423</v>
      </c>
      <c r="I155" s="285">
        <v>12892</v>
      </c>
      <c r="J155" s="285">
        <v>11867</v>
      </c>
      <c r="K155" s="285">
        <v>10985</v>
      </c>
      <c r="L155" s="285">
        <v>18035</v>
      </c>
      <c r="M155" s="285">
        <v>16639</v>
      </c>
      <c r="N155" s="285">
        <v>15711</v>
      </c>
      <c r="O155" s="285">
        <v>15289</v>
      </c>
      <c r="P155" s="440">
        <v>16334</v>
      </c>
      <c r="Q155" s="440">
        <v>15134</v>
      </c>
      <c r="R155" s="440">
        <v>14421</v>
      </c>
      <c r="S155" s="440">
        <v>13276.494359999999</v>
      </c>
      <c r="T155" s="440">
        <v>14976</v>
      </c>
      <c r="U155" s="744"/>
      <c r="V155" s="129" t="s">
        <v>142</v>
      </c>
      <c r="W155" s="440">
        <v>15020.0957</v>
      </c>
    </row>
    <row r="156" spans="2:23" ht="15.75" thickBot="1">
      <c r="B156" s="58" t="s">
        <v>73</v>
      </c>
      <c r="C156" s="294">
        <v>247228</v>
      </c>
      <c r="D156" s="294">
        <v>211351</v>
      </c>
      <c r="E156" s="294">
        <v>259776</v>
      </c>
      <c r="F156" s="294">
        <v>249725</v>
      </c>
      <c r="G156" s="294">
        <v>208199</v>
      </c>
      <c r="H156" s="294">
        <v>202065</v>
      </c>
      <c r="I156" s="294">
        <v>200436</v>
      </c>
      <c r="J156" s="294">
        <v>226471</v>
      </c>
      <c r="K156" s="294">
        <v>269376</v>
      </c>
      <c r="L156" s="294">
        <v>274385</v>
      </c>
      <c r="M156" s="294">
        <v>273578</v>
      </c>
      <c r="N156" s="448">
        <v>274371</v>
      </c>
      <c r="O156" s="448">
        <v>271665</v>
      </c>
      <c r="P156" s="448">
        <f>SUM(P151:P155)</f>
        <v>269483</v>
      </c>
      <c r="Q156" s="448">
        <f>SUM(Q151:Q155)</f>
        <v>254916</v>
      </c>
      <c r="R156" s="448">
        <v>268826</v>
      </c>
      <c r="S156" s="448">
        <v>267245.61836000002</v>
      </c>
      <c r="T156" s="448">
        <f>SUM(T151:T155)</f>
        <v>238733</v>
      </c>
      <c r="V156" s="58" t="s">
        <v>73</v>
      </c>
      <c r="W156" s="448">
        <f>+SUM(W151:W155)</f>
        <v>237738.12134999997</v>
      </c>
    </row>
    <row r="157" spans="2:23" ht="15.75" thickBot="1">
      <c r="B157" s="65" t="s">
        <v>74</v>
      </c>
      <c r="C157" s="295">
        <v>326998</v>
      </c>
      <c r="D157" s="295">
        <v>321594</v>
      </c>
      <c r="E157" s="295">
        <v>378020</v>
      </c>
      <c r="F157" s="295">
        <v>326901</v>
      </c>
      <c r="G157" s="295">
        <v>315714</v>
      </c>
      <c r="H157" s="295">
        <v>319048</v>
      </c>
      <c r="I157" s="295">
        <v>370580</v>
      </c>
      <c r="J157" s="295">
        <v>330769</v>
      </c>
      <c r="K157" s="295">
        <v>306164</v>
      </c>
      <c r="L157" s="295">
        <v>319285</v>
      </c>
      <c r="M157" s="295">
        <v>365883</v>
      </c>
      <c r="N157" s="449">
        <v>368233</v>
      </c>
      <c r="O157" s="449">
        <v>330230</v>
      </c>
      <c r="P157" s="449">
        <f>P149+P156</f>
        <v>331607</v>
      </c>
      <c r="Q157" s="449">
        <f>Q149+Q156</f>
        <v>356125</v>
      </c>
      <c r="R157" s="449">
        <v>382315</v>
      </c>
      <c r="S157" s="449">
        <v>385246.07047000004</v>
      </c>
      <c r="T157" s="449">
        <f>T149+T156</f>
        <v>361438</v>
      </c>
      <c r="V157" s="65" t="s">
        <v>74</v>
      </c>
      <c r="W157" s="449">
        <f>+W156+W149</f>
        <v>380329.74595000001</v>
      </c>
    </row>
    <row r="158" spans="2:23" ht="15.75" thickBot="1">
      <c r="B158" s="67"/>
      <c r="C158" s="296"/>
      <c r="D158" s="296"/>
      <c r="E158" s="296"/>
      <c r="F158" s="296"/>
      <c r="G158" s="296"/>
      <c r="H158" s="296"/>
      <c r="I158" s="296"/>
      <c r="J158" s="296"/>
      <c r="K158" s="296"/>
      <c r="L158" s="296"/>
      <c r="M158" s="296"/>
      <c r="N158" s="450"/>
      <c r="O158" s="450"/>
      <c r="P158" s="450"/>
      <c r="Q158" s="450"/>
      <c r="R158" s="450"/>
      <c r="S158" s="450">
        <v>0</v>
      </c>
      <c r="T158" s="135"/>
      <c r="V158" s="67"/>
      <c r="W158" s="744"/>
    </row>
    <row r="159" spans="2:23" ht="15.75" thickBot="1">
      <c r="B159" s="73" t="s">
        <v>75</v>
      </c>
      <c r="C159" s="300"/>
      <c r="D159" s="300"/>
      <c r="E159" s="300"/>
      <c r="F159" s="300"/>
      <c r="G159" s="300"/>
      <c r="H159" s="300"/>
      <c r="I159" s="300"/>
      <c r="J159" s="300"/>
      <c r="K159" s="300"/>
      <c r="L159" s="300"/>
      <c r="M159" s="300"/>
      <c r="N159" s="451"/>
      <c r="O159" s="451"/>
      <c r="P159" s="451"/>
      <c r="Q159" s="451"/>
      <c r="R159" s="451"/>
      <c r="S159" s="451"/>
      <c r="T159" s="451"/>
      <c r="V159" s="73" t="s">
        <v>75</v>
      </c>
      <c r="W159" s="451"/>
    </row>
    <row r="160" spans="2:23" s="1" customFormat="1" ht="15.75">
      <c r="B160" s="12" t="s">
        <v>143</v>
      </c>
      <c r="C160" s="285">
        <v>23683</v>
      </c>
      <c r="D160" s="285">
        <v>23683</v>
      </c>
      <c r="E160" s="285">
        <v>23683</v>
      </c>
      <c r="F160" s="285">
        <v>23683</v>
      </c>
      <c r="G160" s="285">
        <v>23683</v>
      </c>
      <c r="H160" s="285">
        <v>23683</v>
      </c>
      <c r="I160" s="285">
        <v>23683</v>
      </c>
      <c r="J160" s="285">
        <v>23683</v>
      </c>
      <c r="K160" s="285">
        <v>23683</v>
      </c>
      <c r="L160" s="285">
        <v>23683</v>
      </c>
      <c r="M160" s="285">
        <v>23683</v>
      </c>
      <c r="N160" s="285">
        <v>23683</v>
      </c>
      <c r="O160" s="285">
        <v>23683</v>
      </c>
      <c r="P160" s="440">
        <v>23683</v>
      </c>
      <c r="Q160" s="440">
        <v>23683</v>
      </c>
      <c r="R160" s="440">
        <v>23683</v>
      </c>
      <c r="S160" s="440">
        <v>23682.675870000003</v>
      </c>
      <c r="T160" s="440">
        <v>23682.675870000003</v>
      </c>
      <c r="U160" s="744"/>
      <c r="V160" s="129" t="s">
        <v>143</v>
      </c>
      <c r="W160" s="440">
        <v>23682.675870000003</v>
      </c>
    </row>
    <row r="161" spans="1:23" s="1" customFormat="1" ht="15.75">
      <c r="B161" s="12" t="s">
        <v>144</v>
      </c>
      <c r="C161" s="285">
        <v>97571</v>
      </c>
      <c r="D161" s="285">
        <v>97571</v>
      </c>
      <c r="E161" s="285">
        <v>97571</v>
      </c>
      <c r="F161" s="285">
        <v>97571</v>
      </c>
      <c r="G161" s="285">
        <v>97571</v>
      </c>
      <c r="H161" s="285">
        <v>97571</v>
      </c>
      <c r="I161" s="285">
        <v>97571</v>
      </c>
      <c r="J161" s="285">
        <v>97571</v>
      </c>
      <c r="K161" s="285">
        <v>97571</v>
      </c>
      <c r="L161" s="285">
        <v>97571</v>
      </c>
      <c r="M161" s="285">
        <v>97571</v>
      </c>
      <c r="N161" s="285">
        <v>97571</v>
      </c>
      <c r="O161" s="285">
        <v>97571</v>
      </c>
      <c r="P161" s="440">
        <v>97571</v>
      </c>
      <c r="Q161" s="440">
        <v>97571</v>
      </c>
      <c r="R161" s="440">
        <v>97571</v>
      </c>
      <c r="S161" s="440">
        <v>72571.273010000004</v>
      </c>
      <c r="T161" s="440">
        <v>72571.273010000004</v>
      </c>
      <c r="U161" s="744"/>
      <c r="V161" s="129" t="s">
        <v>144</v>
      </c>
      <c r="W161" s="440">
        <v>72571.273010000004</v>
      </c>
    </row>
    <row r="162" spans="1:23" s="1" customFormat="1" ht="15.75">
      <c r="B162" s="12" t="s">
        <v>125</v>
      </c>
      <c r="C162" s="285">
        <v>4737</v>
      </c>
      <c r="D162" s="285">
        <v>4737</v>
      </c>
      <c r="E162" s="285">
        <v>4737</v>
      </c>
      <c r="F162" s="285">
        <v>4737</v>
      </c>
      <c r="G162" s="285">
        <v>4737</v>
      </c>
      <c r="H162" s="285">
        <v>4737</v>
      </c>
      <c r="I162" s="285">
        <v>4737</v>
      </c>
      <c r="J162" s="285">
        <v>4737</v>
      </c>
      <c r="K162" s="285">
        <v>4737</v>
      </c>
      <c r="L162" s="285">
        <v>4737</v>
      </c>
      <c r="M162" s="285">
        <v>4737</v>
      </c>
      <c r="N162" s="285">
        <v>4737</v>
      </c>
      <c r="O162" s="285">
        <v>4737</v>
      </c>
      <c r="P162" s="440">
        <v>4737</v>
      </c>
      <c r="Q162" s="440">
        <v>4737</v>
      </c>
      <c r="R162" s="440">
        <v>4737</v>
      </c>
      <c r="S162" s="440">
        <v>4736.5354600000001</v>
      </c>
      <c r="T162" s="440">
        <v>4736.5354600000001</v>
      </c>
      <c r="U162" s="744"/>
      <c r="V162" s="129" t="s">
        <v>125</v>
      </c>
      <c r="W162" s="440">
        <v>4736.5354600000001</v>
      </c>
    </row>
    <row r="163" spans="1:23" s="1" customFormat="1" ht="15.75">
      <c r="B163" s="12" t="s">
        <v>145</v>
      </c>
      <c r="C163" s="285">
        <v>-9189</v>
      </c>
      <c r="D163" s="285">
        <v>-4784</v>
      </c>
      <c r="E163" s="285">
        <v>-3874</v>
      </c>
      <c r="F163" s="285">
        <v>-3534</v>
      </c>
      <c r="G163" s="285">
        <v>-3372</v>
      </c>
      <c r="H163" s="285">
        <v>-4330</v>
      </c>
      <c r="I163" s="285">
        <v>-3944</v>
      </c>
      <c r="J163" s="285">
        <v>-4306</v>
      </c>
      <c r="K163" s="285">
        <v>-3642</v>
      </c>
      <c r="L163" s="285">
        <v>-2817</v>
      </c>
      <c r="M163" s="285">
        <v>-3407</v>
      </c>
      <c r="N163" s="285">
        <v>-2829</v>
      </c>
      <c r="O163" s="285">
        <v>-2237</v>
      </c>
      <c r="P163" s="440">
        <v>-1793</v>
      </c>
      <c r="Q163" s="440">
        <v>-1754</v>
      </c>
      <c r="R163" s="440">
        <v>-1106</v>
      </c>
      <c r="S163" s="440">
        <v>-1685.53964</v>
      </c>
      <c r="T163" s="440">
        <v>-1574</v>
      </c>
      <c r="U163" s="744"/>
      <c r="V163" s="129" t="s">
        <v>145</v>
      </c>
      <c r="W163" s="440">
        <v>-1089.0482199999999</v>
      </c>
    </row>
    <row r="164" spans="1:23" s="1" customFormat="1" ht="15.75">
      <c r="B164" s="12" t="s">
        <v>126</v>
      </c>
      <c r="C164" s="285">
        <v>82918</v>
      </c>
      <c r="D164" s="285">
        <v>73162</v>
      </c>
      <c r="E164" s="285">
        <v>43291</v>
      </c>
      <c r="F164" s="285">
        <v>53814</v>
      </c>
      <c r="G164" s="285">
        <v>64729</v>
      </c>
      <c r="H164" s="285">
        <v>65199</v>
      </c>
      <c r="I164" s="285">
        <v>17150</v>
      </c>
      <c r="J164" s="285">
        <v>28968</v>
      </c>
      <c r="K164" s="285">
        <v>41788</v>
      </c>
      <c r="L164" s="285">
        <v>70132</v>
      </c>
      <c r="M164" s="285">
        <v>81843</v>
      </c>
      <c r="N164" s="285">
        <v>24303</v>
      </c>
      <c r="O164" s="285">
        <v>36486</v>
      </c>
      <c r="P164" s="440">
        <v>46208</v>
      </c>
      <c r="Q164" s="440">
        <v>13323</v>
      </c>
      <c r="R164" s="440">
        <v>25405</v>
      </c>
      <c r="S164" s="440">
        <v>39721.674399999996</v>
      </c>
      <c r="T164" s="440">
        <v>28761</v>
      </c>
      <c r="U164" s="744"/>
      <c r="V164" s="129" t="s">
        <v>126</v>
      </c>
      <c r="W164" s="440">
        <v>15132.702450000001</v>
      </c>
    </row>
    <row r="165" spans="1:23" ht="15.75" thickBot="1">
      <c r="B165" s="58" t="s">
        <v>84</v>
      </c>
      <c r="C165" s="294">
        <v>199720</v>
      </c>
      <c r="D165" s="294">
        <v>194369</v>
      </c>
      <c r="E165" s="294">
        <v>165408</v>
      </c>
      <c r="F165" s="294">
        <v>176271</v>
      </c>
      <c r="G165" s="294">
        <v>187348</v>
      </c>
      <c r="H165" s="294">
        <v>186860</v>
      </c>
      <c r="I165" s="294">
        <v>139197</v>
      </c>
      <c r="J165" s="294">
        <v>150653</v>
      </c>
      <c r="K165" s="294">
        <v>164137</v>
      </c>
      <c r="L165" s="294">
        <v>193306</v>
      </c>
      <c r="M165" s="294">
        <v>204427</v>
      </c>
      <c r="N165" s="448">
        <v>147465</v>
      </c>
      <c r="O165" s="448">
        <v>160240</v>
      </c>
      <c r="P165" s="448">
        <f>SUM(P160:P164)</f>
        <v>170406</v>
      </c>
      <c r="Q165" s="448">
        <f>SUM(Q160:Q164)</f>
        <v>137560</v>
      </c>
      <c r="R165" s="448">
        <v>150290</v>
      </c>
      <c r="S165" s="448">
        <v>139026.61910000001</v>
      </c>
      <c r="T165" s="448">
        <f>SUM(T160:T164)</f>
        <v>128177.48434000001</v>
      </c>
      <c r="V165" s="58" t="s">
        <v>84</v>
      </c>
      <c r="W165" s="448">
        <f>+SUM(W160:W164)</f>
        <v>115034.13857000001</v>
      </c>
    </row>
    <row r="166" spans="1:23" ht="15.75" thickBot="1">
      <c r="B166" s="74" t="s">
        <v>85</v>
      </c>
      <c r="C166" s="295">
        <v>526718</v>
      </c>
      <c r="D166" s="295">
        <v>515963</v>
      </c>
      <c r="E166" s="295">
        <v>543428</v>
      </c>
      <c r="F166" s="295">
        <v>503172</v>
      </c>
      <c r="G166" s="295">
        <v>503062</v>
      </c>
      <c r="H166" s="295">
        <v>505908</v>
      </c>
      <c r="I166" s="295">
        <v>509777</v>
      </c>
      <c r="J166" s="295">
        <v>481422</v>
      </c>
      <c r="K166" s="295">
        <v>470301</v>
      </c>
      <c r="L166" s="295">
        <v>512591</v>
      </c>
      <c r="M166" s="295">
        <v>570310</v>
      </c>
      <c r="N166" s="449">
        <v>515698</v>
      </c>
      <c r="O166" s="449">
        <v>490470</v>
      </c>
      <c r="P166" s="449">
        <f>P157+P165</f>
        <v>502013</v>
      </c>
      <c r="Q166" s="449">
        <f>Q157+Q165</f>
        <v>493685</v>
      </c>
      <c r="R166" s="449">
        <v>532605</v>
      </c>
      <c r="S166" s="449">
        <v>524272.68957000005</v>
      </c>
      <c r="T166" s="449">
        <f>T157+T165</f>
        <v>489615.48434000002</v>
      </c>
      <c r="V166" s="74" t="s">
        <v>85</v>
      </c>
      <c r="W166" s="449">
        <f>+W165+W157</f>
        <v>495363.88452000002</v>
      </c>
    </row>
    <row r="167" spans="1:23" ht="15.75">
      <c r="C167" s="289">
        <f>+C139-C157-C165</f>
        <v>0</v>
      </c>
      <c r="D167" s="289">
        <f t="shared" ref="D167:Q167" si="36">+D139-D157-D165</f>
        <v>0</v>
      </c>
      <c r="E167" s="289">
        <f t="shared" si="36"/>
        <v>0</v>
      </c>
      <c r="F167" s="289">
        <f t="shared" si="36"/>
        <v>0</v>
      </c>
      <c r="G167" s="289">
        <f t="shared" si="36"/>
        <v>0</v>
      </c>
      <c r="H167" s="289">
        <f t="shared" si="36"/>
        <v>0</v>
      </c>
      <c r="I167" s="289">
        <f t="shared" si="36"/>
        <v>0</v>
      </c>
      <c r="J167" s="289">
        <f t="shared" si="36"/>
        <v>0</v>
      </c>
      <c r="K167" s="289">
        <f t="shared" si="36"/>
        <v>0</v>
      </c>
      <c r="L167" s="289">
        <f t="shared" si="36"/>
        <v>0</v>
      </c>
      <c r="M167" s="289">
        <f t="shared" si="36"/>
        <v>0</v>
      </c>
      <c r="N167" s="289">
        <f t="shared" si="36"/>
        <v>0</v>
      </c>
      <c r="O167" s="289">
        <v>0</v>
      </c>
      <c r="P167" s="289">
        <f t="shared" si="36"/>
        <v>0</v>
      </c>
      <c r="Q167" s="289">
        <f t="shared" si="36"/>
        <v>0</v>
      </c>
      <c r="R167" s="289">
        <v>0</v>
      </c>
      <c r="S167" s="289"/>
      <c r="T167" s="135"/>
    </row>
    <row r="168" spans="1:23" ht="15.75">
      <c r="C168" s="265"/>
      <c r="D168" s="265"/>
      <c r="E168" s="265"/>
      <c r="F168" s="265"/>
      <c r="G168" s="265"/>
      <c r="H168" s="265"/>
      <c r="I168" s="265"/>
      <c r="J168" s="265"/>
      <c r="K168" s="265"/>
      <c r="L168" s="265"/>
      <c r="M168" s="265"/>
      <c r="N168" s="265"/>
      <c r="O168" s="265"/>
      <c r="P168" s="265"/>
      <c r="Q168" s="265"/>
      <c r="R168" s="265"/>
      <c r="S168" s="265"/>
      <c r="T168" s="135"/>
    </row>
    <row r="169" spans="1:23" ht="15.75">
      <c r="C169" s="265"/>
      <c r="D169" s="265"/>
      <c r="E169" s="265"/>
      <c r="F169" s="265"/>
      <c r="G169" s="265"/>
      <c r="H169" s="265"/>
      <c r="I169" s="265"/>
      <c r="J169" s="265"/>
      <c r="K169" s="265"/>
      <c r="L169" s="265"/>
      <c r="M169" s="265"/>
      <c r="N169" s="265"/>
      <c r="O169" s="265"/>
      <c r="P169" s="265"/>
      <c r="Q169" s="265"/>
      <c r="R169" s="265"/>
      <c r="S169" s="265"/>
      <c r="T169" s="135"/>
    </row>
    <row r="170" spans="1:23" ht="15.75">
      <c r="A170" s="155" t="s">
        <v>469</v>
      </c>
      <c r="B170" s="19" t="s">
        <v>179</v>
      </c>
      <c r="C170" s="282"/>
      <c r="D170" s="282"/>
      <c r="E170" s="282"/>
      <c r="F170" s="282"/>
      <c r="G170" s="282"/>
      <c r="H170" s="282"/>
      <c r="I170" s="265"/>
      <c r="J170" s="265"/>
      <c r="K170" s="265"/>
      <c r="L170" s="265"/>
      <c r="M170" s="282"/>
      <c r="N170" s="282"/>
      <c r="O170" s="282"/>
      <c r="P170" s="282"/>
      <c r="Q170" s="282"/>
      <c r="R170" s="282"/>
      <c r="S170" s="282"/>
      <c r="T170" s="135"/>
    </row>
    <row r="171" spans="1:23" ht="15.75">
      <c r="B171" s="21" t="s">
        <v>109</v>
      </c>
      <c r="C171" s="282"/>
      <c r="D171" s="282"/>
      <c r="E171" s="265"/>
      <c r="F171" s="265"/>
      <c r="G171" s="265"/>
      <c r="H171" s="265"/>
      <c r="I171" s="265"/>
      <c r="J171" s="265"/>
      <c r="K171" s="265"/>
      <c r="L171" s="265"/>
      <c r="M171" s="265"/>
      <c r="N171" s="265"/>
      <c r="O171" s="265"/>
      <c r="P171" s="265"/>
      <c r="Q171" s="265"/>
      <c r="R171" s="265"/>
      <c r="S171" s="265"/>
      <c r="T171" s="135"/>
    </row>
    <row r="172" spans="1:23" ht="15.75">
      <c r="C172" s="282">
        <f>8328-C189</f>
        <v>0</v>
      </c>
      <c r="D172" s="282">
        <f>9521-D189</f>
        <v>0</v>
      </c>
      <c r="E172" s="265"/>
      <c r="F172" s="265"/>
      <c r="G172" s="265"/>
      <c r="H172" s="265"/>
      <c r="I172" s="282"/>
      <c r="J172" s="282"/>
      <c r="K172" s="282"/>
      <c r="L172" s="282"/>
      <c r="M172" s="265"/>
      <c r="N172" s="265"/>
      <c r="O172" s="265"/>
      <c r="P172" s="265"/>
      <c r="Q172" s="265"/>
      <c r="R172" s="265"/>
      <c r="S172" s="265"/>
      <c r="T172" s="135"/>
    </row>
    <row r="173" spans="1:23">
      <c r="B173" s="78"/>
      <c r="C173" s="208">
        <v>2016</v>
      </c>
      <c r="D173" s="208">
        <v>2017</v>
      </c>
      <c r="E173" s="208" t="s">
        <v>650</v>
      </c>
      <c r="F173" s="208" t="s">
        <v>651</v>
      </c>
      <c r="G173" s="208" t="s">
        <v>652</v>
      </c>
      <c r="H173" s="208" t="s">
        <v>653</v>
      </c>
      <c r="I173" s="208" t="s">
        <v>654</v>
      </c>
      <c r="J173" s="208" t="s">
        <v>655</v>
      </c>
      <c r="K173" s="208" t="s">
        <v>656</v>
      </c>
      <c r="L173" s="208" t="s">
        <v>657</v>
      </c>
      <c r="M173" s="208" t="s">
        <v>658</v>
      </c>
      <c r="N173" s="208" t="s">
        <v>659</v>
      </c>
      <c r="O173" s="208" t="s">
        <v>626</v>
      </c>
      <c r="P173" s="208" t="s">
        <v>958</v>
      </c>
      <c r="Q173" s="208" t="s">
        <v>1014</v>
      </c>
      <c r="R173" s="208" t="s">
        <v>1048</v>
      </c>
      <c r="S173" s="208" t="s">
        <v>1188</v>
      </c>
      <c r="T173" s="208" t="s">
        <v>1246</v>
      </c>
      <c r="V173" s="78"/>
      <c r="W173" s="208" t="s">
        <v>1292</v>
      </c>
    </row>
    <row r="174" spans="1:23" s="135" customFormat="1" ht="15.75">
      <c r="B174" s="150"/>
      <c r="C174" s="442"/>
      <c r="D174" s="442"/>
      <c r="E174" s="442"/>
      <c r="F174" s="442"/>
      <c r="G174" s="442"/>
      <c r="H174" s="442"/>
      <c r="I174" s="442"/>
      <c r="J174" s="442"/>
      <c r="K174" s="442"/>
      <c r="L174" s="442"/>
      <c r="M174" s="442"/>
      <c r="N174" s="442"/>
      <c r="O174" s="442"/>
      <c r="P174" s="442"/>
      <c r="Q174" s="442"/>
      <c r="R174" s="442"/>
      <c r="S174" s="442"/>
      <c r="T174" s="442"/>
      <c r="U174" s="744"/>
    </row>
    <row r="175" spans="1:23" s="135" customFormat="1" ht="15.75">
      <c r="B175" s="151" t="s">
        <v>13</v>
      </c>
      <c r="C175" s="440">
        <v>19784</v>
      </c>
      <c r="D175" s="440">
        <v>32</v>
      </c>
      <c r="E175" s="440">
        <v>0</v>
      </c>
      <c r="F175" s="440">
        <v>0</v>
      </c>
      <c r="G175" s="440">
        <v>0</v>
      </c>
      <c r="H175" s="440">
        <v>0</v>
      </c>
      <c r="I175" s="440">
        <v>0</v>
      </c>
      <c r="J175" s="440">
        <v>0</v>
      </c>
      <c r="K175" s="440">
        <v>0</v>
      </c>
      <c r="L175" s="440">
        <v>0</v>
      </c>
      <c r="M175" s="440">
        <v>0</v>
      </c>
      <c r="N175" s="440">
        <v>0</v>
      </c>
      <c r="O175" s="440">
        <v>0</v>
      </c>
      <c r="P175" s="440">
        <v>0</v>
      </c>
      <c r="Q175" s="440">
        <v>0</v>
      </c>
      <c r="R175" s="440">
        <v>0</v>
      </c>
      <c r="S175" s="440">
        <v>0</v>
      </c>
      <c r="T175" s="440">
        <v>0</v>
      </c>
      <c r="U175" s="744"/>
      <c r="V175" s="151" t="s">
        <v>13</v>
      </c>
      <c r="W175" s="440">
        <v>0</v>
      </c>
    </row>
    <row r="176" spans="1:23" s="135" customFormat="1" ht="15.75">
      <c r="B176" s="151" t="s">
        <v>14</v>
      </c>
      <c r="C176" s="440">
        <v>19784</v>
      </c>
      <c r="D176" s="440">
        <v>32</v>
      </c>
      <c r="E176" s="440">
        <v>0</v>
      </c>
      <c r="F176" s="440">
        <v>0</v>
      </c>
      <c r="G176" s="440">
        <v>0</v>
      </c>
      <c r="H176" s="440">
        <v>0</v>
      </c>
      <c r="I176" s="440">
        <v>0</v>
      </c>
      <c r="J176" s="440">
        <v>0</v>
      </c>
      <c r="K176" s="440">
        <v>0</v>
      </c>
      <c r="L176" s="440">
        <v>0</v>
      </c>
      <c r="M176" s="440">
        <v>0</v>
      </c>
      <c r="N176" s="440">
        <v>0</v>
      </c>
      <c r="O176" s="440">
        <v>0</v>
      </c>
      <c r="P176" s="440">
        <v>0</v>
      </c>
      <c r="Q176" s="440">
        <v>0</v>
      </c>
      <c r="R176" s="440">
        <v>0</v>
      </c>
      <c r="S176" s="440">
        <v>0</v>
      </c>
      <c r="T176" s="440">
        <v>0</v>
      </c>
      <c r="U176" s="744"/>
      <c r="V176" s="151" t="s">
        <v>14</v>
      </c>
      <c r="W176" s="440">
        <v>0</v>
      </c>
    </row>
    <row r="177" spans="2:23" s="135" customFormat="1" ht="15.75">
      <c r="B177" s="152" t="s">
        <v>15</v>
      </c>
      <c r="C177" s="441">
        <f t="shared" ref="C177:N177" si="37">+C175-C176</f>
        <v>0</v>
      </c>
      <c r="D177" s="441">
        <f t="shared" si="37"/>
        <v>0</v>
      </c>
      <c r="E177" s="441">
        <f t="shared" si="37"/>
        <v>0</v>
      </c>
      <c r="F177" s="441">
        <f t="shared" si="37"/>
        <v>0</v>
      </c>
      <c r="G177" s="441">
        <f t="shared" si="37"/>
        <v>0</v>
      </c>
      <c r="H177" s="441">
        <f t="shared" si="37"/>
        <v>0</v>
      </c>
      <c r="I177" s="441">
        <f t="shared" si="37"/>
        <v>0</v>
      </c>
      <c r="J177" s="441">
        <f t="shared" si="37"/>
        <v>0</v>
      </c>
      <c r="K177" s="441">
        <f t="shared" si="37"/>
        <v>0</v>
      </c>
      <c r="L177" s="441">
        <f t="shared" si="37"/>
        <v>0</v>
      </c>
      <c r="M177" s="441">
        <f t="shared" si="37"/>
        <v>0</v>
      </c>
      <c r="N177" s="441">
        <f t="shared" si="37"/>
        <v>0</v>
      </c>
      <c r="O177" s="441">
        <v>0</v>
      </c>
      <c r="P177" s="441">
        <v>0</v>
      </c>
      <c r="Q177" s="441">
        <v>0</v>
      </c>
      <c r="R177" s="441">
        <v>0</v>
      </c>
      <c r="S177" s="441">
        <v>0</v>
      </c>
      <c r="T177" s="441">
        <v>0</v>
      </c>
      <c r="U177" s="744"/>
      <c r="V177" s="132" t="s">
        <v>1293</v>
      </c>
      <c r="W177" s="441">
        <f>+W175-W176</f>
        <v>0</v>
      </c>
    </row>
    <row r="178" spans="2:23" ht="15.75">
      <c r="B178" s="80"/>
      <c r="C178" s="77"/>
      <c r="D178" s="77"/>
      <c r="E178" s="77"/>
      <c r="F178" s="77"/>
      <c r="G178" s="77"/>
      <c r="H178" s="77"/>
      <c r="I178" s="77"/>
      <c r="J178" s="77"/>
      <c r="K178" s="77"/>
      <c r="L178" s="77"/>
      <c r="M178" s="77"/>
      <c r="N178" s="77"/>
      <c r="O178" s="77"/>
      <c r="P178" s="442"/>
      <c r="Q178" s="442"/>
      <c r="R178" s="442"/>
      <c r="S178" s="442"/>
      <c r="T178" s="442"/>
      <c r="W178" s="442"/>
    </row>
    <row r="179" spans="2:23" s="135" customFormat="1" ht="15.75">
      <c r="B179" s="129" t="s">
        <v>88</v>
      </c>
      <c r="C179" s="285">
        <v>13606</v>
      </c>
      <c r="D179" s="285">
        <v>15366</v>
      </c>
      <c r="E179" s="285">
        <v>3791</v>
      </c>
      <c r="F179" s="285">
        <v>4173</v>
      </c>
      <c r="G179" s="285">
        <v>4437</v>
      </c>
      <c r="H179" s="285">
        <v>4492</v>
      </c>
      <c r="I179" s="285">
        <v>4679</v>
      </c>
      <c r="J179" s="285">
        <v>4737</v>
      </c>
      <c r="K179" s="285">
        <v>4226</v>
      </c>
      <c r="L179" s="285">
        <v>4536</v>
      </c>
      <c r="M179" s="285">
        <v>4398</v>
      </c>
      <c r="N179" s="285">
        <v>4633</v>
      </c>
      <c r="O179" s="285">
        <v>4692</v>
      </c>
      <c r="P179" s="440">
        <v>4711</v>
      </c>
      <c r="Q179" s="440">
        <v>7593</v>
      </c>
      <c r="R179" s="440">
        <v>7354</v>
      </c>
      <c r="S179" s="440">
        <v>7548.1848299999983</v>
      </c>
      <c r="T179" s="440">
        <v>7589</v>
      </c>
      <c r="U179" s="744"/>
      <c r="V179" s="129" t="s">
        <v>88</v>
      </c>
      <c r="W179" s="440">
        <v>7772.3031999999994</v>
      </c>
    </row>
    <row r="180" spans="2:23" s="135" customFormat="1" ht="15.75">
      <c r="B180" s="129" t="s">
        <v>127</v>
      </c>
      <c r="C180" s="285">
        <v>121</v>
      </c>
      <c r="D180" s="285">
        <v>163</v>
      </c>
      <c r="E180" s="285">
        <v>25</v>
      </c>
      <c r="F180" s="285">
        <v>25</v>
      </c>
      <c r="G180" s="285">
        <v>25</v>
      </c>
      <c r="H180" s="285">
        <v>30</v>
      </c>
      <c r="I180" s="285">
        <v>21</v>
      </c>
      <c r="J180" s="285">
        <v>30</v>
      </c>
      <c r="K180" s="285">
        <v>25</v>
      </c>
      <c r="L180" s="285">
        <v>30</v>
      </c>
      <c r="M180" s="285">
        <v>30</v>
      </c>
      <c r="N180" s="285">
        <v>27</v>
      </c>
      <c r="O180" s="285">
        <v>25</v>
      </c>
      <c r="P180" s="440">
        <v>36</v>
      </c>
      <c r="Q180" s="440">
        <v>101</v>
      </c>
      <c r="R180" s="440">
        <v>587</v>
      </c>
      <c r="S180" s="440">
        <v>-39.902330000000006</v>
      </c>
      <c r="T180" s="440">
        <v>178</v>
      </c>
      <c r="U180" s="744"/>
      <c r="V180" s="129" t="s">
        <v>127</v>
      </c>
      <c r="W180" s="440">
        <v>213.55482000000001</v>
      </c>
    </row>
    <row r="181" spans="2:23" s="135" customFormat="1" ht="15.75">
      <c r="B181" s="151" t="s">
        <v>22</v>
      </c>
      <c r="C181" s="285">
        <v>0</v>
      </c>
      <c r="D181" s="285">
        <v>0</v>
      </c>
      <c r="E181" s="285">
        <v>0</v>
      </c>
      <c r="F181" s="285">
        <v>0</v>
      </c>
      <c r="G181" s="285">
        <v>0</v>
      </c>
      <c r="H181" s="285">
        <v>0</v>
      </c>
      <c r="I181" s="285">
        <v>0</v>
      </c>
      <c r="J181" s="285">
        <v>0</v>
      </c>
      <c r="K181" s="285">
        <v>0</v>
      </c>
      <c r="L181" s="285">
        <v>0</v>
      </c>
      <c r="M181" s="285">
        <v>0</v>
      </c>
      <c r="N181" s="285">
        <v>0</v>
      </c>
      <c r="O181" s="285">
        <v>0</v>
      </c>
      <c r="P181" s="440">
        <v>0</v>
      </c>
      <c r="Q181" s="440">
        <v>0</v>
      </c>
      <c r="R181" s="440">
        <v>0</v>
      </c>
      <c r="S181" s="440">
        <v>0</v>
      </c>
      <c r="T181" s="440">
        <v>0</v>
      </c>
      <c r="U181" s="744"/>
      <c r="V181" s="151" t="s">
        <v>22</v>
      </c>
      <c r="W181" s="440">
        <v>12.397270000000001</v>
      </c>
    </row>
    <row r="182" spans="2:23" s="1" customFormat="1" ht="15.75">
      <c r="B182" s="129" t="s">
        <v>23</v>
      </c>
      <c r="C182" s="285">
        <v>1637</v>
      </c>
      <c r="D182" s="285">
        <v>1842</v>
      </c>
      <c r="E182" s="285">
        <v>387</v>
      </c>
      <c r="F182" s="285">
        <v>462</v>
      </c>
      <c r="G182" s="285">
        <v>573</v>
      </c>
      <c r="H182" s="285">
        <v>591</v>
      </c>
      <c r="I182" s="285">
        <v>504</v>
      </c>
      <c r="J182" s="285">
        <v>493</v>
      </c>
      <c r="K182" s="285">
        <v>636</v>
      </c>
      <c r="L182" s="285">
        <v>701</v>
      </c>
      <c r="M182" s="285">
        <v>661</v>
      </c>
      <c r="N182" s="285">
        <v>695</v>
      </c>
      <c r="O182" s="285">
        <v>1758</v>
      </c>
      <c r="P182" s="440">
        <v>782</v>
      </c>
      <c r="Q182" s="440">
        <v>900</v>
      </c>
      <c r="R182" s="440">
        <v>1045</v>
      </c>
      <c r="S182" s="440">
        <v>1483.4238399999999</v>
      </c>
      <c r="T182" s="440">
        <v>1403</v>
      </c>
      <c r="U182" s="744"/>
      <c r="V182" s="129" t="s">
        <v>23</v>
      </c>
      <c r="W182" s="440">
        <v>1422.2443400000002</v>
      </c>
    </row>
    <row r="183" spans="2:23" s="135" customFormat="1" ht="15.75">
      <c r="B183" s="152" t="s">
        <v>24</v>
      </c>
      <c r="C183" s="441">
        <f t="shared" ref="C183:N183" si="38">+SUM(C179:C181)-C182</f>
        <v>12090</v>
      </c>
      <c r="D183" s="441">
        <f t="shared" si="38"/>
        <v>13687</v>
      </c>
      <c r="E183" s="441">
        <f t="shared" si="38"/>
        <v>3429</v>
      </c>
      <c r="F183" s="441">
        <f t="shared" si="38"/>
        <v>3736</v>
      </c>
      <c r="G183" s="441">
        <f t="shared" si="38"/>
        <v>3889</v>
      </c>
      <c r="H183" s="441">
        <f t="shared" si="38"/>
        <v>3931</v>
      </c>
      <c r="I183" s="441">
        <f t="shared" si="38"/>
        <v>4196</v>
      </c>
      <c r="J183" s="441">
        <f t="shared" si="38"/>
        <v>4274</v>
      </c>
      <c r="K183" s="441">
        <f t="shared" si="38"/>
        <v>3615</v>
      </c>
      <c r="L183" s="441">
        <f t="shared" si="38"/>
        <v>3865</v>
      </c>
      <c r="M183" s="441">
        <f t="shared" si="38"/>
        <v>3767</v>
      </c>
      <c r="N183" s="441">
        <f t="shared" si="38"/>
        <v>3965</v>
      </c>
      <c r="O183" s="441">
        <v>2959</v>
      </c>
      <c r="P183" s="441">
        <f>+SUM(P179:P181)-P182</f>
        <v>3965</v>
      </c>
      <c r="Q183" s="441">
        <f t="shared" ref="Q183" si="39">+SUM(Q179:Q181)-Q182</f>
        <v>6794</v>
      </c>
      <c r="R183" s="441">
        <v>6896</v>
      </c>
      <c r="S183" s="441">
        <v>6024.8586599999981</v>
      </c>
      <c r="T183" s="441">
        <f t="shared" ref="T183" si="40">+SUM(T179:T181)-T182</f>
        <v>6364</v>
      </c>
      <c r="U183" s="744"/>
      <c r="V183" s="129" t="s">
        <v>26</v>
      </c>
      <c r="W183" s="440">
        <v>1123.8708999999999</v>
      </c>
    </row>
    <row r="184" spans="2:23" s="135" customFormat="1" ht="15.75">
      <c r="B184" s="153" t="s">
        <v>92</v>
      </c>
      <c r="C184" s="443">
        <f t="shared" ref="C184:Q184" si="41">+C177+C183</f>
        <v>12090</v>
      </c>
      <c r="D184" s="443">
        <f t="shared" si="41"/>
        <v>13687</v>
      </c>
      <c r="E184" s="443">
        <f t="shared" si="41"/>
        <v>3429</v>
      </c>
      <c r="F184" s="443">
        <f t="shared" si="41"/>
        <v>3736</v>
      </c>
      <c r="G184" s="443">
        <f t="shared" si="41"/>
        <v>3889</v>
      </c>
      <c r="H184" s="443">
        <f t="shared" si="41"/>
        <v>3931</v>
      </c>
      <c r="I184" s="443">
        <f t="shared" si="41"/>
        <v>4196</v>
      </c>
      <c r="J184" s="443">
        <f t="shared" si="41"/>
        <v>4274</v>
      </c>
      <c r="K184" s="443">
        <f t="shared" si="41"/>
        <v>3615</v>
      </c>
      <c r="L184" s="443">
        <f t="shared" si="41"/>
        <v>3865</v>
      </c>
      <c r="M184" s="443">
        <f t="shared" si="41"/>
        <v>3767</v>
      </c>
      <c r="N184" s="443">
        <f t="shared" si="41"/>
        <v>3965</v>
      </c>
      <c r="O184" s="443">
        <v>2959</v>
      </c>
      <c r="P184" s="443">
        <f t="shared" si="41"/>
        <v>3965</v>
      </c>
      <c r="Q184" s="443">
        <f t="shared" si="41"/>
        <v>6794</v>
      </c>
      <c r="R184" s="443">
        <v>6896</v>
      </c>
      <c r="S184" s="443">
        <v>6024.8586599999981</v>
      </c>
      <c r="T184" s="443">
        <f t="shared" ref="T184" si="42">+T177+T183</f>
        <v>6364</v>
      </c>
      <c r="U184" s="744"/>
      <c r="V184" s="227" t="s">
        <v>677</v>
      </c>
      <c r="W184" s="443">
        <f>+SUM(W179:W181)-SUM(W182:W183)+W177</f>
        <v>5452.14005</v>
      </c>
    </row>
    <row r="185" spans="2:23" s="135" customFormat="1" ht="15.75">
      <c r="B185" s="10"/>
      <c r="C185" s="9"/>
      <c r="D185" s="9"/>
      <c r="E185" s="9"/>
      <c r="F185" s="9"/>
      <c r="G185" s="9"/>
      <c r="H185" s="9"/>
      <c r="I185" s="9"/>
      <c r="J185" s="593"/>
      <c r="K185" s="593"/>
      <c r="L185" s="593"/>
      <c r="M185" s="9"/>
      <c r="N185" s="593"/>
      <c r="O185" s="593"/>
      <c r="P185" s="452"/>
      <c r="Q185" s="452"/>
      <c r="R185" s="452"/>
      <c r="S185" s="452">
        <v>0</v>
      </c>
      <c r="T185" s="452"/>
      <c r="U185" s="744"/>
    </row>
    <row r="186" spans="2:23" s="135" customFormat="1" ht="15.75">
      <c r="B186" s="129" t="s">
        <v>26</v>
      </c>
      <c r="C186" s="440">
        <v>3601</v>
      </c>
      <c r="D186" s="440">
        <v>4089</v>
      </c>
      <c r="E186" s="440">
        <v>975</v>
      </c>
      <c r="F186" s="440">
        <v>977</v>
      </c>
      <c r="G186" s="440">
        <v>975</v>
      </c>
      <c r="H186" s="440">
        <v>976</v>
      </c>
      <c r="I186" s="440">
        <v>901</v>
      </c>
      <c r="J186" s="440">
        <v>901</v>
      </c>
      <c r="K186" s="440">
        <v>900</v>
      </c>
      <c r="L186" s="440">
        <v>-596</v>
      </c>
      <c r="M186" s="440">
        <v>915</v>
      </c>
      <c r="N186" s="440">
        <v>915</v>
      </c>
      <c r="O186" s="440">
        <v>915</v>
      </c>
      <c r="P186" s="440">
        <v>972</v>
      </c>
      <c r="Q186" s="440">
        <v>1141</v>
      </c>
      <c r="R186" s="440">
        <v>1139</v>
      </c>
      <c r="S186" s="440">
        <v>1375.67679</v>
      </c>
      <c r="T186" s="440">
        <v>1178</v>
      </c>
      <c r="U186" s="744"/>
    </row>
    <row r="187" spans="2:23" ht="15.75">
      <c r="B187" s="129" t="s">
        <v>27</v>
      </c>
      <c r="C187" s="285">
        <v>0</v>
      </c>
      <c r="D187" s="285">
        <v>0</v>
      </c>
      <c r="E187" s="285">
        <v>0</v>
      </c>
      <c r="F187" s="285">
        <v>0</v>
      </c>
      <c r="G187" s="285">
        <v>0</v>
      </c>
      <c r="H187" s="285">
        <v>0</v>
      </c>
      <c r="I187" s="285">
        <v>0</v>
      </c>
      <c r="J187" s="285">
        <v>0</v>
      </c>
      <c r="K187" s="285">
        <v>0</v>
      </c>
      <c r="L187" s="285">
        <v>0</v>
      </c>
      <c r="M187" s="285">
        <v>0</v>
      </c>
      <c r="N187" s="285">
        <v>0</v>
      </c>
      <c r="O187" s="285">
        <v>0</v>
      </c>
      <c r="P187" s="440">
        <v>0</v>
      </c>
      <c r="Q187" s="440">
        <v>0</v>
      </c>
      <c r="R187" s="440">
        <v>0</v>
      </c>
      <c r="S187" s="440">
        <v>0</v>
      </c>
      <c r="T187" s="440">
        <v>0</v>
      </c>
      <c r="V187" s="129" t="s">
        <v>27</v>
      </c>
      <c r="W187" s="440">
        <v>0</v>
      </c>
    </row>
    <row r="188" spans="2:23" s="1" customFormat="1" ht="15.75">
      <c r="B188" s="129" t="s">
        <v>28</v>
      </c>
      <c r="C188" s="285">
        <v>-161</v>
      </c>
      <c r="D188" s="285">
        <v>-77</v>
      </c>
      <c r="E188" s="285">
        <v>-17</v>
      </c>
      <c r="F188" s="285">
        <v>-15</v>
      </c>
      <c r="G188" s="285">
        <v>0</v>
      </c>
      <c r="H188" s="285">
        <v>-22</v>
      </c>
      <c r="I188" s="285">
        <v>1</v>
      </c>
      <c r="J188" s="285">
        <v>0</v>
      </c>
      <c r="K188" s="285">
        <v>-1</v>
      </c>
      <c r="L188" s="285">
        <v>-3</v>
      </c>
      <c r="M188" s="285">
        <v>0</v>
      </c>
      <c r="N188" s="285">
        <v>-21</v>
      </c>
      <c r="O188" s="285">
        <v>54</v>
      </c>
      <c r="P188" s="440">
        <v>2</v>
      </c>
      <c r="Q188" s="440">
        <v>5</v>
      </c>
      <c r="R188" s="440">
        <v>1</v>
      </c>
      <c r="S188" s="440">
        <v>0.46403999999999979</v>
      </c>
      <c r="T188" s="440">
        <v>4</v>
      </c>
      <c r="U188" s="744"/>
      <c r="V188" s="129" t="s">
        <v>28</v>
      </c>
      <c r="W188" s="440">
        <v>0</v>
      </c>
    </row>
    <row r="189" spans="2:23" s="1" customFormat="1" ht="15.75">
      <c r="B189" s="130" t="s">
        <v>29</v>
      </c>
      <c r="C189" s="287">
        <f t="shared" ref="C189:Q189" si="43">C184-C186+C187+C188</f>
        <v>8328</v>
      </c>
      <c r="D189" s="287">
        <f t="shared" si="43"/>
        <v>9521</v>
      </c>
      <c r="E189" s="287">
        <f t="shared" si="43"/>
        <v>2437</v>
      </c>
      <c r="F189" s="287">
        <f t="shared" si="43"/>
        <v>2744</v>
      </c>
      <c r="G189" s="287">
        <f t="shared" si="43"/>
        <v>2914</v>
      </c>
      <c r="H189" s="287">
        <f t="shared" si="43"/>
        <v>2933</v>
      </c>
      <c r="I189" s="287">
        <f t="shared" si="43"/>
        <v>3296</v>
      </c>
      <c r="J189" s="287">
        <f t="shared" si="43"/>
        <v>3373</v>
      </c>
      <c r="K189" s="287">
        <f t="shared" si="43"/>
        <v>2714</v>
      </c>
      <c r="L189" s="287">
        <f t="shared" si="43"/>
        <v>4458</v>
      </c>
      <c r="M189" s="287">
        <f t="shared" si="43"/>
        <v>2852</v>
      </c>
      <c r="N189" s="287">
        <f t="shared" si="43"/>
        <v>3029</v>
      </c>
      <c r="O189" s="287">
        <v>2098</v>
      </c>
      <c r="P189" s="444">
        <f t="shared" si="43"/>
        <v>2995</v>
      </c>
      <c r="Q189" s="444">
        <f t="shared" si="43"/>
        <v>5658</v>
      </c>
      <c r="R189" s="444">
        <v>5758</v>
      </c>
      <c r="S189" s="444">
        <v>4649.6459099999984</v>
      </c>
      <c r="T189" s="444">
        <f t="shared" ref="T189" si="44">T184-T186+T187+T188</f>
        <v>5190</v>
      </c>
      <c r="U189" s="744"/>
      <c r="V189" s="130" t="s">
        <v>29</v>
      </c>
      <c r="W189" s="444">
        <f>+W184+W187+W188</f>
        <v>5452.14005</v>
      </c>
    </row>
    <row r="190" spans="2:23" s="1" customFormat="1" ht="15.75">
      <c r="B190" s="129"/>
      <c r="C190" s="285"/>
      <c r="D190" s="285"/>
      <c r="E190" s="285"/>
      <c r="F190" s="285"/>
      <c r="G190" s="285"/>
      <c r="H190" s="285"/>
      <c r="I190" s="285"/>
      <c r="J190" s="285"/>
      <c r="K190" s="285"/>
      <c r="L190" s="285"/>
      <c r="M190" s="285"/>
      <c r="N190" s="285"/>
      <c r="O190" s="285"/>
      <c r="P190" s="440"/>
      <c r="Q190" s="440"/>
      <c r="R190" s="440"/>
      <c r="S190" s="440">
        <v>0</v>
      </c>
      <c r="T190" s="440"/>
      <c r="U190" s="744"/>
      <c r="V190" s="129"/>
      <c r="W190" s="440"/>
    </row>
    <row r="191" spans="2:23" ht="15.75">
      <c r="B191" s="129" t="s">
        <v>30</v>
      </c>
      <c r="C191" s="285">
        <v>-541</v>
      </c>
      <c r="D191" s="285">
        <v>-1453</v>
      </c>
      <c r="E191" s="285">
        <v>-355</v>
      </c>
      <c r="F191" s="285">
        <v>-399</v>
      </c>
      <c r="G191" s="285">
        <v>-365</v>
      </c>
      <c r="H191" s="285">
        <f>-1368-E191-F191+-G191</f>
        <v>-249</v>
      </c>
      <c r="I191" s="440">
        <v>-286</v>
      </c>
      <c r="J191" s="440">
        <v>-223</v>
      </c>
      <c r="K191" s="440">
        <v>-308</v>
      </c>
      <c r="L191" s="440">
        <v>-35</v>
      </c>
      <c r="M191" s="440">
        <v>-259</v>
      </c>
      <c r="N191" s="440">
        <v>-290</v>
      </c>
      <c r="O191" s="440">
        <v>-497</v>
      </c>
      <c r="P191" s="440">
        <v>863</v>
      </c>
      <c r="Q191" s="440">
        <v>-1072</v>
      </c>
      <c r="R191" s="440">
        <v>-1075</v>
      </c>
      <c r="S191" s="440">
        <v>-625.01675999999998</v>
      </c>
      <c r="T191" s="440">
        <v>-1741</v>
      </c>
      <c r="V191" s="129" t="s">
        <v>30</v>
      </c>
      <c r="W191" s="440">
        <v>-5520.816890000001</v>
      </c>
    </row>
    <row r="192" spans="2:23" ht="15.75">
      <c r="B192" s="130" t="s">
        <v>31</v>
      </c>
      <c r="C192" s="287">
        <f>+C189+C191</f>
        <v>7787</v>
      </c>
      <c r="D192" s="287">
        <f t="shared" ref="D192:Q192" si="45">+D189+D191</f>
        <v>8068</v>
      </c>
      <c r="E192" s="287">
        <f t="shared" si="45"/>
        <v>2082</v>
      </c>
      <c r="F192" s="287">
        <f t="shared" si="45"/>
        <v>2345</v>
      </c>
      <c r="G192" s="287">
        <f t="shared" si="45"/>
        <v>2549</v>
      </c>
      <c r="H192" s="287">
        <f t="shared" si="45"/>
        <v>2684</v>
      </c>
      <c r="I192" s="287">
        <f t="shared" si="45"/>
        <v>3010</v>
      </c>
      <c r="J192" s="287">
        <f t="shared" si="45"/>
        <v>3150</v>
      </c>
      <c r="K192" s="287">
        <f t="shared" si="45"/>
        <v>2406</v>
      </c>
      <c r="L192" s="287">
        <f t="shared" si="45"/>
        <v>4423</v>
      </c>
      <c r="M192" s="287">
        <f t="shared" si="45"/>
        <v>2593</v>
      </c>
      <c r="N192" s="287">
        <f t="shared" si="45"/>
        <v>2739</v>
      </c>
      <c r="O192" s="287">
        <v>1601</v>
      </c>
      <c r="P192" s="444">
        <f t="shared" si="45"/>
        <v>3858</v>
      </c>
      <c r="Q192" s="444">
        <f t="shared" si="45"/>
        <v>4586</v>
      </c>
      <c r="R192" s="444">
        <v>4683</v>
      </c>
      <c r="S192" s="444">
        <v>4024.6291499999984</v>
      </c>
      <c r="T192" s="444">
        <f t="shared" ref="T192" si="46">+T189+T191</f>
        <v>3449</v>
      </c>
      <c r="V192" s="130" t="s">
        <v>31</v>
      </c>
      <c r="W192" s="444">
        <f>+W189+W191</f>
        <v>-68.676840000000993</v>
      </c>
    </row>
    <row r="193" spans="1:23" s="1" customFormat="1" ht="15.75">
      <c r="B193" s="10"/>
      <c r="C193" s="9"/>
      <c r="D193" s="9"/>
      <c r="E193" s="9"/>
      <c r="F193" s="9"/>
      <c r="G193" s="9"/>
      <c r="H193" s="9"/>
      <c r="I193" s="9"/>
      <c r="J193" s="9"/>
      <c r="K193" s="9"/>
      <c r="L193" s="9"/>
      <c r="M193" s="9"/>
      <c r="N193" s="9"/>
      <c r="O193" s="9"/>
      <c r="P193" s="442"/>
      <c r="Q193" s="442"/>
      <c r="R193" s="442"/>
      <c r="S193" s="442"/>
      <c r="T193" s="442"/>
      <c r="U193" s="744"/>
      <c r="V193" s="10"/>
      <c r="W193" s="442"/>
    </row>
    <row r="194" spans="1:23" ht="15.75">
      <c r="B194" s="129" t="s">
        <v>32</v>
      </c>
      <c r="C194" s="285">
        <v>1728</v>
      </c>
      <c r="D194" s="285">
        <v>2015</v>
      </c>
      <c r="E194" s="440">
        <v>456</v>
      </c>
      <c r="F194" s="440">
        <v>517</v>
      </c>
      <c r="G194" s="440">
        <v>701</v>
      </c>
      <c r="H194" s="440">
        <v>558</v>
      </c>
      <c r="I194" s="285">
        <v>666</v>
      </c>
      <c r="J194" s="285">
        <v>742</v>
      </c>
      <c r="K194" s="285">
        <v>528</v>
      </c>
      <c r="L194" s="285">
        <v>959</v>
      </c>
      <c r="M194" s="440">
        <v>570</v>
      </c>
      <c r="N194" s="440">
        <v>679</v>
      </c>
      <c r="O194" s="440">
        <v>255</v>
      </c>
      <c r="P194" s="440">
        <v>449</v>
      </c>
      <c r="Q194" s="440">
        <v>1009</v>
      </c>
      <c r="R194" s="440">
        <v>1060</v>
      </c>
      <c r="S194" s="440">
        <v>901.42270999999982</v>
      </c>
      <c r="T194" s="440">
        <v>752</v>
      </c>
      <c r="V194" s="129" t="s">
        <v>32</v>
      </c>
      <c r="W194" s="440">
        <v>586.40122999999994</v>
      </c>
    </row>
    <row r="195" spans="1:23" ht="15.75">
      <c r="B195" s="130" t="s">
        <v>35</v>
      </c>
      <c r="C195" s="287">
        <f>+C192-C194</f>
        <v>6059</v>
      </c>
      <c r="D195" s="287">
        <f t="shared" ref="D195:Q195" si="47">+D192-D194</f>
        <v>6053</v>
      </c>
      <c r="E195" s="287">
        <f t="shared" si="47"/>
        <v>1626</v>
      </c>
      <c r="F195" s="287">
        <f t="shared" si="47"/>
        <v>1828</v>
      </c>
      <c r="G195" s="287">
        <f t="shared" si="47"/>
        <v>1848</v>
      </c>
      <c r="H195" s="287">
        <f t="shared" si="47"/>
        <v>2126</v>
      </c>
      <c r="I195" s="287">
        <f t="shared" si="47"/>
        <v>2344</v>
      </c>
      <c r="J195" s="287">
        <f t="shared" si="47"/>
        <v>2408</v>
      </c>
      <c r="K195" s="287">
        <f t="shared" si="47"/>
        <v>1878</v>
      </c>
      <c r="L195" s="287">
        <f t="shared" si="47"/>
        <v>3464</v>
      </c>
      <c r="M195" s="287">
        <f t="shared" si="47"/>
        <v>2023</v>
      </c>
      <c r="N195" s="287">
        <f t="shared" si="47"/>
        <v>2060</v>
      </c>
      <c r="O195" s="287">
        <v>1346</v>
      </c>
      <c r="P195" s="444">
        <f t="shared" si="47"/>
        <v>3409</v>
      </c>
      <c r="Q195" s="444">
        <f t="shared" si="47"/>
        <v>3577</v>
      </c>
      <c r="R195" s="444">
        <v>3623</v>
      </c>
      <c r="S195" s="444">
        <v>3123.2064399999986</v>
      </c>
      <c r="T195" s="444">
        <f t="shared" ref="T195" si="48">+T192-T194</f>
        <v>2697</v>
      </c>
      <c r="V195" s="130" t="s">
        <v>35</v>
      </c>
      <c r="W195" s="444">
        <f>+W192-W194</f>
        <v>-655.07807000000093</v>
      </c>
    </row>
    <row r="196" spans="1:23" s="1" customFormat="1" ht="15.75">
      <c r="B196" s="132"/>
      <c r="C196" s="301"/>
      <c r="D196" s="301"/>
      <c r="E196" s="301"/>
      <c r="F196" s="301"/>
      <c r="G196" s="301"/>
      <c r="H196" s="301"/>
      <c r="I196" s="301"/>
      <c r="J196" s="301"/>
      <c r="K196" s="301"/>
      <c r="L196" s="301"/>
      <c r="M196" s="301"/>
      <c r="N196" s="301"/>
      <c r="O196" s="301"/>
      <c r="P196" s="441"/>
      <c r="Q196" s="441"/>
      <c r="R196" s="441"/>
      <c r="S196" s="441"/>
      <c r="T196" s="135"/>
      <c r="U196" s="744"/>
    </row>
    <row r="197" spans="1:23" ht="15.75">
      <c r="B197" s="5"/>
      <c r="C197" s="302"/>
      <c r="D197" s="302"/>
      <c r="E197" s="594"/>
      <c r="F197" s="594"/>
      <c r="G197" s="594"/>
      <c r="H197" s="594"/>
      <c r="I197" s="302"/>
      <c r="J197" s="302"/>
      <c r="K197" s="302"/>
      <c r="L197" s="302"/>
      <c r="M197" s="302"/>
      <c r="N197" s="302"/>
      <c r="O197" s="302"/>
      <c r="P197" s="302"/>
      <c r="Q197" s="302"/>
      <c r="R197" s="302"/>
      <c r="S197" s="302"/>
      <c r="T197" s="135"/>
      <c r="V197" s="810" t="s">
        <v>1315</v>
      </c>
      <c r="W197" s="444">
        <v>6728.4679999999998</v>
      </c>
    </row>
    <row r="198" spans="1:23" ht="15.75">
      <c r="A198" s="155" t="s">
        <v>469</v>
      </c>
      <c r="B198" s="149" t="s">
        <v>468</v>
      </c>
      <c r="C198" s="75"/>
      <c r="D198" s="75"/>
      <c r="E198" s="590"/>
      <c r="F198" s="75"/>
      <c r="G198" s="75"/>
      <c r="H198" s="75"/>
      <c r="I198" s="590"/>
      <c r="J198" s="75"/>
      <c r="K198" s="75"/>
      <c r="L198" s="75"/>
      <c r="M198" s="590"/>
      <c r="N198" s="75"/>
      <c r="O198" s="75"/>
      <c r="P198" s="75"/>
      <c r="Q198" s="75"/>
      <c r="R198" s="75"/>
      <c r="S198" s="75"/>
      <c r="T198" s="135"/>
    </row>
    <row r="199" spans="1:23" ht="15.75">
      <c r="B199" s="99" t="s">
        <v>511</v>
      </c>
      <c r="C199" s="302"/>
      <c r="D199" s="302"/>
      <c r="E199" s="302"/>
      <c r="F199" s="302"/>
      <c r="G199" s="302"/>
      <c r="H199" s="302"/>
      <c r="I199" s="302"/>
      <c r="J199" s="302"/>
      <c r="K199" s="302"/>
      <c r="L199" s="302"/>
      <c r="M199" s="302"/>
      <c r="N199" s="302"/>
      <c r="O199" s="302"/>
      <c r="P199" s="302"/>
      <c r="Q199" s="302"/>
      <c r="R199" s="302"/>
      <c r="S199" s="302"/>
      <c r="T199" s="135"/>
    </row>
    <row r="200" spans="1:23" ht="15.75" thickBot="1">
      <c r="B200" s="78"/>
      <c r="C200" s="208">
        <v>2016</v>
      </c>
      <c r="D200" s="208">
        <v>2017</v>
      </c>
      <c r="E200" s="208" t="s">
        <v>650</v>
      </c>
      <c r="F200" s="208" t="s">
        <v>651</v>
      </c>
      <c r="G200" s="208" t="s">
        <v>652</v>
      </c>
      <c r="H200" s="208" t="s">
        <v>653</v>
      </c>
      <c r="I200" s="208" t="s">
        <v>654</v>
      </c>
      <c r="J200" s="208" t="s">
        <v>655</v>
      </c>
      <c r="K200" s="208" t="s">
        <v>656</v>
      </c>
      <c r="L200" s="208" t="s">
        <v>657</v>
      </c>
      <c r="M200" s="208" t="s">
        <v>658</v>
      </c>
      <c r="N200" s="208" t="s">
        <v>659</v>
      </c>
      <c r="O200" s="208" t="s">
        <v>626</v>
      </c>
      <c r="P200" s="208" t="s">
        <v>958</v>
      </c>
      <c r="Q200" s="208" t="s">
        <v>1014</v>
      </c>
      <c r="R200" s="208" t="s">
        <v>1187</v>
      </c>
      <c r="S200" s="208" t="s">
        <v>1188</v>
      </c>
      <c r="T200" s="208" t="s">
        <v>1239</v>
      </c>
      <c r="V200" s="78"/>
      <c r="W200" s="208" t="s">
        <v>1292</v>
      </c>
    </row>
    <row r="201" spans="1:23" ht="15.75" thickBot="1">
      <c r="B201" s="56" t="s">
        <v>37</v>
      </c>
      <c r="C201" s="445"/>
      <c r="D201" s="445"/>
      <c r="E201" s="445"/>
      <c r="F201" s="445"/>
      <c r="G201" s="445"/>
      <c r="H201" s="445"/>
      <c r="I201" s="445"/>
      <c r="J201" s="445"/>
      <c r="K201" s="445"/>
      <c r="L201" s="445"/>
      <c r="M201" s="445"/>
      <c r="N201" s="445"/>
      <c r="O201" s="445"/>
      <c r="P201" s="445"/>
      <c r="Q201" s="445"/>
      <c r="R201" s="445"/>
      <c r="S201" s="445"/>
      <c r="T201" s="445"/>
      <c r="V201" s="56" t="s">
        <v>37</v>
      </c>
      <c r="W201" s="445"/>
    </row>
    <row r="202" spans="1:23" s="1" customFormat="1" ht="15.75" thickBot="1">
      <c r="B202" s="58" t="s">
        <v>38</v>
      </c>
      <c r="C202" s="292"/>
      <c r="D202" s="292"/>
      <c r="E202" s="292"/>
      <c r="F202" s="292"/>
      <c r="G202" s="292"/>
      <c r="H202" s="292"/>
      <c r="I202" s="292"/>
      <c r="J202" s="292"/>
      <c r="K202" s="292"/>
      <c r="L202" s="292"/>
      <c r="M202" s="292"/>
      <c r="N202" s="292"/>
      <c r="O202" s="292"/>
      <c r="P202" s="292"/>
      <c r="Q202" s="292"/>
      <c r="R202" s="292"/>
      <c r="S202" s="292"/>
      <c r="T202" s="292"/>
      <c r="U202" s="744"/>
      <c r="V202" s="58" t="s">
        <v>38</v>
      </c>
      <c r="W202" s="746"/>
    </row>
    <row r="203" spans="1:23" ht="16.5" thickBot="1">
      <c r="B203" s="60" t="s">
        <v>39</v>
      </c>
      <c r="C203" s="283">
        <v>4811.0870000000004</v>
      </c>
      <c r="D203" s="283">
        <v>7632.4707900000003</v>
      </c>
      <c r="E203" s="283">
        <v>2960.3437300000001</v>
      </c>
      <c r="F203" s="283">
        <v>4209.6983300000002</v>
      </c>
      <c r="G203" s="283">
        <v>5845.4695499999998</v>
      </c>
      <c r="H203" s="283">
        <v>6241.0284299999994</v>
      </c>
      <c r="I203" s="283">
        <v>4340.3495800000001</v>
      </c>
      <c r="J203" s="283">
        <v>0</v>
      </c>
      <c r="K203" s="283">
        <v>820.54024000000004</v>
      </c>
      <c r="L203" s="283">
        <v>4524.85167</v>
      </c>
      <c r="M203" s="283">
        <v>6892.5769099999998</v>
      </c>
      <c r="N203" s="283">
        <v>2431.4656600000003</v>
      </c>
      <c r="O203" s="283">
        <v>2740</v>
      </c>
      <c r="P203" s="453">
        <v>1225</v>
      </c>
      <c r="Q203" s="453">
        <v>2886</v>
      </c>
      <c r="R203" s="453">
        <v>2455</v>
      </c>
      <c r="S203" s="453">
        <v>3020.46731</v>
      </c>
      <c r="T203" s="453">
        <v>4206</v>
      </c>
      <c r="V203" s="60" t="s">
        <v>39</v>
      </c>
      <c r="W203" s="453">
        <v>2894.2209700000003</v>
      </c>
    </row>
    <row r="204" spans="1:23" ht="16.5" thickBot="1">
      <c r="B204" s="60" t="s">
        <v>180</v>
      </c>
      <c r="C204" s="283">
        <v>1794.2190000000001</v>
      </c>
      <c r="D204" s="283">
        <v>1689.6590000000001</v>
      </c>
      <c r="E204" s="283">
        <v>1757.05223</v>
      </c>
      <c r="F204" s="283">
        <v>2214.33592</v>
      </c>
      <c r="G204" s="283">
        <v>2150.4177799999998</v>
      </c>
      <c r="H204" s="283">
        <v>2119.5779400000001</v>
      </c>
      <c r="I204" s="283">
        <v>2170.3915000000002</v>
      </c>
      <c r="J204" s="283">
        <v>2461.7483900000002</v>
      </c>
      <c r="K204" s="283">
        <v>1860.9651399999998</v>
      </c>
      <c r="L204" s="283">
        <v>1303.0773200000001</v>
      </c>
      <c r="M204" s="283">
        <v>1222.0773200000001</v>
      </c>
      <c r="N204" s="283">
        <v>1601.5922399999999</v>
      </c>
      <c r="O204" s="283">
        <v>1589</v>
      </c>
      <c r="P204" s="453">
        <v>1419</v>
      </c>
      <c r="Q204" s="453">
        <v>2723</v>
      </c>
      <c r="R204" s="453">
        <v>3414</v>
      </c>
      <c r="S204" s="453">
        <v>3716.7065499999999</v>
      </c>
      <c r="T204" s="453">
        <v>3516</v>
      </c>
      <c r="V204" s="60" t="s">
        <v>180</v>
      </c>
      <c r="W204" s="453">
        <v>4000.8615099999997</v>
      </c>
    </row>
    <row r="205" spans="1:23" ht="16.5" thickBot="1">
      <c r="B205" s="60" t="s">
        <v>181</v>
      </c>
      <c r="C205" s="283">
        <v>1525.7124199999998</v>
      </c>
      <c r="D205" s="283">
        <v>26.759</v>
      </c>
      <c r="E205" s="283">
        <v>1407.26495</v>
      </c>
      <c r="F205" s="283">
        <v>26.091549999999998</v>
      </c>
      <c r="G205" s="283">
        <v>98.800350000000009</v>
      </c>
      <c r="H205" s="283">
        <v>94.047300000000007</v>
      </c>
      <c r="I205" s="283">
        <v>101.66050999999999</v>
      </c>
      <c r="J205" s="283">
        <v>85.848479999999995</v>
      </c>
      <c r="K205" s="283">
        <v>63.200269999999996</v>
      </c>
      <c r="L205" s="283">
        <v>74.429369999999992</v>
      </c>
      <c r="M205" s="283">
        <v>68.628219999999999</v>
      </c>
      <c r="N205" s="283">
        <v>147.84021999999999</v>
      </c>
      <c r="O205" s="283">
        <v>218</v>
      </c>
      <c r="P205" s="453">
        <v>204</v>
      </c>
      <c r="Q205" s="453">
        <v>303</v>
      </c>
      <c r="R205" s="453">
        <v>290</v>
      </c>
      <c r="S205" s="453">
        <v>136.37515999999999</v>
      </c>
      <c r="T205" s="453">
        <v>121</v>
      </c>
      <c r="V205" s="60" t="s">
        <v>181</v>
      </c>
      <c r="W205" s="453">
        <v>125.93649000000001</v>
      </c>
    </row>
    <row r="206" spans="1:23" s="1" customFormat="1" ht="16.5" thickBot="1">
      <c r="B206" s="60" t="s">
        <v>182</v>
      </c>
      <c r="C206" s="283">
        <v>1.4590000000000001</v>
      </c>
      <c r="D206" s="283">
        <v>0</v>
      </c>
      <c r="E206" s="283">
        <v>0.50731000000000004</v>
      </c>
      <c r="F206" s="283">
        <v>0</v>
      </c>
      <c r="G206" s="283">
        <v>0</v>
      </c>
      <c r="H206" s="283">
        <v>0</v>
      </c>
      <c r="I206" s="283">
        <v>0</v>
      </c>
      <c r="J206" s="283">
        <v>5.6841999999999997</v>
      </c>
      <c r="K206" s="283">
        <v>5.1675300000000002</v>
      </c>
      <c r="L206" s="283">
        <v>14.872110000000001</v>
      </c>
      <c r="M206" s="283">
        <v>-3.1183400000000003</v>
      </c>
      <c r="N206" s="283">
        <v>7.8630800000000001</v>
      </c>
      <c r="O206" s="283">
        <v>10</v>
      </c>
      <c r="P206" s="453">
        <v>19</v>
      </c>
      <c r="Q206" s="453">
        <v>3</v>
      </c>
      <c r="R206" s="453">
        <v>2</v>
      </c>
      <c r="S206" s="453">
        <v>8.4405599999999996</v>
      </c>
      <c r="T206" s="453">
        <v>8</v>
      </c>
      <c r="U206" s="744"/>
      <c r="V206" s="60" t="s">
        <v>182</v>
      </c>
      <c r="W206" s="453">
        <v>29.35829</v>
      </c>
    </row>
    <row r="207" spans="1:23" s="1" customFormat="1" ht="16.5" thickBot="1">
      <c r="B207" s="60" t="s">
        <v>113</v>
      </c>
      <c r="C207" s="283">
        <v>1129.095</v>
      </c>
      <c r="D207" s="283">
        <v>1147.7450800000001</v>
      </c>
      <c r="E207" s="283">
        <v>1158.82708</v>
      </c>
      <c r="F207" s="283">
        <v>1204.0717099999999</v>
      </c>
      <c r="G207" s="283">
        <v>1224.7464299999999</v>
      </c>
      <c r="H207" s="283">
        <v>1335.0415600000001</v>
      </c>
      <c r="I207" s="283">
        <v>1327.07656</v>
      </c>
      <c r="J207" s="283">
        <v>1327.07656</v>
      </c>
      <c r="K207" s="283">
        <v>1323.5245300000001</v>
      </c>
      <c r="L207" s="283">
        <v>1204.7401599999998</v>
      </c>
      <c r="M207" s="283">
        <v>1204.7401599999998</v>
      </c>
      <c r="N207" s="283">
        <v>1194.7401599999998</v>
      </c>
      <c r="O207" s="283">
        <v>1195</v>
      </c>
      <c r="P207" s="453">
        <v>1169</v>
      </c>
      <c r="Q207" s="453">
        <v>1569</v>
      </c>
      <c r="R207" s="453">
        <v>1541</v>
      </c>
      <c r="S207" s="453">
        <v>1543.00649</v>
      </c>
      <c r="T207" s="453">
        <v>1830</v>
      </c>
      <c r="U207" s="744"/>
      <c r="V207" s="60" t="s">
        <v>113</v>
      </c>
      <c r="W207" s="453">
        <v>1804.62805</v>
      </c>
    </row>
    <row r="208" spans="1:23" s="1" customFormat="1" ht="16.5" thickBot="1">
      <c r="B208" s="60" t="s">
        <v>183</v>
      </c>
      <c r="C208" s="283">
        <v>36.016580000000005</v>
      </c>
      <c r="D208" s="283">
        <v>0</v>
      </c>
      <c r="E208" s="283">
        <v>0</v>
      </c>
      <c r="F208" s="283">
        <v>0</v>
      </c>
      <c r="G208" s="283">
        <v>0</v>
      </c>
      <c r="H208" s="283">
        <v>0</v>
      </c>
      <c r="I208" s="283">
        <v>0</v>
      </c>
      <c r="J208" s="283">
        <v>0</v>
      </c>
      <c r="K208" s="283">
        <v>0</v>
      </c>
      <c r="L208" s="283">
        <v>0</v>
      </c>
      <c r="M208" s="283">
        <v>0</v>
      </c>
      <c r="N208" s="283">
        <v>0</v>
      </c>
      <c r="O208" s="283">
        <v>0</v>
      </c>
      <c r="P208" s="453">
        <v>0</v>
      </c>
      <c r="Q208" s="453">
        <v>151</v>
      </c>
      <c r="R208" s="453">
        <v>0</v>
      </c>
      <c r="S208" s="453">
        <v>0</v>
      </c>
      <c r="T208" s="453">
        <v>0</v>
      </c>
      <c r="U208" s="744"/>
      <c r="V208" s="60" t="s">
        <v>183</v>
      </c>
      <c r="W208" s="453">
        <v>0</v>
      </c>
    </row>
    <row r="209" spans="2:23" s="1" customFormat="1" ht="16.5" thickBot="1">
      <c r="B209" s="60" t="s">
        <v>184</v>
      </c>
      <c r="C209" s="283">
        <v>3.9380000000000002</v>
      </c>
      <c r="D209" s="283">
        <v>79.573170000000005</v>
      </c>
      <c r="E209" s="283">
        <v>18.140130000000003</v>
      </c>
      <c r="F209" s="283">
        <v>8.1252899999999997</v>
      </c>
      <c r="G209" s="283">
        <v>189.06744</v>
      </c>
      <c r="H209" s="283">
        <v>155.42836</v>
      </c>
      <c r="I209" s="283">
        <v>122.40894</v>
      </c>
      <c r="J209" s="283">
        <v>81.904800000000009</v>
      </c>
      <c r="K209" s="283">
        <v>42.55077</v>
      </c>
      <c r="L209" s="283">
        <v>35.402749999999997</v>
      </c>
      <c r="M209" s="283">
        <v>187.86411999999999</v>
      </c>
      <c r="N209" s="283">
        <v>145.20313000000002</v>
      </c>
      <c r="O209" s="283">
        <v>97</v>
      </c>
      <c r="P209" s="453">
        <v>117</v>
      </c>
      <c r="Q209" s="453">
        <v>1948</v>
      </c>
      <c r="R209" s="453">
        <v>0</v>
      </c>
      <c r="S209" s="453">
        <v>353.28140000000002</v>
      </c>
      <c r="T209" s="453">
        <v>309</v>
      </c>
      <c r="U209" s="744"/>
      <c r="V209" s="60" t="s">
        <v>184</v>
      </c>
      <c r="W209" s="453">
        <v>168.48071999999999</v>
      </c>
    </row>
    <row r="210" spans="2:23" s="135" customFormat="1" ht="16.5" thickBot="1">
      <c r="B210" s="172" t="s">
        <v>959</v>
      </c>
      <c r="C210" s="299">
        <v>0</v>
      </c>
      <c r="D210" s="299">
        <v>0</v>
      </c>
      <c r="E210" s="299">
        <v>0</v>
      </c>
      <c r="F210" s="299">
        <v>0</v>
      </c>
      <c r="G210" s="299">
        <v>0</v>
      </c>
      <c r="H210" s="299">
        <v>0</v>
      </c>
      <c r="I210" s="299">
        <v>0</v>
      </c>
      <c r="J210" s="299">
        <v>0</v>
      </c>
      <c r="K210" s="299">
        <v>0</v>
      </c>
      <c r="L210" s="299">
        <v>0</v>
      </c>
      <c r="M210" s="299">
        <v>0</v>
      </c>
      <c r="N210" s="299">
        <v>0</v>
      </c>
      <c r="O210" s="299">
        <v>0</v>
      </c>
      <c r="P210" s="454">
        <v>3342</v>
      </c>
      <c r="Q210" s="454">
        <v>113</v>
      </c>
      <c r="R210" s="454">
        <v>72</v>
      </c>
      <c r="S210" s="454">
        <v>0</v>
      </c>
      <c r="T210" s="454">
        <v>0</v>
      </c>
      <c r="U210" s="744"/>
      <c r="V210" s="172" t="s">
        <v>959</v>
      </c>
      <c r="W210" s="454">
        <v>0</v>
      </c>
    </row>
    <row r="211" spans="2:23" s="142" customFormat="1" ht="15.75" thickBot="1">
      <c r="B211" s="147" t="s">
        <v>45</v>
      </c>
      <c r="C211" s="447">
        <v>9301.527</v>
      </c>
      <c r="D211" s="447">
        <v>10576.207040000001</v>
      </c>
      <c r="E211" s="447">
        <v>7302.1354299999994</v>
      </c>
      <c r="F211" s="447">
        <v>7662.3228000000008</v>
      </c>
      <c r="G211" s="447">
        <v>9508.5015500000009</v>
      </c>
      <c r="H211" s="447">
        <v>9945.1235899999992</v>
      </c>
      <c r="I211" s="447">
        <v>8061.8870899999993</v>
      </c>
      <c r="J211" s="447">
        <v>3962.2624300000002</v>
      </c>
      <c r="K211" s="447">
        <v>4115.94848</v>
      </c>
      <c r="L211" s="447">
        <v>7157.37338</v>
      </c>
      <c r="M211" s="447">
        <v>9572.7683899999993</v>
      </c>
      <c r="N211" s="447">
        <v>5528.7044900000001</v>
      </c>
      <c r="O211" s="447">
        <v>5849</v>
      </c>
      <c r="P211" s="447">
        <v>7495</v>
      </c>
      <c r="Q211" s="447">
        <v>9696</v>
      </c>
      <c r="R211" s="447">
        <v>7774</v>
      </c>
      <c r="S211" s="447">
        <v>8778.2774699999991</v>
      </c>
      <c r="T211" s="447">
        <f>SUM(T203:T210)</f>
        <v>9990</v>
      </c>
      <c r="U211" s="744"/>
      <c r="V211" s="147" t="s">
        <v>45</v>
      </c>
      <c r="W211" s="447">
        <v>9023.48603</v>
      </c>
    </row>
    <row r="212" spans="2:23" s="142" customFormat="1" ht="15.75" thickBot="1">
      <c r="B212" s="148" t="s">
        <v>46</v>
      </c>
      <c r="C212" s="446"/>
      <c r="D212" s="446"/>
      <c r="E212" s="446"/>
      <c r="F212" s="446"/>
      <c r="G212" s="446"/>
      <c r="H212" s="446"/>
      <c r="I212" s="446"/>
      <c r="J212" s="446"/>
      <c r="K212" s="446"/>
      <c r="L212" s="446"/>
      <c r="M212" s="446"/>
      <c r="N212" s="446"/>
      <c r="O212" s="446"/>
      <c r="P212" s="446"/>
      <c r="Q212" s="446"/>
      <c r="R212" s="446"/>
      <c r="S212" s="446">
        <v>0</v>
      </c>
      <c r="T212" s="446"/>
      <c r="U212" s="744"/>
      <c r="V212" s="148" t="s">
        <v>46</v>
      </c>
      <c r="W212" s="446"/>
    </row>
    <row r="213" spans="2:23" s="1" customFormat="1" ht="16.5" thickBot="1">
      <c r="B213" s="60" t="s">
        <v>185</v>
      </c>
      <c r="C213" s="283"/>
      <c r="D213" s="283"/>
      <c r="E213" s="283"/>
      <c r="F213" s="283"/>
      <c r="G213" s="283"/>
      <c r="H213" s="283"/>
      <c r="I213" s="283"/>
      <c r="J213" s="283"/>
      <c r="K213" s="283"/>
      <c r="L213" s="283">
        <v>0</v>
      </c>
      <c r="M213" s="283">
        <v>0</v>
      </c>
      <c r="N213" s="595">
        <v>0</v>
      </c>
      <c r="O213" s="595">
        <v>0</v>
      </c>
      <c r="P213" s="455">
        <v>0</v>
      </c>
      <c r="Q213" s="455">
        <v>0</v>
      </c>
      <c r="R213" s="455">
        <v>0</v>
      </c>
      <c r="S213" s="455">
        <v>0</v>
      </c>
      <c r="T213" s="455">
        <v>0</v>
      </c>
      <c r="U213" s="744"/>
      <c r="V213" s="60" t="s">
        <v>185</v>
      </c>
      <c r="W213" s="455">
        <v>0</v>
      </c>
    </row>
    <row r="214" spans="2:23" s="221" customFormat="1" ht="16.5" thickBot="1">
      <c r="B214" s="645" t="s">
        <v>186</v>
      </c>
      <c r="C214" s="303">
        <v>703</v>
      </c>
      <c r="D214" s="303">
        <v>223766</v>
      </c>
      <c r="E214" s="303">
        <v>178545</v>
      </c>
      <c r="F214" s="303">
        <v>169563</v>
      </c>
      <c r="G214" s="303">
        <v>170979</v>
      </c>
      <c r="H214" s="303">
        <v>144942</v>
      </c>
      <c r="I214" s="303">
        <v>134420</v>
      </c>
      <c r="J214" s="303">
        <v>123710</v>
      </c>
      <c r="K214" s="303">
        <v>100456</v>
      </c>
      <c r="L214" s="303">
        <v>133484</v>
      </c>
      <c r="M214" s="303">
        <v>129849</v>
      </c>
      <c r="N214" s="303">
        <v>162269</v>
      </c>
      <c r="O214" s="303">
        <v>158463</v>
      </c>
      <c r="P214" s="303">
        <v>160069</v>
      </c>
      <c r="Q214" s="303">
        <v>0</v>
      </c>
      <c r="R214" s="303">
        <v>0</v>
      </c>
      <c r="S214" s="303">
        <v>0.16400000000000001</v>
      </c>
      <c r="T214" s="714"/>
      <c r="U214" s="744"/>
      <c r="V214" s="645" t="s">
        <v>186</v>
      </c>
      <c r="W214" s="714">
        <v>0.17399999999999999</v>
      </c>
    </row>
    <row r="215" spans="2:23" ht="16.5" thickBot="1">
      <c r="B215" s="60" t="s">
        <v>187</v>
      </c>
      <c r="C215" s="283">
        <v>49.704000000000001</v>
      </c>
      <c r="D215" s="283">
        <v>47.05189</v>
      </c>
      <c r="E215" s="283">
        <v>46.38879</v>
      </c>
      <c r="F215" s="283">
        <v>45.725699999999996</v>
      </c>
      <c r="G215" s="283">
        <v>45.062609999999999</v>
      </c>
      <c r="H215" s="283">
        <v>44.399519999999995</v>
      </c>
      <c r="I215" s="283">
        <v>43.736419999999995</v>
      </c>
      <c r="J215" s="283">
        <v>43.073329999999999</v>
      </c>
      <c r="K215" s="283">
        <v>42.410239999999995</v>
      </c>
      <c r="L215" s="283">
        <v>52.997150000000005</v>
      </c>
      <c r="M215" s="283">
        <v>52.334050000000005</v>
      </c>
      <c r="N215" s="283">
        <v>51.670960000000001</v>
      </c>
      <c r="O215" s="283">
        <v>51</v>
      </c>
      <c r="P215" s="453">
        <v>58</v>
      </c>
      <c r="Q215" s="453">
        <v>21909</v>
      </c>
      <c r="R215" s="453">
        <v>21841</v>
      </c>
      <c r="S215" s="453">
        <v>26252.611390000002</v>
      </c>
      <c r="T215" s="453">
        <v>27167</v>
      </c>
      <c r="U215" s="221"/>
      <c r="V215" s="60" t="s">
        <v>187</v>
      </c>
      <c r="W215" s="453">
        <v>26861.848839999999</v>
      </c>
    </row>
    <row r="216" spans="2:23" s="1" customFormat="1" ht="16.5" thickBot="1">
      <c r="B216" s="60" t="s">
        <v>188</v>
      </c>
      <c r="C216" s="283">
        <v>56040.737999999998</v>
      </c>
      <c r="D216" s="283">
        <v>52615.105539999997</v>
      </c>
      <c r="E216" s="283">
        <v>51750.887499999997</v>
      </c>
      <c r="F216" s="283">
        <v>50886.669439999998</v>
      </c>
      <c r="G216" s="283">
        <v>50022.451420000005</v>
      </c>
      <c r="H216" s="283">
        <v>49158.233390000001</v>
      </c>
      <c r="I216" s="283">
        <v>48294.015350000001</v>
      </c>
      <c r="J216" s="283">
        <v>47425.467840000005</v>
      </c>
      <c r="K216" s="283">
        <v>46561.30833</v>
      </c>
      <c r="L216" s="283">
        <v>47570.886610000001</v>
      </c>
      <c r="M216" s="283">
        <v>46841.211670000004</v>
      </c>
      <c r="N216" s="283">
        <v>46111.537020000003</v>
      </c>
      <c r="O216" s="283">
        <v>45382</v>
      </c>
      <c r="P216" s="453">
        <v>44652</v>
      </c>
      <c r="Q216" s="453">
        <v>219568</v>
      </c>
      <c r="R216" s="453">
        <v>218871</v>
      </c>
      <c r="S216" s="453">
        <v>205646.01025999998</v>
      </c>
      <c r="T216" s="453">
        <v>204551</v>
      </c>
      <c r="U216" s="744"/>
      <c r="V216" s="60" t="s">
        <v>188</v>
      </c>
      <c r="W216" s="453">
        <v>203849.75691999999</v>
      </c>
    </row>
    <row r="217" spans="2:23" s="1" customFormat="1" ht="16.5" thickBot="1">
      <c r="B217" s="60" t="s">
        <v>189</v>
      </c>
      <c r="C217" s="283">
        <v>871.41300000000001</v>
      </c>
      <c r="D217" s="283">
        <v>535.50527</v>
      </c>
      <c r="E217" s="283">
        <v>565.4166899999999</v>
      </c>
      <c r="F217" s="283">
        <v>744.12060999999994</v>
      </c>
      <c r="G217" s="283">
        <v>636.98600999999996</v>
      </c>
      <c r="H217" s="283">
        <v>645.24162000000001</v>
      </c>
      <c r="I217" s="283">
        <v>652.8723</v>
      </c>
      <c r="J217" s="283">
        <v>653.57219999999995</v>
      </c>
      <c r="K217" s="283">
        <v>602.31506000000002</v>
      </c>
      <c r="L217" s="283">
        <v>228.29979999999998</v>
      </c>
      <c r="M217" s="283">
        <v>237.64404999999999</v>
      </c>
      <c r="N217" s="283">
        <v>233.39692000000002</v>
      </c>
      <c r="O217" s="283">
        <v>347</v>
      </c>
      <c r="P217" s="453">
        <v>278</v>
      </c>
      <c r="Q217" s="453">
        <v>288</v>
      </c>
      <c r="R217" s="453">
        <v>291</v>
      </c>
      <c r="S217" s="453">
        <v>230.43534</v>
      </c>
      <c r="T217" s="453">
        <v>137</v>
      </c>
      <c r="U217" s="744"/>
      <c r="V217" s="60" t="s">
        <v>189</v>
      </c>
      <c r="W217" s="453">
        <v>569.55511999999999</v>
      </c>
    </row>
    <row r="218" spans="2:23" s="1" customFormat="1" ht="15.75" thickBot="1">
      <c r="B218" s="58" t="s">
        <v>59</v>
      </c>
      <c r="C218" s="294">
        <v>57664.854999999996</v>
      </c>
      <c r="D218" s="294">
        <v>276963.66270000004</v>
      </c>
      <c r="E218" s="294">
        <v>230907.69298000002</v>
      </c>
      <c r="F218" s="294">
        <v>221239.51575000002</v>
      </c>
      <c r="G218" s="294">
        <v>221683.50003999998</v>
      </c>
      <c r="H218" s="294">
        <v>194789.87453</v>
      </c>
      <c r="I218" s="294">
        <v>183410.62406999999</v>
      </c>
      <c r="J218" s="294">
        <v>171832.11337000001</v>
      </c>
      <c r="K218" s="294">
        <v>147662.03362999999</v>
      </c>
      <c r="L218" s="294">
        <v>181336.18356</v>
      </c>
      <c r="M218" s="294">
        <v>176980.18977</v>
      </c>
      <c r="N218" s="294">
        <v>208665.60490000001</v>
      </c>
      <c r="O218" s="294">
        <v>204243</v>
      </c>
      <c r="P218" s="294">
        <v>205057</v>
      </c>
      <c r="Q218" s="294">
        <v>241765</v>
      </c>
      <c r="R218" s="294">
        <v>241003</v>
      </c>
      <c r="S218" s="294">
        <v>232129.22098999997</v>
      </c>
      <c r="T218" s="294">
        <f t="shared" ref="T218" si="49">SUM(T213:T217)</f>
        <v>231855</v>
      </c>
      <c r="U218" s="744"/>
      <c r="V218" s="58" t="s">
        <v>59</v>
      </c>
      <c r="W218" s="294">
        <v>231281.33487999998</v>
      </c>
    </row>
    <row r="219" spans="2:23" s="1" customFormat="1" ht="15.75" thickBot="1">
      <c r="B219" s="65" t="s">
        <v>60</v>
      </c>
      <c r="C219" s="295">
        <v>66966.381999999998</v>
      </c>
      <c r="D219" s="295">
        <v>287539.86974000005</v>
      </c>
      <c r="E219" s="295">
        <v>238209.82841000002</v>
      </c>
      <c r="F219" s="295">
        <v>228901.83855000001</v>
      </c>
      <c r="G219" s="295">
        <v>231192.00159</v>
      </c>
      <c r="H219" s="295">
        <v>204734.99812</v>
      </c>
      <c r="I219" s="295">
        <v>191472.51115999999</v>
      </c>
      <c r="J219" s="295">
        <v>175794.37580000001</v>
      </c>
      <c r="K219" s="295">
        <v>151777.98210999998</v>
      </c>
      <c r="L219" s="295">
        <v>188493.55694000001</v>
      </c>
      <c r="M219" s="295">
        <v>186552.95816000001</v>
      </c>
      <c r="N219" s="295">
        <v>214194.30939000001</v>
      </c>
      <c r="O219" s="295">
        <v>210092</v>
      </c>
      <c r="P219" s="295">
        <v>212552</v>
      </c>
      <c r="Q219" s="295">
        <v>251461</v>
      </c>
      <c r="R219" s="295">
        <v>248777</v>
      </c>
      <c r="S219" s="295">
        <v>240907.49845999997</v>
      </c>
      <c r="T219" s="295">
        <f t="shared" ref="T219" si="50">+T211+T218</f>
        <v>241845</v>
      </c>
      <c r="U219" s="744"/>
      <c r="V219" s="65" t="s">
        <v>60</v>
      </c>
      <c r="W219" s="295">
        <v>240304.82090999998</v>
      </c>
    </row>
    <row r="220" spans="2:23" s="1" customFormat="1" ht="15.75" thickBot="1">
      <c r="B220" s="67"/>
      <c r="C220" s="296"/>
      <c r="D220" s="296"/>
      <c r="E220" s="296"/>
      <c r="F220" s="296"/>
      <c r="G220" s="296"/>
      <c r="H220" s="296"/>
      <c r="I220" s="296"/>
      <c r="J220" s="296"/>
      <c r="K220" s="296"/>
      <c r="L220" s="296"/>
      <c r="M220" s="296"/>
      <c r="N220" s="450"/>
      <c r="O220" s="450"/>
      <c r="P220" s="450"/>
      <c r="Q220" s="450"/>
      <c r="R220" s="450"/>
      <c r="S220" s="450">
        <v>0</v>
      </c>
      <c r="T220" s="135"/>
      <c r="U220" s="744"/>
      <c r="V220" s="67"/>
      <c r="W220" s="744"/>
    </row>
    <row r="221" spans="2:23" ht="15.75" thickBot="1">
      <c r="B221" s="56" t="s">
        <v>61</v>
      </c>
      <c r="C221" s="297"/>
      <c r="D221" s="297"/>
      <c r="E221" s="297"/>
      <c r="F221" s="297"/>
      <c r="G221" s="297"/>
      <c r="H221" s="297"/>
      <c r="I221" s="297"/>
      <c r="J221" s="297"/>
      <c r="K221" s="297"/>
      <c r="L221" s="297"/>
      <c r="M221" s="297"/>
      <c r="N221" s="297"/>
      <c r="O221" s="297"/>
      <c r="P221" s="297"/>
      <c r="Q221" s="297"/>
      <c r="R221" s="297"/>
      <c r="S221" s="297"/>
      <c r="T221" s="297"/>
      <c r="V221" s="56" t="s">
        <v>61</v>
      </c>
      <c r="W221" s="297"/>
    </row>
    <row r="222" spans="2:23" ht="15.75" thickBot="1">
      <c r="B222" s="58" t="s">
        <v>62</v>
      </c>
      <c r="C222" s="298"/>
      <c r="D222" s="298"/>
      <c r="E222" s="298"/>
      <c r="F222" s="298"/>
      <c r="G222" s="298"/>
      <c r="H222" s="298"/>
      <c r="I222" s="298"/>
      <c r="J222" s="298"/>
      <c r="K222" s="298"/>
      <c r="L222" s="298"/>
      <c r="M222" s="298"/>
      <c r="N222" s="298"/>
      <c r="O222" s="298"/>
      <c r="P222" s="298"/>
      <c r="Q222" s="298"/>
      <c r="R222" s="298"/>
      <c r="S222" s="298"/>
      <c r="T222" s="298"/>
      <c r="V222" s="58" t="s">
        <v>62</v>
      </c>
      <c r="W222" s="298"/>
    </row>
    <row r="223" spans="2:23" ht="16.5" thickBot="1">
      <c r="B223" s="60" t="s">
        <v>190</v>
      </c>
      <c r="C223" s="283">
        <v>0</v>
      </c>
      <c r="D223" s="283">
        <v>0</v>
      </c>
      <c r="E223" s="283">
        <v>0</v>
      </c>
      <c r="F223" s="283">
        <v>0</v>
      </c>
      <c r="G223" s="283">
        <v>0</v>
      </c>
      <c r="H223" s="283">
        <v>0</v>
      </c>
      <c r="I223" s="283">
        <v>0</v>
      </c>
      <c r="J223" s="283">
        <v>1240.6630500000001</v>
      </c>
      <c r="K223" s="283">
        <v>0</v>
      </c>
      <c r="L223" s="283">
        <v>0</v>
      </c>
      <c r="M223" s="283">
        <v>0</v>
      </c>
      <c r="N223" s="283">
        <v>0</v>
      </c>
      <c r="O223" s="283">
        <v>0</v>
      </c>
      <c r="P223" s="453">
        <v>0</v>
      </c>
      <c r="Q223" s="453">
        <v>0</v>
      </c>
      <c r="R223" s="453">
        <v>0</v>
      </c>
      <c r="S223" s="453">
        <v>0</v>
      </c>
      <c r="T223" s="453">
        <v>0</v>
      </c>
      <c r="V223" s="60" t="s">
        <v>190</v>
      </c>
      <c r="W223" s="453">
        <v>0</v>
      </c>
    </row>
    <row r="224" spans="2:23" ht="16.5" thickBot="1">
      <c r="B224" s="60" t="s">
        <v>191</v>
      </c>
      <c r="C224" s="283">
        <v>2089.9720000000002</v>
      </c>
      <c r="D224" s="283">
        <v>262.15836999999999</v>
      </c>
      <c r="E224" s="283">
        <v>100.83333</v>
      </c>
      <c r="F224" s="283">
        <v>104.45219</v>
      </c>
      <c r="G224" s="283">
        <v>107.15575</v>
      </c>
      <c r="H224" s="283">
        <v>127.10474000000001</v>
      </c>
      <c r="I224" s="283">
        <v>115.89825999999999</v>
      </c>
      <c r="J224" s="283">
        <v>52.311879999999995</v>
      </c>
      <c r="K224" s="283">
        <v>111.28141000000001</v>
      </c>
      <c r="L224" s="283">
        <v>227.55151999999998</v>
      </c>
      <c r="M224" s="283">
        <v>247.11226000000002</v>
      </c>
      <c r="N224" s="283">
        <v>121.59957</v>
      </c>
      <c r="O224" s="283">
        <v>389</v>
      </c>
      <c r="P224" s="453">
        <v>479</v>
      </c>
      <c r="Q224" s="453">
        <v>147</v>
      </c>
      <c r="R224" s="453">
        <v>380</v>
      </c>
      <c r="S224" s="453">
        <v>617.20746999999994</v>
      </c>
      <c r="T224" s="453">
        <v>1643</v>
      </c>
      <c r="V224" s="60" t="s">
        <v>191</v>
      </c>
      <c r="W224" s="453">
        <v>332.61834999999996</v>
      </c>
    </row>
    <row r="225" spans="2:23" ht="16.5" thickBot="1">
      <c r="B225" s="60" t="s">
        <v>192</v>
      </c>
      <c r="C225" s="283">
        <v>40.892000000000003</v>
      </c>
      <c r="D225" s="283">
        <v>184.137</v>
      </c>
      <c r="E225" s="283">
        <v>1636.48748</v>
      </c>
      <c r="F225" s="283">
        <v>227.46798000000001</v>
      </c>
      <c r="G225" s="283">
        <v>236.20139</v>
      </c>
      <c r="H225" s="283">
        <v>230.71124000000006</v>
      </c>
      <c r="I225" s="283">
        <v>306.72906999999992</v>
      </c>
      <c r="J225" s="283">
        <v>271.56617</v>
      </c>
      <c r="K225" s="283">
        <v>259.90174000000002</v>
      </c>
      <c r="L225" s="283">
        <v>217.59421999999998</v>
      </c>
      <c r="M225" s="283">
        <v>224.76383000000001</v>
      </c>
      <c r="N225" s="283">
        <v>240.35527999999999</v>
      </c>
      <c r="O225" s="283">
        <v>235</v>
      </c>
      <c r="P225" s="453">
        <v>159</v>
      </c>
      <c r="Q225" s="453">
        <v>327</v>
      </c>
      <c r="R225" s="453">
        <v>371</v>
      </c>
      <c r="S225" s="453">
        <v>282.42048999999997</v>
      </c>
      <c r="T225" s="453">
        <v>248</v>
      </c>
      <c r="V225" s="60" t="s">
        <v>192</v>
      </c>
      <c r="W225" s="453">
        <v>0</v>
      </c>
    </row>
    <row r="226" spans="2:23" s="1" customFormat="1" ht="16.5" thickBot="1">
      <c r="B226" s="60" t="s">
        <v>193</v>
      </c>
      <c r="C226" s="283">
        <v>11.651</v>
      </c>
      <c r="D226" s="283">
        <v>0</v>
      </c>
      <c r="E226" s="283">
        <v>17.333490000000001</v>
      </c>
      <c r="F226" s="283">
        <v>3.9153699999999998</v>
      </c>
      <c r="G226" s="283">
        <v>2.7907100000000002</v>
      </c>
      <c r="H226" s="283">
        <v>1.9128800000000001</v>
      </c>
      <c r="I226" s="283">
        <v>3.62263</v>
      </c>
      <c r="J226" s="283">
        <v>0</v>
      </c>
      <c r="K226" s="283">
        <v>0</v>
      </c>
      <c r="L226" s="283">
        <v>0</v>
      </c>
      <c r="M226" s="283">
        <v>0</v>
      </c>
      <c r="N226" s="283">
        <v>0</v>
      </c>
      <c r="O226" s="283">
        <v>0</v>
      </c>
      <c r="P226" s="453">
        <v>0</v>
      </c>
      <c r="Q226" s="453">
        <v>0</v>
      </c>
      <c r="R226" s="453">
        <v>0</v>
      </c>
      <c r="S226" s="453">
        <v>0</v>
      </c>
      <c r="T226" s="453">
        <v>0</v>
      </c>
      <c r="U226" s="744"/>
      <c r="V226" s="60" t="s">
        <v>193</v>
      </c>
      <c r="W226" s="453">
        <v>0</v>
      </c>
    </row>
    <row r="227" spans="2:23" s="1" customFormat="1" ht="16.5" thickBot="1">
      <c r="B227" s="60" t="s">
        <v>194</v>
      </c>
      <c r="C227" s="283">
        <v>483.81599999999997</v>
      </c>
      <c r="D227" s="283">
        <v>399.12099999999998</v>
      </c>
      <c r="E227" s="283">
        <v>325.68234999999999</v>
      </c>
      <c r="F227" s="283">
        <v>317.73381999999992</v>
      </c>
      <c r="G227" s="283">
        <v>310.14509999999996</v>
      </c>
      <c r="H227" s="283">
        <v>49.533729999999984</v>
      </c>
      <c r="I227" s="283">
        <v>20.591940000000061</v>
      </c>
      <c r="J227" s="283">
        <v>24.260960000000079</v>
      </c>
      <c r="K227" s="283">
        <v>27.394239999999932</v>
      </c>
      <c r="L227" s="283">
        <v>38.132859999999987</v>
      </c>
      <c r="M227" s="283">
        <v>38.321949999999951</v>
      </c>
      <c r="N227" s="283">
        <v>44.198779999999914</v>
      </c>
      <c r="O227" s="283">
        <v>-985</v>
      </c>
      <c r="P227" s="453">
        <v>275</v>
      </c>
      <c r="Q227" s="453">
        <v>703</v>
      </c>
      <c r="R227" s="453">
        <v>33</v>
      </c>
      <c r="S227" s="453">
        <v>43.262989999999988</v>
      </c>
      <c r="T227" s="453">
        <v>58</v>
      </c>
      <c r="U227" s="744"/>
      <c r="V227" s="60" t="s">
        <v>194</v>
      </c>
      <c r="W227" s="453">
        <v>0</v>
      </c>
    </row>
    <row r="228" spans="2:23" s="1" customFormat="1" ht="16.5" thickBot="1">
      <c r="B228" s="60" t="s">
        <v>195</v>
      </c>
      <c r="C228" s="283">
        <v>536.35900000000004</v>
      </c>
      <c r="D228" s="283">
        <v>583.25800000000004</v>
      </c>
      <c r="E228" s="283">
        <v>1979.5033199999998</v>
      </c>
      <c r="F228" s="283">
        <v>549.11716999999987</v>
      </c>
      <c r="G228" s="283">
        <v>549.13720000000001</v>
      </c>
      <c r="H228" s="283">
        <v>282.15785000000005</v>
      </c>
      <c r="I228" s="283">
        <v>330.94364000000002</v>
      </c>
      <c r="J228" s="283">
        <v>295.82713000000007</v>
      </c>
      <c r="K228" s="283">
        <v>287.29597999999999</v>
      </c>
      <c r="L228" s="283">
        <v>255.72707999999994</v>
      </c>
      <c r="M228" s="283">
        <v>263.08577999999994</v>
      </c>
      <c r="N228" s="283">
        <v>284.55405999999994</v>
      </c>
      <c r="O228" s="283">
        <v>-750</v>
      </c>
      <c r="P228" s="453">
        <v>435</v>
      </c>
      <c r="Q228" s="453">
        <v>1030</v>
      </c>
      <c r="R228" s="453">
        <v>404</v>
      </c>
      <c r="S228" s="453">
        <v>325.68347999999997</v>
      </c>
      <c r="T228" s="453">
        <v>306</v>
      </c>
      <c r="U228" s="744"/>
      <c r="V228" s="60" t="s">
        <v>195</v>
      </c>
      <c r="W228" s="453">
        <v>406.63369</v>
      </c>
    </row>
    <row r="229" spans="2:23" s="1" customFormat="1" ht="16.5" thickBot="1">
      <c r="B229" s="60" t="s">
        <v>196</v>
      </c>
      <c r="C229" s="283">
        <v>321.90899999999999</v>
      </c>
      <c r="D229" s="283">
        <v>117.44467</v>
      </c>
      <c r="E229" s="283">
        <v>135.73020000000002</v>
      </c>
      <c r="F229" s="283">
        <v>61.590290000000003</v>
      </c>
      <c r="G229" s="283">
        <v>10.50412</v>
      </c>
      <c r="H229" s="283">
        <v>77.913679999999999</v>
      </c>
      <c r="I229" s="283">
        <v>7436.6472800000001</v>
      </c>
      <c r="J229" s="283">
        <v>159.73886999999999</v>
      </c>
      <c r="K229" s="283">
        <v>95.959039999999987</v>
      </c>
      <c r="L229" s="283">
        <v>201.55891</v>
      </c>
      <c r="M229" s="283">
        <v>216.07115999999999</v>
      </c>
      <c r="N229" s="283">
        <v>-4.6391200000000001</v>
      </c>
      <c r="O229" s="283">
        <v>77</v>
      </c>
      <c r="P229" s="453">
        <v>89</v>
      </c>
      <c r="Q229" s="453">
        <v>4276</v>
      </c>
      <c r="R229" s="453">
        <v>4034</v>
      </c>
      <c r="S229" s="453">
        <v>4117.6294900000003</v>
      </c>
      <c r="T229" s="453">
        <v>4371</v>
      </c>
      <c r="U229" s="744"/>
      <c r="V229" s="60" t="s">
        <v>196</v>
      </c>
      <c r="W229" s="453">
        <v>7321.2254000000003</v>
      </c>
    </row>
    <row r="230" spans="2:23" s="1" customFormat="1" ht="16.5" thickBot="1">
      <c r="B230" s="60" t="s">
        <v>197</v>
      </c>
      <c r="C230" s="283">
        <v>504.51900000000001</v>
      </c>
      <c r="D230" s="283">
        <v>6.6830600000000002</v>
      </c>
      <c r="E230" s="283">
        <v>-13.63313</v>
      </c>
      <c r="F230" s="283">
        <v>219.48492000000002</v>
      </c>
      <c r="G230" s="283">
        <v>288.99624</v>
      </c>
      <c r="H230" s="283">
        <v>348.58605999999997</v>
      </c>
      <c r="I230" s="283">
        <v>445.79001</v>
      </c>
      <c r="J230" s="283">
        <v>359.95370000000003</v>
      </c>
      <c r="K230" s="283">
        <v>251.30396999999999</v>
      </c>
      <c r="L230" s="283">
        <v>312.82451000000003</v>
      </c>
      <c r="M230" s="283">
        <v>311.09944000000002</v>
      </c>
      <c r="N230" s="283">
        <v>248.18477999999999</v>
      </c>
      <c r="O230" s="283">
        <v>50</v>
      </c>
      <c r="P230" s="453">
        <v>-220</v>
      </c>
      <c r="Q230" s="453">
        <v>126</v>
      </c>
      <c r="R230" s="453">
        <v>470</v>
      </c>
      <c r="S230" s="453">
        <v>242.82413</v>
      </c>
      <c r="T230" s="453">
        <v>82</v>
      </c>
      <c r="U230" s="744"/>
      <c r="V230" s="60" t="s">
        <v>197</v>
      </c>
      <c r="W230" s="453">
        <v>-200.40707</v>
      </c>
    </row>
    <row r="231" spans="2:23" s="1" customFormat="1" ht="16.5" thickBot="1">
      <c r="B231" s="60" t="s">
        <v>512</v>
      </c>
      <c r="C231" s="283">
        <v>685.7</v>
      </c>
      <c r="D231" s="283">
        <v>210.16800000000001</v>
      </c>
      <c r="E231" s="283">
        <v>232.7165</v>
      </c>
      <c r="F231" s="283">
        <v>268.33249999999998</v>
      </c>
      <c r="G231" s="283">
        <v>250.88574</v>
      </c>
      <c r="H231" s="283">
        <v>627.00434999999993</v>
      </c>
      <c r="I231" s="283">
        <v>572.33484999999996</v>
      </c>
      <c r="J231" s="283">
        <v>560.98996</v>
      </c>
      <c r="K231" s="283">
        <v>519.61709000000008</v>
      </c>
      <c r="L231" s="283">
        <v>713.46316999999999</v>
      </c>
      <c r="M231" s="283">
        <v>720.11279000000002</v>
      </c>
      <c r="N231" s="283">
        <v>720.47079000000008</v>
      </c>
      <c r="O231" s="283">
        <v>728</v>
      </c>
      <c r="P231" s="453">
        <v>704</v>
      </c>
      <c r="Q231" s="453">
        <v>88</v>
      </c>
      <c r="R231" s="453">
        <v>752</v>
      </c>
      <c r="S231" s="453">
        <v>814.90105000000005</v>
      </c>
      <c r="T231" s="453">
        <v>827</v>
      </c>
      <c r="U231" s="744"/>
      <c r="V231" s="60" t="s">
        <v>198</v>
      </c>
      <c r="W231" s="453">
        <v>864.25709999999992</v>
      </c>
    </row>
    <row r="232" spans="2:23" s="1" customFormat="1" ht="16.5" thickBot="1">
      <c r="B232" s="60" t="s">
        <v>199</v>
      </c>
      <c r="C232" s="283">
        <v>0</v>
      </c>
      <c r="D232" s="283">
        <v>5688.2420000000002</v>
      </c>
      <c r="E232" s="283">
        <v>9758.3232100000005</v>
      </c>
      <c r="F232" s="283">
        <v>9829.2682599999989</v>
      </c>
      <c r="G232" s="283">
        <v>8691.7904999999992</v>
      </c>
      <c r="H232" s="283">
        <v>8808.1124799999998</v>
      </c>
      <c r="I232" s="283">
        <v>4867.3505100000002</v>
      </c>
      <c r="J232" s="283">
        <v>4927.3183799999997</v>
      </c>
      <c r="K232" s="283">
        <v>6273.6756599999999</v>
      </c>
      <c r="L232" s="283">
        <v>2378.6024900000002</v>
      </c>
      <c r="M232" s="283">
        <v>2402.5289199999997</v>
      </c>
      <c r="N232" s="283">
        <v>2425.5372400000001</v>
      </c>
      <c r="O232" s="283">
        <v>6449</v>
      </c>
      <c r="P232" s="453">
        <v>5828</v>
      </c>
      <c r="Q232" s="453">
        <v>-654</v>
      </c>
      <c r="R232" s="453">
        <v>-502</v>
      </c>
      <c r="S232" s="453">
        <v>147146.89638999998</v>
      </c>
      <c r="T232" s="453">
        <v>144972</v>
      </c>
      <c r="U232" s="744"/>
      <c r="V232" s="60" t="s">
        <v>199</v>
      </c>
      <c r="W232" s="453">
        <v>150313.49335</v>
      </c>
    </row>
    <row r="233" spans="2:23" s="1" customFormat="1" ht="15.75" thickBot="1">
      <c r="B233" s="58" t="s">
        <v>70</v>
      </c>
      <c r="C233" s="294">
        <v>4138.4589999999989</v>
      </c>
      <c r="D233" s="294">
        <v>6867.9541000000008</v>
      </c>
      <c r="E233" s="294">
        <v>12193.47343</v>
      </c>
      <c r="F233" s="294">
        <v>11032.24533</v>
      </c>
      <c r="G233" s="294">
        <v>9898.4695499999998</v>
      </c>
      <c r="H233" s="294">
        <v>10270.87916</v>
      </c>
      <c r="I233" s="294">
        <v>13768.964550000001</v>
      </c>
      <c r="J233" s="294">
        <v>7596.8029700000006</v>
      </c>
      <c r="K233" s="294">
        <v>7539.1331500000006</v>
      </c>
      <c r="L233" s="294">
        <v>4089.7276800000004</v>
      </c>
      <c r="M233" s="294">
        <v>4160.0103499999996</v>
      </c>
      <c r="N233" s="294">
        <v>3795.70732</v>
      </c>
      <c r="O233" s="294">
        <v>6943</v>
      </c>
      <c r="P233" s="294">
        <v>7315</v>
      </c>
      <c r="Q233" s="294">
        <v>5013</v>
      </c>
      <c r="R233" s="294">
        <v>5538</v>
      </c>
      <c r="S233" s="294">
        <v>153265.14200999998</v>
      </c>
      <c r="T233" s="294">
        <f t="shared" ref="T233" si="51">SUM(T223:T232)-SUM(T225:T227)</f>
        <v>152201</v>
      </c>
      <c r="U233" s="744"/>
      <c r="V233" s="58" t="s">
        <v>70</v>
      </c>
      <c r="W233" s="294">
        <v>159037.82081999999</v>
      </c>
    </row>
    <row r="234" spans="2:23" s="1" customFormat="1" ht="15.75" thickBot="1">
      <c r="B234" s="71" t="s">
        <v>71</v>
      </c>
      <c r="C234" s="300"/>
      <c r="D234" s="300"/>
      <c r="E234" s="300"/>
      <c r="F234" s="300"/>
      <c r="G234" s="300"/>
      <c r="H234" s="300"/>
      <c r="I234" s="300"/>
      <c r="J234" s="300"/>
      <c r="K234" s="300"/>
      <c r="L234" s="300"/>
      <c r="M234" s="300"/>
      <c r="N234" s="451"/>
      <c r="O234" s="451"/>
      <c r="P234" s="451"/>
      <c r="Q234" s="451"/>
      <c r="R234" s="451"/>
      <c r="S234" s="451"/>
      <c r="T234" s="451"/>
      <c r="U234" s="744"/>
      <c r="V234" s="71" t="s">
        <v>71</v>
      </c>
      <c r="W234" s="451"/>
    </row>
    <row r="235" spans="2:23" s="1" customFormat="1" ht="16.5" thickBot="1">
      <c r="B235" s="60" t="s">
        <v>198</v>
      </c>
      <c r="C235" s="283">
        <v>1300.029</v>
      </c>
      <c r="D235" s="285">
        <v>16972.439999999999</v>
      </c>
      <c r="E235" s="285">
        <v>18448.233100000001</v>
      </c>
      <c r="F235" s="285">
        <v>20024.345600000001</v>
      </c>
      <c r="G235" s="285">
        <v>21350.256099999999</v>
      </c>
      <c r="H235" s="285">
        <v>17650.471999999998</v>
      </c>
      <c r="I235" s="285">
        <v>18319.892</v>
      </c>
      <c r="J235" s="285">
        <v>18589.962</v>
      </c>
      <c r="K235" s="285">
        <v>18135.815399999999</v>
      </c>
      <c r="L235" s="285">
        <v>15712.804399999999</v>
      </c>
      <c r="M235" s="285">
        <v>17667.252199999999</v>
      </c>
      <c r="N235" s="285">
        <v>19694.451799999999</v>
      </c>
      <c r="O235" s="595">
        <v>2146</v>
      </c>
      <c r="P235" s="455">
        <v>1921</v>
      </c>
      <c r="Q235" s="455">
        <v>2105</v>
      </c>
      <c r="R235" s="455">
        <v>2274</v>
      </c>
      <c r="S235" s="455">
        <v>2183.8203699999999</v>
      </c>
      <c r="T235" s="455">
        <v>2001</v>
      </c>
      <c r="U235" s="744"/>
      <c r="V235" s="60" t="s">
        <v>198</v>
      </c>
      <c r="W235" s="455">
        <v>2034.1988000000001</v>
      </c>
    </row>
    <row r="236" spans="2:23" ht="16.5" thickBot="1">
      <c r="B236" s="60" t="s">
        <v>200</v>
      </c>
      <c r="C236" s="283">
        <v>28696.924999999999</v>
      </c>
      <c r="D236" s="285">
        <v>230876.02</v>
      </c>
      <c r="E236" s="285">
        <v>179318.913</v>
      </c>
      <c r="F236" s="285">
        <v>167820.40239999999</v>
      </c>
      <c r="G236" s="285">
        <v>168085.82620000001</v>
      </c>
      <c r="H236" s="285">
        <v>142871.17689999999</v>
      </c>
      <c r="I236" s="285">
        <v>130678.82339999999</v>
      </c>
      <c r="J236" s="285">
        <v>118408.2193</v>
      </c>
      <c r="K236" s="285">
        <v>93036.418300000005</v>
      </c>
      <c r="L236" s="285">
        <v>132125.62650000001</v>
      </c>
      <c r="M236" s="285">
        <v>126184.0245</v>
      </c>
      <c r="N236" s="285">
        <v>160084.83660000001</v>
      </c>
      <c r="O236" s="595">
        <v>169504</v>
      </c>
      <c r="P236" s="455">
        <v>168408</v>
      </c>
      <c r="Q236" s="455">
        <v>158000</v>
      </c>
      <c r="R236" s="455">
        <v>151000</v>
      </c>
      <c r="S236" s="455">
        <v>0</v>
      </c>
      <c r="T236" s="455">
        <v>0</v>
      </c>
      <c r="V236" s="60" t="s">
        <v>200</v>
      </c>
      <c r="W236" s="455">
        <v>0</v>
      </c>
    </row>
    <row r="237" spans="2:23" ht="18.95" customHeight="1" thickBot="1">
      <c r="B237" s="60" t="s">
        <v>201</v>
      </c>
      <c r="C237" s="283">
        <v>0</v>
      </c>
      <c r="D237" s="283">
        <v>0</v>
      </c>
      <c r="E237" s="283">
        <v>0</v>
      </c>
      <c r="F237" s="283">
        <v>0</v>
      </c>
      <c r="G237" s="283">
        <v>0</v>
      </c>
      <c r="H237" s="283">
        <v>0</v>
      </c>
      <c r="I237" s="283">
        <v>0</v>
      </c>
      <c r="J237" s="283">
        <v>0</v>
      </c>
      <c r="K237" s="283">
        <v>0</v>
      </c>
      <c r="L237" s="283">
        <v>0</v>
      </c>
      <c r="M237" s="283">
        <v>0</v>
      </c>
      <c r="N237" s="595">
        <v>0</v>
      </c>
      <c r="O237" s="595">
        <v>0</v>
      </c>
      <c r="P237" s="455">
        <v>0</v>
      </c>
      <c r="Q237" s="455">
        <v>0</v>
      </c>
      <c r="R237" s="455">
        <v>0</v>
      </c>
      <c r="S237" s="455">
        <v>123.729</v>
      </c>
      <c r="T237" s="455">
        <v>0</v>
      </c>
      <c r="V237" s="60" t="s">
        <v>201</v>
      </c>
      <c r="W237" s="455">
        <v>371.18700000000001</v>
      </c>
    </row>
    <row r="238" spans="2:23" s="1" customFormat="1" ht="16.5" thickBot="1">
      <c r="B238" s="60" t="s">
        <v>202</v>
      </c>
      <c r="C238" s="283">
        <v>0</v>
      </c>
      <c r="D238" s="283">
        <v>0</v>
      </c>
      <c r="E238" s="283">
        <v>0</v>
      </c>
      <c r="F238" s="283">
        <v>0</v>
      </c>
      <c r="G238" s="283">
        <v>0</v>
      </c>
      <c r="H238" s="283">
        <v>0</v>
      </c>
      <c r="I238" s="283">
        <v>0</v>
      </c>
      <c r="J238" s="283">
        <v>0</v>
      </c>
      <c r="K238" s="283">
        <v>0</v>
      </c>
      <c r="L238" s="283">
        <v>0</v>
      </c>
      <c r="M238" s="283">
        <v>0</v>
      </c>
      <c r="N238" s="595">
        <v>0</v>
      </c>
      <c r="O238" s="595">
        <v>0</v>
      </c>
      <c r="P238" s="455">
        <v>0</v>
      </c>
      <c r="Q238" s="455">
        <v>47855</v>
      </c>
      <c r="R238" s="455">
        <v>47855</v>
      </c>
      <c r="S238" s="455">
        <v>40101.012000000002</v>
      </c>
      <c r="T238" s="455">
        <v>39711</v>
      </c>
      <c r="U238" s="744"/>
      <c r="V238" s="60" t="s">
        <v>202</v>
      </c>
      <c r="W238" s="455">
        <v>40182.257509999996</v>
      </c>
    </row>
    <row r="239" spans="2:23" s="1" customFormat="1" ht="15.75" thickBot="1">
      <c r="B239" s="58" t="s">
        <v>73</v>
      </c>
      <c r="C239" s="294">
        <v>29996.953999999998</v>
      </c>
      <c r="D239" s="294">
        <v>247848.46</v>
      </c>
      <c r="E239" s="294">
        <v>197767.14610000001</v>
      </c>
      <c r="F239" s="294">
        <v>187844.74799999999</v>
      </c>
      <c r="G239" s="294">
        <v>189436.08230000001</v>
      </c>
      <c r="H239" s="294">
        <v>160521.6489</v>
      </c>
      <c r="I239" s="294">
        <v>148998.71539999999</v>
      </c>
      <c r="J239" s="294">
        <v>136998.1813</v>
      </c>
      <c r="K239" s="294">
        <v>111172.23370000001</v>
      </c>
      <c r="L239" s="294">
        <v>147838.43090000001</v>
      </c>
      <c r="M239" s="294">
        <v>143851.27669999999</v>
      </c>
      <c r="N239" s="294">
        <v>179779.28840000002</v>
      </c>
      <c r="O239" s="294">
        <v>171650</v>
      </c>
      <c r="P239" s="294">
        <v>170329</v>
      </c>
      <c r="Q239" s="294">
        <v>207960</v>
      </c>
      <c r="R239" s="294">
        <v>201129</v>
      </c>
      <c r="S239" s="294">
        <v>42408.561370000003</v>
      </c>
      <c r="T239" s="448">
        <f t="shared" ref="T239" si="52">SUM(T235:T238)</f>
        <v>41712</v>
      </c>
      <c r="U239" s="744"/>
      <c r="V239" s="58" t="s">
        <v>73</v>
      </c>
      <c r="W239" s="448">
        <v>42587.643309999999</v>
      </c>
    </row>
    <row r="240" spans="2:23" s="1" customFormat="1" ht="15.75" thickBot="1">
      <c r="B240" s="65" t="s">
        <v>74</v>
      </c>
      <c r="C240" s="295">
        <v>34135.413</v>
      </c>
      <c r="D240" s="295">
        <v>254716.41409999999</v>
      </c>
      <c r="E240" s="295">
        <v>209960.61953000003</v>
      </c>
      <c r="F240" s="295">
        <v>198876.99333</v>
      </c>
      <c r="G240" s="295">
        <v>199334.55185000002</v>
      </c>
      <c r="H240" s="295">
        <v>170792.52806000001</v>
      </c>
      <c r="I240" s="295">
        <v>162767.67994999999</v>
      </c>
      <c r="J240" s="295">
        <v>144594.98426999999</v>
      </c>
      <c r="K240" s="295">
        <v>118711.36685000001</v>
      </c>
      <c r="L240" s="295">
        <v>151928.15858000002</v>
      </c>
      <c r="M240" s="295">
        <v>148011.28704999998</v>
      </c>
      <c r="N240" s="295">
        <v>183574.99572000001</v>
      </c>
      <c r="O240" s="295">
        <v>178593</v>
      </c>
      <c r="P240" s="295">
        <v>177644</v>
      </c>
      <c r="Q240" s="295">
        <v>212973</v>
      </c>
      <c r="R240" s="295">
        <v>206667</v>
      </c>
      <c r="S240" s="295">
        <v>195673.70337999999</v>
      </c>
      <c r="T240" s="449">
        <f t="shared" ref="T240" si="53">T233+T239</f>
        <v>193913</v>
      </c>
      <c r="U240" s="744"/>
      <c r="V240" s="65" t="s">
        <v>74</v>
      </c>
      <c r="W240" s="449">
        <v>201625.46412999998</v>
      </c>
    </row>
    <row r="241" spans="1:23" s="1" customFormat="1" ht="15.75" thickBot="1">
      <c r="B241" s="67"/>
      <c r="C241" s="296"/>
      <c r="D241" s="296"/>
      <c r="E241" s="296"/>
      <c r="F241" s="296"/>
      <c r="G241" s="296"/>
      <c r="H241" s="296"/>
      <c r="I241" s="296"/>
      <c r="J241" s="296"/>
      <c r="K241" s="296"/>
      <c r="L241" s="296"/>
      <c r="M241" s="296"/>
      <c r="N241" s="450"/>
      <c r="O241" s="450"/>
      <c r="P241" s="450"/>
      <c r="Q241" s="450"/>
      <c r="R241" s="450"/>
      <c r="S241" s="450">
        <v>0</v>
      </c>
      <c r="T241" s="135"/>
      <c r="U241" s="744"/>
      <c r="V241" s="67"/>
      <c r="W241" s="744"/>
    </row>
    <row r="242" spans="1:23" ht="15.75" thickBot="1">
      <c r="B242" s="73" t="s">
        <v>75</v>
      </c>
      <c r="C242" s="300"/>
      <c r="D242" s="300"/>
      <c r="E242" s="300"/>
      <c r="F242" s="300"/>
      <c r="G242" s="300"/>
      <c r="H242" s="300"/>
      <c r="I242" s="300"/>
      <c r="J242" s="300"/>
      <c r="K242" s="300"/>
      <c r="L242" s="300"/>
      <c r="M242" s="300"/>
      <c r="N242" s="451"/>
      <c r="O242" s="451"/>
      <c r="P242" s="451"/>
      <c r="Q242" s="451"/>
      <c r="R242" s="451"/>
      <c r="S242" s="451"/>
      <c r="T242" s="451"/>
      <c r="V242" s="73" t="s">
        <v>75</v>
      </c>
      <c r="W242" s="451"/>
    </row>
    <row r="243" spans="1:23" ht="16.5" thickBot="1">
      <c r="B243" s="60" t="s">
        <v>203</v>
      </c>
      <c r="C243" s="285">
        <v>21658.947609999999</v>
      </c>
      <c r="D243" s="285">
        <v>21658.947609999999</v>
      </c>
      <c r="E243" s="285">
        <v>21658.947609999999</v>
      </c>
      <c r="F243" s="285">
        <v>21658.947609999999</v>
      </c>
      <c r="G243" s="285">
        <v>21658.947609999999</v>
      </c>
      <c r="H243" s="285">
        <v>21658.947609999999</v>
      </c>
      <c r="I243" s="285">
        <v>21658.947609999999</v>
      </c>
      <c r="J243" s="285">
        <v>21658.947609999999</v>
      </c>
      <c r="K243" s="285">
        <v>21658.947609999999</v>
      </c>
      <c r="L243" s="285">
        <v>21658.947609999999</v>
      </c>
      <c r="M243" s="285">
        <v>21658.947609999999</v>
      </c>
      <c r="N243" s="595">
        <v>21658.947609999999</v>
      </c>
      <c r="O243" s="595">
        <v>21659</v>
      </c>
      <c r="P243" s="455">
        <v>21659</v>
      </c>
      <c r="Q243" s="455">
        <v>21659</v>
      </c>
      <c r="R243" s="455">
        <v>21659</v>
      </c>
      <c r="S243" s="455">
        <v>21658.947609999999</v>
      </c>
      <c r="T243" s="455">
        <v>21658.947609999999</v>
      </c>
      <c r="V243" s="60" t="s">
        <v>203</v>
      </c>
      <c r="W243" s="455">
        <v>21658.947609999999</v>
      </c>
    </row>
    <row r="244" spans="1:23" ht="16.5" thickBot="1">
      <c r="B244" s="60" t="s">
        <v>204</v>
      </c>
      <c r="C244" s="285">
        <v>780.92529999999999</v>
      </c>
      <c r="D244" s="285">
        <v>780.92529999999999</v>
      </c>
      <c r="E244" s="285">
        <v>780.92529999999999</v>
      </c>
      <c r="F244" s="285">
        <v>780.92529999999999</v>
      </c>
      <c r="G244" s="285">
        <v>780.92529999999999</v>
      </c>
      <c r="H244" s="285">
        <v>780.92529999999999</v>
      </c>
      <c r="I244" s="285">
        <v>780.92529999999999</v>
      </c>
      <c r="J244" s="285">
        <v>780.92529999999999</v>
      </c>
      <c r="K244" s="285">
        <v>780.92529999999999</v>
      </c>
      <c r="L244" s="285">
        <v>780.92529999999999</v>
      </c>
      <c r="M244" s="285">
        <v>780.92529999999999</v>
      </c>
      <c r="N244" s="285">
        <v>780.92529999999999</v>
      </c>
      <c r="O244" s="595">
        <v>78</v>
      </c>
      <c r="P244" s="455">
        <v>78</v>
      </c>
      <c r="Q244" s="455">
        <v>81</v>
      </c>
      <c r="R244" s="455">
        <v>81</v>
      </c>
      <c r="S244" s="455">
        <v>81.005529999999993</v>
      </c>
      <c r="T244" s="455">
        <v>81.005529999999993</v>
      </c>
      <c r="V244" s="60" t="s">
        <v>204</v>
      </c>
      <c r="W244" s="455">
        <v>81.005529999999993</v>
      </c>
    </row>
    <row r="245" spans="1:23" ht="16.5" thickBot="1">
      <c r="B245" s="60" t="s">
        <v>205</v>
      </c>
      <c r="C245" s="285">
        <v>4331.7899800000005</v>
      </c>
      <c r="D245" s="285">
        <v>4331.7899800000005</v>
      </c>
      <c r="E245" s="285">
        <v>4331.7899800000005</v>
      </c>
      <c r="F245" s="285">
        <v>4331.7899800000005</v>
      </c>
      <c r="G245" s="285">
        <v>4331.7899800000005</v>
      </c>
      <c r="H245" s="285">
        <v>4331.7899800000005</v>
      </c>
      <c r="I245" s="285">
        <v>4331.7899800000005</v>
      </c>
      <c r="J245" s="285">
        <v>4331.7899800000005</v>
      </c>
      <c r="K245" s="285">
        <v>4331.7899800000005</v>
      </c>
      <c r="L245" s="285">
        <v>4331.7899800000005</v>
      </c>
      <c r="M245" s="285">
        <v>4331.7899800000005</v>
      </c>
      <c r="N245" s="285">
        <v>4331.7899800000005</v>
      </c>
      <c r="O245" s="595">
        <v>4332</v>
      </c>
      <c r="P245" s="455">
        <v>4332</v>
      </c>
      <c r="Q245" s="455">
        <v>4332</v>
      </c>
      <c r="R245" s="455">
        <v>4332</v>
      </c>
      <c r="S245" s="455">
        <v>4331.7899800000005</v>
      </c>
      <c r="T245" s="455">
        <v>4331.7899800000005</v>
      </c>
      <c r="V245" s="60" t="s">
        <v>205</v>
      </c>
      <c r="W245" s="455">
        <v>4331.7899800000005</v>
      </c>
    </row>
    <row r="246" spans="1:23" s="1" customFormat="1" ht="16.5" thickBot="1">
      <c r="B246" s="60" t="s">
        <v>206</v>
      </c>
      <c r="C246" s="285">
        <v>6059.3990000000003</v>
      </c>
      <c r="D246" s="285">
        <v>6052.4430000000002</v>
      </c>
      <c r="E246" s="285">
        <v>1626.15625</v>
      </c>
      <c r="F246" s="285">
        <v>3453.6542999999997</v>
      </c>
      <c r="G246" s="285">
        <v>5302.48369</v>
      </c>
      <c r="H246" s="285">
        <v>7401.5309500000003</v>
      </c>
      <c r="I246" s="285">
        <v>2315.2749499999995</v>
      </c>
      <c r="J246" s="285">
        <v>4719.3615799999998</v>
      </c>
      <c r="K246" s="285">
        <v>6597.255470000001</v>
      </c>
      <c r="L246" s="285">
        <v>10067.654049999999</v>
      </c>
      <c r="M246" s="285">
        <v>12090.499020000001</v>
      </c>
      <c r="N246" s="285">
        <v>4083.22111</v>
      </c>
      <c r="O246" s="595">
        <v>5430</v>
      </c>
      <c r="P246" s="455">
        <v>8839</v>
      </c>
      <c r="Q246" s="455">
        <v>12416</v>
      </c>
      <c r="R246" s="455">
        <v>16038</v>
      </c>
      <c r="S246" s="455">
        <v>19162.348959999999</v>
      </c>
      <c r="T246" s="455">
        <v>21860</v>
      </c>
      <c r="U246" s="744"/>
      <c r="V246" s="60" t="s">
        <v>206</v>
      </c>
      <c r="W246" s="455">
        <v>12607.889660000001</v>
      </c>
    </row>
    <row r="247" spans="1:23" s="1" customFormat="1" ht="16.5" thickBot="1">
      <c r="B247" s="60" t="s">
        <v>207</v>
      </c>
      <c r="C247" s="283"/>
      <c r="D247" s="283"/>
      <c r="E247" s="283">
        <v>-148</v>
      </c>
      <c r="F247" s="283">
        <v>-200</v>
      </c>
      <c r="G247" s="283">
        <v>-217</v>
      </c>
      <c r="H247" s="283">
        <v>-231</v>
      </c>
      <c r="I247" s="283">
        <v>-382</v>
      </c>
      <c r="J247" s="283">
        <v>-291</v>
      </c>
      <c r="K247" s="283">
        <v>-302</v>
      </c>
      <c r="L247" s="283">
        <v>-274</v>
      </c>
      <c r="M247" s="283">
        <v>-320</v>
      </c>
      <c r="N247" s="595">
        <v>-236</v>
      </c>
      <c r="O247" s="595">
        <v>0</v>
      </c>
      <c r="P247" s="455">
        <v>0</v>
      </c>
      <c r="Q247" s="455">
        <v>0</v>
      </c>
      <c r="R247" s="455">
        <v>0</v>
      </c>
      <c r="S247" s="455">
        <v>-0.29699999999999999</v>
      </c>
      <c r="T247" s="455"/>
      <c r="U247" s="744"/>
      <c r="V247" s="60" t="s">
        <v>207</v>
      </c>
      <c r="W247" s="455">
        <v>-0.27600000000000002</v>
      </c>
    </row>
    <row r="248" spans="1:23" s="1" customFormat="1" ht="15.75" thickBot="1">
      <c r="B248" s="58" t="s">
        <v>84</v>
      </c>
      <c r="C248" s="294">
        <v>32831.061889999997</v>
      </c>
      <c r="D248" s="294">
        <v>32824.105889999999</v>
      </c>
      <c r="E248" s="294">
        <v>28249.81914</v>
      </c>
      <c r="F248" s="294">
        <v>30025.317189999998</v>
      </c>
      <c r="G248" s="294">
        <v>31857.146580000001</v>
      </c>
      <c r="H248" s="294">
        <v>33942.19384</v>
      </c>
      <c r="I248" s="294">
        <v>28704.937839999999</v>
      </c>
      <c r="J248" s="294">
        <v>31200.02447</v>
      </c>
      <c r="K248" s="294">
        <v>33066.918360000003</v>
      </c>
      <c r="L248" s="294">
        <v>36565.316939999997</v>
      </c>
      <c r="M248" s="294">
        <v>38542.161910000003</v>
      </c>
      <c r="N248" s="294">
        <v>30618.883999999998</v>
      </c>
      <c r="O248" s="294">
        <v>31499</v>
      </c>
      <c r="P248" s="294">
        <v>34908</v>
      </c>
      <c r="Q248" s="294">
        <v>38488</v>
      </c>
      <c r="R248" s="448">
        <v>42110</v>
      </c>
      <c r="S248" s="448">
        <v>45233.795080000004</v>
      </c>
      <c r="T248" s="448">
        <f t="shared" ref="T248" si="54">SUM(T243:T247)</f>
        <v>47931.743119999999</v>
      </c>
      <c r="U248" s="744"/>
      <c r="V248" s="58" t="s">
        <v>84</v>
      </c>
      <c r="W248" s="448">
        <v>38679.356780000002</v>
      </c>
    </row>
    <row r="249" spans="1:23" s="1" customFormat="1" ht="15.75" thickBot="1">
      <c r="A249" s="155" t="s">
        <v>469</v>
      </c>
      <c r="B249" s="74" t="s">
        <v>85</v>
      </c>
      <c r="C249" s="295">
        <v>66966.474889999998</v>
      </c>
      <c r="D249" s="295">
        <v>287540.51999</v>
      </c>
      <c r="E249" s="295">
        <v>238210.43867000003</v>
      </c>
      <c r="F249" s="295">
        <v>228902.31052</v>
      </c>
      <c r="G249" s="295">
        <v>231191.69843000002</v>
      </c>
      <c r="H249" s="295">
        <v>204734.7219</v>
      </c>
      <c r="I249" s="295">
        <v>191472.61778999999</v>
      </c>
      <c r="J249" s="295">
        <v>175795.00873999999</v>
      </c>
      <c r="K249" s="295">
        <v>151778.28521</v>
      </c>
      <c r="L249" s="295">
        <v>188493.47552000001</v>
      </c>
      <c r="M249" s="295">
        <v>186553.44895999998</v>
      </c>
      <c r="N249" s="295">
        <v>214193.87972</v>
      </c>
      <c r="O249" s="295">
        <v>210092</v>
      </c>
      <c r="P249" s="295">
        <v>212552</v>
      </c>
      <c r="Q249" s="295">
        <v>251461</v>
      </c>
      <c r="R249" s="295">
        <v>248777</v>
      </c>
      <c r="S249" s="295">
        <v>240907.49846</v>
      </c>
      <c r="T249" s="449">
        <f t="shared" ref="T249" si="55">T240+T248</f>
        <v>241844.74312</v>
      </c>
      <c r="U249" s="744"/>
      <c r="V249" s="74" t="s">
        <v>85</v>
      </c>
      <c r="W249" s="449">
        <v>240304.82090999998</v>
      </c>
    </row>
    <row r="250" spans="1:23" s="119" customFormat="1" ht="15.75">
      <c r="B250" s="136"/>
      <c r="C250" s="596"/>
      <c r="D250" s="596"/>
      <c r="E250" s="596"/>
      <c r="F250" s="596"/>
      <c r="G250" s="596"/>
      <c r="H250" s="596"/>
      <c r="I250" s="596"/>
      <c r="J250" s="596"/>
      <c r="K250" s="596"/>
      <c r="L250" s="596"/>
      <c r="M250" s="596"/>
      <c r="N250" s="596"/>
      <c r="O250" s="596">
        <v>0</v>
      </c>
      <c r="P250" s="597"/>
      <c r="Q250" s="221"/>
      <c r="R250" s="289">
        <v>0</v>
      </c>
      <c r="S250" s="289">
        <v>0</v>
      </c>
      <c r="U250" s="744"/>
    </row>
    <row r="251" spans="1:23" s="119" customFormat="1" ht="15.75" thickBot="1">
      <c r="B251" s="137"/>
      <c r="C251" s="598">
        <v>-9.2889999999897555E-2</v>
      </c>
      <c r="D251" s="598">
        <v>-0.65024999994056998</v>
      </c>
      <c r="E251" s="598">
        <v>-0.61026000000856584</v>
      </c>
      <c r="F251" s="598">
        <v>-0.4719699999805016</v>
      </c>
      <c r="G251" s="598">
        <v>0.30315999998128973</v>
      </c>
      <c r="H251" s="598">
        <v>0.27621999999246327</v>
      </c>
      <c r="I251" s="598">
        <v>-0.10662999999476597</v>
      </c>
      <c r="J251" s="598">
        <v>-0.63293999997767969</v>
      </c>
      <c r="K251" s="598">
        <v>-0.3031000000264612</v>
      </c>
      <c r="L251" s="598">
        <v>8.1419999994977843E-2</v>
      </c>
      <c r="M251" s="598">
        <v>-0.49079999997775303</v>
      </c>
      <c r="N251" s="598">
        <v>0.42967000000498956</v>
      </c>
      <c r="O251" s="598">
        <v>0</v>
      </c>
      <c r="P251" s="598">
        <v>0</v>
      </c>
      <c r="Q251" s="598">
        <v>0</v>
      </c>
      <c r="R251" s="589">
        <v>0</v>
      </c>
      <c r="S251" s="589">
        <v>0</v>
      </c>
      <c r="U251" s="221"/>
    </row>
    <row r="252" spans="1:23" s="119" customFormat="1" ht="15.75" thickBot="1">
      <c r="B252" s="138"/>
      <c r="C252" s="139"/>
      <c r="D252" s="139"/>
      <c r="E252" s="139"/>
      <c r="F252" s="139"/>
      <c r="G252" s="139"/>
      <c r="H252" s="139"/>
      <c r="I252" s="139"/>
      <c r="J252" s="139"/>
      <c r="K252" s="139"/>
      <c r="L252" s="139"/>
      <c r="M252" s="139"/>
      <c r="N252" s="141"/>
      <c r="O252" s="144"/>
      <c r="U252" s="221"/>
    </row>
    <row r="253" spans="1:23" s="119" customFormat="1">
      <c r="B253" s="140"/>
      <c r="C253" s="140"/>
      <c r="D253" s="140"/>
      <c r="E253" s="140"/>
      <c r="F253" s="140"/>
      <c r="G253" s="140"/>
      <c r="H253" s="140"/>
      <c r="I253" s="140"/>
      <c r="J253" s="140"/>
      <c r="K253" s="140"/>
      <c r="L253" s="140"/>
      <c r="M253" s="140"/>
      <c r="N253" s="140"/>
      <c r="O253" s="144"/>
      <c r="U253" s="221"/>
    </row>
    <row r="254" spans="1:23">
      <c r="B254" s="5"/>
      <c r="C254" s="5"/>
      <c r="D254" s="5"/>
      <c r="E254" s="5"/>
      <c r="F254" s="5"/>
      <c r="G254" s="5"/>
      <c r="H254" s="5"/>
      <c r="I254" s="5"/>
      <c r="J254" s="5"/>
      <c r="K254" s="5"/>
      <c r="L254" s="5"/>
      <c r="M254" s="5"/>
      <c r="N254" s="5"/>
      <c r="U254" s="221"/>
    </row>
    <row r="255" spans="1:23">
      <c r="B255" s="5"/>
      <c r="C255" s="5"/>
      <c r="D255" s="5"/>
      <c r="E255" s="5"/>
      <c r="F255" s="5"/>
      <c r="G255" s="5"/>
      <c r="H255" s="5"/>
      <c r="I255" s="5"/>
      <c r="J255" s="5"/>
      <c r="K255" s="5"/>
      <c r="L255" s="5"/>
      <c r="M255" s="5"/>
      <c r="N255" s="5"/>
    </row>
    <row r="256" spans="1:23">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sheetData>
  <phoneticPr fontId="175" type="noConversion"/>
  <hyperlinks>
    <hyperlink ref="A1" location="'Table of Contents'!A1" display="Return to Table of Contents" xr:uid="{00000000-0004-0000-0600-000000000000}"/>
  </hyperlinks>
  <pageMargins left="0.7" right="0.7" top="0.75" bottom="0.75" header="0.3" footer="0.3"/>
  <pageSetup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W86"/>
  <sheetViews>
    <sheetView showGridLines="0" zoomScale="85" zoomScaleNormal="85" workbookViewId="0">
      <pane xSplit="2" ySplit="7" topLeftCell="T15" activePane="bottomRight" state="frozen"/>
      <selection pane="topRight" activeCell="C1" sqref="C1"/>
      <selection pane="bottomLeft" activeCell="A8" sqref="A8"/>
      <selection pane="bottomRight" activeCell="W26" sqref="W26"/>
    </sheetView>
  </sheetViews>
  <sheetFormatPr baseColWidth="10" defaultColWidth="11.42578125" defaultRowHeight="15"/>
  <cols>
    <col min="1" max="1" width="4.85546875" customWidth="1"/>
    <col min="2" max="2" width="85.7109375" customWidth="1"/>
    <col min="3" max="17" width="11.42578125" customWidth="1"/>
    <col min="18" max="19" width="11.42578125" style="135"/>
    <col min="21" max="21" width="5.7109375" style="744" customWidth="1"/>
    <col min="22" max="22" width="45.7109375" bestFit="1" customWidth="1"/>
  </cols>
  <sheetData>
    <row r="1" spans="1:23">
      <c r="A1" s="3" t="s">
        <v>627</v>
      </c>
    </row>
    <row r="3" spans="1:23" ht="15.75">
      <c r="B3" s="165" t="s">
        <v>471</v>
      </c>
      <c r="C3" s="75"/>
      <c r="D3" s="75"/>
      <c r="E3" s="76"/>
      <c r="F3" s="75"/>
      <c r="G3" s="75"/>
      <c r="H3" s="75"/>
      <c r="I3" s="75"/>
      <c r="J3" s="76"/>
      <c r="K3" s="75"/>
      <c r="L3" s="75"/>
      <c r="M3" s="75"/>
      <c r="N3" s="75"/>
      <c r="O3" s="76"/>
      <c r="P3" s="75"/>
      <c r="Q3" s="75"/>
      <c r="R3" s="75"/>
      <c r="S3" s="75"/>
    </row>
    <row r="4" spans="1:23" ht="15.6" customHeight="1">
      <c r="B4" s="99" t="s">
        <v>514</v>
      </c>
      <c r="C4" s="5"/>
      <c r="D4" s="5"/>
      <c r="E4" s="5"/>
      <c r="F4" s="5"/>
      <c r="G4" s="5"/>
      <c r="H4" s="5"/>
      <c r="I4" s="5"/>
      <c r="J4" s="5"/>
      <c r="K4" s="5"/>
      <c r="L4" s="5"/>
      <c r="M4" s="5"/>
      <c r="N4" s="5"/>
      <c r="O4" s="5"/>
      <c r="P4" s="5"/>
      <c r="Q4" s="5"/>
      <c r="R4" s="5"/>
      <c r="S4" s="5"/>
    </row>
    <row r="5" spans="1:23" ht="15.75">
      <c r="B5" s="77"/>
      <c r="C5" s="77"/>
      <c r="D5" s="77"/>
      <c r="E5" s="77"/>
      <c r="F5" s="77"/>
      <c r="G5" s="77"/>
      <c r="H5" s="77"/>
      <c r="I5" s="77"/>
      <c r="J5" s="77"/>
      <c r="K5" s="77"/>
      <c r="L5" s="77"/>
      <c r="M5" s="77"/>
      <c r="N5" s="77"/>
      <c r="O5" s="77"/>
      <c r="P5" s="77"/>
      <c r="Q5" s="77"/>
      <c r="R5" s="77"/>
      <c r="S5" s="77"/>
    </row>
    <row r="6" spans="1:23">
      <c r="B6" s="78"/>
      <c r="C6" s="79">
        <v>2016</v>
      </c>
      <c r="D6" s="79">
        <v>2017</v>
      </c>
      <c r="E6" s="79" t="s">
        <v>3</v>
      </c>
      <c r="F6" s="79" t="s">
        <v>4</v>
      </c>
      <c r="G6" s="79" t="s">
        <v>5</v>
      </c>
      <c r="H6" s="79" t="s">
        <v>6</v>
      </c>
      <c r="I6" s="79" t="s">
        <v>7</v>
      </c>
      <c r="J6" s="208" t="s">
        <v>1261</v>
      </c>
      <c r="K6" s="208" t="s">
        <v>1262</v>
      </c>
      <c r="L6" s="208" t="s">
        <v>1263</v>
      </c>
      <c r="M6" s="208" t="s">
        <v>1264</v>
      </c>
      <c r="N6" s="208" t="s">
        <v>1265</v>
      </c>
      <c r="O6" s="759" t="s">
        <v>626</v>
      </c>
      <c r="P6" s="760" t="s">
        <v>958</v>
      </c>
      <c r="Q6" s="754" t="s">
        <v>1014</v>
      </c>
      <c r="R6" s="754" t="s">
        <v>1048</v>
      </c>
      <c r="S6" s="754" t="s">
        <v>1187</v>
      </c>
      <c r="T6" s="754" t="s">
        <v>1239</v>
      </c>
      <c r="V6" s="78"/>
      <c r="W6" s="754" t="s">
        <v>1292</v>
      </c>
    </row>
    <row r="7" spans="1:23" ht="6" customHeight="1">
      <c r="B7" s="128"/>
      <c r="C7" s="81"/>
      <c r="D7" s="81"/>
      <c r="E7" s="81"/>
      <c r="F7" s="81"/>
      <c r="G7" s="81"/>
      <c r="H7" s="81"/>
      <c r="I7" s="81"/>
      <c r="J7" s="77"/>
      <c r="K7" s="77"/>
      <c r="L7" s="77"/>
      <c r="M7" s="77"/>
      <c r="N7" s="77"/>
      <c r="O7" s="77"/>
      <c r="P7" s="77"/>
      <c r="Q7" s="265"/>
      <c r="R7" s="265"/>
      <c r="S7" s="265"/>
      <c r="T7" s="265"/>
    </row>
    <row r="8" spans="1:23" ht="15.75">
      <c r="B8" s="129" t="s">
        <v>16</v>
      </c>
      <c r="C8" s="13">
        <v>0</v>
      </c>
      <c r="D8" s="13">
        <v>5</v>
      </c>
      <c r="E8" s="13">
        <v>6</v>
      </c>
      <c r="F8" s="13">
        <v>1</v>
      </c>
      <c r="G8" s="13">
        <v>20</v>
      </c>
      <c r="H8" s="13">
        <v>8</v>
      </c>
      <c r="I8" s="13">
        <v>11</v>
      </c>
      <c r="J8" s="285">
        <v>21</v>
      </c>
      <c r="K8" s="285">
        <v>21</v>
      </c>
      <c r="L8" s="285">
        <v>19</v>
      </c>
      <c r="M8" s="285">
        <v>19</v>
      </c>
      <c r="N8" s="285">
        <v>21</v>
      </c>
      <c r="O8" s="285">
        <v>19</v>
      </c>
      <c r="P8" s="285">
        <v>20</v>
      </c>
      <c r="Q8" s="285">
        <v>20</v>
      </c>
      <c r="R8" s="285">
        <v>21</v>
      </c>
      <c r="S8" s="285">
        <v>22</v>
      </c>
      <c r="T8" s="285">
        <v>23</v>
      </c>
      <c r="V8" s="129" t="s">
        <v>16</v>
      </c>
      <c r="W8" s="285">
        <v>23</v>
      </c>
    </row>
    <row r="9" spans="1:23" ht="15.75">
      <c r="B9" s="129" t="s">
        <v>17</v>
      </c>
      <c r="C9" s="13">
        <v>0</v>
      </c>
      <c r="D9" s="13">
        <v>0</v>
      </c>
      <c r="E9" s="13">
        <v>0</v>
      </c>
      <c r="F9" s="13">
        <v>0</v>
      </c>
      <c r="G9" s="13">
        <v>0</v>
      </c>
      <c r="H9" s="13">
        <v>0</v>
      </c>
      <c r="I9" s="13">
        <v>0</v>
      </c>
      <c r="J9" s="285">
        <v>0</v>
      </c>
      <c r="K9" s="285">
        <v>0</v>
      </c>
      <c r="L9" s="285">
        <v>0</v>
      </c>
      <c r="M9" s="285">
        <v>0</v>
      </c>
      <c r="N9" s="285">
        <v>0</v>
      </c>
      <c r="O9" s="285">
        <v>0</v>
      </c>
      <c r="P9" s="285">
        <v>0</v>
      </c>
      <c r="Q9" s="285"/>
      <c r="R9" s="285">
        <v>0</v>
      </c>
      <c r="S9" s="285">
        <v>0</v>
      </c>
      <c r="T9" s="285">
        <v>0</v>
      </c>
      <c r="V9" s="129" t="s">
        <v>17</v>
      </c>
      <c r="W9" s="285">
        <v>0</v>
      </c>
    </row>
    <row r="10" spans="1:23" ht="15.75">
      <c r="B10" s="129" t="s">
        <v>22</v>
      </c>
      <c r="C10" s="13">
        <v>0</v>
      </c>
      <c r="D10" s="13">
        <v>0</v>
      </c>
      <c r="E10" s="13">
        <v>0</v>
      </c>
      <c r="F10" s="13">
        <v>0</v>
      </c>
      <c r="G10" s="13">
        <v>0</v>
      </c>
      <c r="H10" s="13">
        <v>0</v>
      </c>
      <c r="I10" s="13">
        <v>0</v>
      </c>
      <c r="J10" s="285">
        <v>0</v>
      </c>
      <c r="K10" s="285">
        <v>0</v>
      </c>
      <c r="L10" s="285">
        <v>0</v>
      </c>
      <c r="M10" s="285">
        <v>0</v>
      </c>
      <c r="N10" s="285">
        <v>0</v>
      </c>
      <c r="O10" s="285">
        <v>0</v>
      </c>
      <c r="P10" s="285">
        <v>0</v>
      </c>
      <c r="Q10" s="285"/>
      <c r="R10" s="285">
        <v>0</v>
      </c>
      <c r="S10" s="285">
        <v>0</v>
      </c>
      <c r="T10" s="285">
        <v>0</v>
      </c>
      <c r="V10" s="129" t="s">
        <v>22</v>
      </c>
      <c r="W10" s="285">
        <v>0</v>
      </c>
    </row>
    <row r="11" spans="1:23" ht="15.75">
      <c r="B11" s="129" t="s">
        <v>23</v>
      </c>
      <c r="C11" s="13">
        <v>3</v>
      </c>
      <c r="D11" s="13">
        <v>6</v>
      </c>
      <c r="E11" s="13">
        <v>1</v>
      </c>
      <c r="F11" s="13">
        <v>1</v>
      </c>
      <c r="G11" s="13">
        <v>3</v>
      </c>
      <c r="H11" s="13">
        <v>3</v>
      </c>
      <c r="I11" s="13">
        <v>7</v>
      </c>
      <c r="J11" s="285">
        <v>-2</v>
      </c>
      <c r="K11" s="285">
        <v>2</v>
      </c>
      <c r="L11" s="285">
        <v>3</v>
      </c>
      <c r="M11" s="285">
        <v>2</v>
      </c>
      <c r="N11" s="285">
        <v>2</v>
      </c>
      <c r="O11" s="285">
        <v>3</v>
      </c>
      <c r="P11" s="285">
        <v>3</v>
      </c>
      <c r="Q11" s="285">
        <v>4</v>
      </c>
      <c r="R11" s="285">
        <v>4</v>
      </c>
      <c r="S11" s="285">
        <v>6</v>
      </c>
      <c r="T11" s="285">
        <v>8</v>
      </c>
      <c r="V11" s="129" t="s">
        <v>23</v>
      </c>
      <c r="W11" s="285">
        <v>10</v>
      </c>
    </row>
    <row r="12" spans="1:23" ht="15.75">
      <c r="B12" s="130" t="s">
        <v>92</v>
      </c>
      <c r="C12" s="17">
        <v>-3</v>
      </c>
      <c r="D12" s="17">
        <v>-1</v>
      </c>
      <c r="E12" s="17">
        <v>5</v>
      </c>
      <c r="F12" s="17">
        <v>0</v>
      </c>
      <c r="G12" s="17">
        <v>17</v>
      </c>
      <c r="H12" s="17">
        <v>5</v>
      </c>
      <c r="I12" s="17">
        <v>4</v>
      </c>
      <c r="J12" s="761">
        <v>23</v>
      </c>
      <c r="K12" s="761">
        <v>19</v>
      </c>
      <c r="L12" s="761">
        <v>16</v>
      </c>
      <c r="M12" s="761">
        <v>17</v>
      </c>
      <c r="N12" s="761">
        <v>19</v>
      </c>
      <c r="O12" s="286">
        <v>16</v>
      </c>
      <c r="P12" s="286">
        <v>17</v>
      </c>
      <c r="Q12" s="286">
        <v>16</v>
      </c>
      <c r="R12" s="286">
        <v>17</v>
      </c>
      <c r="S12" s="286">
        <v>16</v>
      </c>
      <c r="T12" s="286">
        <v>15</v>
      </c>
      <c r="V12" s="129" t="s">
        <v>26</v>
      </c>
      <c r="W12" s="285">
        <v>10</v>
      </c>
    </row>
    <row r="13" spans="1:23" ht="15.75">
      <c r="B13" s="10"/>
      <c r="C13" s="131"/>
      <c r="D13" s="131"/>
      <c r="E13" s="131"/>
      <c r="F13" s="166"/>
      <c r="G13" s="131"/>
      <c r="H13" s="131"/>
      <c r="I13" s="131"/>
      <c r="J13" s="745"/>
      <c r="K13" s="745"/>
      <c r="L13" s="745"/>
      <c r="M13" s="745"/>
      <c r="N13" s="745"/>
      <c r="O13" s="745"/>
      <c r="P13" s="745"/>
      <c r="Q13" s="745"/>
      <c r="R13" s="745"/>
      <c r="S13" s="745"/>
      <c r="T13" s="745"/>
      <c r="V13" s="130" t="s">
        <v>1298</v>
      </c>
      <c r="W13" s="287">
        <v>3</v>
      </c>
    </row>
    <row r="14" spans="1:23" ht="15.75">
      <c r="B14" s="129" t="s">
        <v>26</v>
      </c>
      <c r="C14" s="13">
        <v>0</v>
      </c>
      <c r="D14" s="13">
        <v>1</v>
      </c>
      <c r="E14" s="13">
        <v>1</v>
      </c>
      <c r="F14" s="13">
        <v>0</v>
      </c>
      <c r="G14" s="13">
        <v>1</v>
      </c>
      <c r="H14" s="13">
        <v>7</v>
      </c>
      <c r="I14" s="13">
        <v>3</v>
      </c>
      <c r="J14" s="285">
        <v>3</v>
      </c>
      <c r="K14" s="285">
        <v>7</v>
      </c>
      <c r="L14" s="285">
        <v>7</v>
      </c>
      <c r="M14" s="285">
        <v>7</v>
      </c>
      <c r="N14" s="285">
        <v>9</v>
      </c>
      <c r="O14" s="285">
        <v>6</v>
      </c>
      <c r="P14" s="285">
        <v>7</v>
      </c>
      <c r="Q14" s="285">
        <v>7</v>
      </c>
      <c r="R14" s="285">
        <v>8</v>
      </c>
      <c r="S14" s="285">
        <v>9</v>
      </c>
      <c r="T14" s="285">
        <v>8</v>
      </c>
    </row>
    <row r="15" spans="1:23" ht="15.75">
      <c r="B15" s="129" t="s">
        <v>27</v>
      </c>
      <c r="C15" s="13">
        <v>0</v>
      </c>
      <c r="D15" s="13">
        <v>0</v>
      </c>
      <c r="E15" s="13">
        <v>0</v>
      </c>
      <c r="F15" s="13">
        <v>0</v>
      </c>
      <c r="G15" s="13">
        <v>0</v>
      </c>
      <c r="H15" s="13">
        <v>0</v>
      </c>
      <c r="I15" s="13">
        <v>0</v>
      </c>
      <c r="J15" s="285">
        <v>0</v>
      </c>
      <c r="K15" s="285">
        <v>0</v>
      </c>
      <c r="L15" s="285">
        <v>0</v>
      </c>
      <c r="M15" s="285">
        <v>0</v>
      </c>
      <c r="N15" s="285">
        <v>0</v>
      </c>
      <c r="O15" s="285">
        <v>0</v>
      </c>
      <c r="P15" s="285">
        <v>0</v>
      </c>
      <c r="Q15" s="285"/>
      <c r="R15" s="285">
        <v>0</v>
      </c>
      <c r="S15" s="285">
        <v>0</v>
      </c>
      <c r="T15" s="285">
        <v>0</v>
      </c>
      <c r="V15" s="129" t="s">
        <v>27</v>
      </c>
      <c r="W15" s="285">
        <v>0</v>
      </c>
    </row>
    <row r="16" spans="1:23" ht="15.75">
      <c r="B16" s="129" t="s">
        <v>28</v>
      </c>
      <c r="C16" s="13">
        <v>0</v>
      </c>
      <c r="D16" s="13">
        <v>0</v>
      </c>
      <c r="E16" s="13">
        <v>0</v>
      </c>
      <c r="F16" s="13">
        <v>0</v>
      </c>
      <c r="G16" s="13">
        <v>0</v>
      </c>
      <c r="H16" s="13">
        <v>1</v>
      </c>
      <c r="I16" s="13">
        <v>0</v>
      </c>
      <c r="J16" s="285">
        <v>0</v>
      </c>
      <c r="K16" s="285">
        <v>0</v>
      </c>
      <c r="L16" s="285">
        <v>0</v>
      </c>
      <c r="M16" s="285">
        <v>0</v>
      </c>
      <c r="N16" s="285">
        <v>0</v>
      </c>
      <c r="O16" s="285">
        <v>0</v>
      </c>
      <c r="P16" s="285">
        <v>0</v>
      </c>
      <c r="Q16" s="285"/>
      <c r="R16" s="285">
        <v>0</v>
      </c>
      <c r="S16" s="285">
        <v>0</v>
      </c>
      <c r="T16" s="285">
        <v>0</v>
      </c>
      <c r="V16" s="129" t="s">
        <v>28</v>
      </c>
      <c r="W16" s="285">
        <v>0</v>
      </c>
    </row>
    <row r="17" spans="2:23" ht="15.75">
      <c r="B17" s="130" t="s">
        <v>29</v>
      </c>
      <c r="C17" s="18">
        <v>-3</v>
      </c>
      <c r="D17" s="18">
        <v>-2</v>
      </c>
      <c r="E17" s="18">
        <v>4</v>
      </c>
      <c r="F17" s="18">
        <v>0</v>
      </c>
      <c r="G17" s="18">
        <v>16</v>
      </c>
      <c r="H17" s="18">
        <v>-1</v>
      </c>
      <c r="I17" s="18">
        <v>1</v>
      </c>
      <c r="J17" s="762">
        <v>20</v>
      </c>
      <c r="K17" s="762">
        <v>12</v>
      </c>
      <c r="L17" s="762">
        <v>9</v>
      </c>
      <c r="M17" s="762">
        <v>10</v>
      </c>
      <c r="N17" s="762">
        <v>10</v>
      </c>
      <c r="O17" s="287">
        <v>10</v>
      </c>
      <c r="P17" s="287">
        <v>10</v>
      </c>
      <c r="Q17" s="287">
        <v>9</v>
      </c>
      <c r="R17" s="287">
        <v>9</v>
      </c>
      <c r="S17" s="287">
        <v>7</v>
      </c>
      <c r="T17" s="287">
        <v>7</v>
      </c>
      <c r="V17" s="130" t="s">
        <v>29</v>
      </c>
      <c r="W17" s="287">
        <v>3</v>
      </c>
    </row>
    <row r="18" spans="2:23" ht="15.75">
      <c r="B18" s="129"/>
      <c r="C18" s="13"/>
      <c r="D18" s="13"/>
      <c r="E18" s="13"/>
      <c r="F18" s="13"/>
      <c r="G18" s="13"/>
      <c r="H18" s="13"/>
      <c r="I18" s="13"/>
      <c r="J18" s="285"/>
      <c r="K18" s="285"/>
      <c r="L18" s="285"/>
      <c r="M18" s="285"/>
      <c r="N18" s="285"/>
      <c r="O18" s="285"/>
      <c r="P18" s="285"/>
      <c r="Q18" s="285"/>
      <c r="R18" s="285">
        <v>0</v>
      </c>
      <c r="S18" s="285">
        <v>0</v>
      </c>
      <c r="T18" s="285">
        <v>0</v>
      </c>
    </row>
    <row r="19" spans="2:23" ht="15.75">
      <c r="B19" s="129" t="s">
        <v>30</v>
      </c>
      <c r="C19" s="13">
        <v>6</v>
      </c>
      <c r="D19" s="13">
        <v>-3</v>
      </c>
      <c r="E19" s="13">
        <v>0</v>
      </c>
      <c r="F19" s="13">
        <v>-4</v>
      </c>
      <c r="G19" s="13">
        <v>-2</v>
      </c>
      <c r="H19" s="13">
        <v>-6</v>
      </c>
      <c r="I19" s="13">
        <v>-4</v>
      </c>
      <c r="J19" s="285">
        <v>-7</v>
      </c>
      <c r="K19" s="285">
        <v>-10</v>
      </c>
      <c r="L19" s="285">
        <v>-6</v>
      </c>
      <c r="M19" s="285">
        <v>-12</v>
      </c>
      <c r="N19" s="285">
        <v>-9</v>
      </c>
      <c r="O19" s="285">
        <v>-9</v>
      </c>
      <c r="P19" s="285">
        <v>-6</v>
      </c>
      <c r="Q19" s="285">
        <v>-8</v>
      </c>
      <c r="R19" s="285">
        <v>-8</v>
      </c>
      <c r="S19" s="285">
        <v>-6</v>
      </c>
      <c r="T19" s="285">
        <v>-2</v>
      </c>
      <c r="V19" s="129" t="s">
        <v>30</v>
      </c>
      <c r="W19" s="285">
        <v>-2</v>
      </c>
    </row>
    <row r="20" spans="2:23" ht="15.75">
      <c r="B20" s="130" t="s">
        <v>31</v>
      </c>
      <c r="C20" s="18">
        <v>3</v>
      </c>
      <c r="D20" s="18">
        <v>-5</v>
      </c>
      <c r="E20" s="18">
        <v>4</v>
      </c>
      <c r="F20" s="18">
        <v>-4</v>
      </c>
      <c r="G20" s="18">
        <v>14</v>
      </c>
      <c r="H20" s="18">
        <v>-7</v>
      </c>
      <c r="I20" s="18">
        <v>-3</v>
      </c>
      <c r="J20" s="762">
        <v>13</v>
      </c>
      <c r="K20" s="762">
        <v>2</v>
      </c>
      <c r="L20" s="762">
        <v>3</v>
      </c>
      <c r="M20" s="762">
        <v>-2</v>
      </c>
      <c r="N20" s="762">
        <v>1</v>
      </c>
      <c r="O20" s="287">
        <v>1</v>
      </c>
      <c r="P20" s="287">
        <v>4</v>
      </c>
      <c r="Q20" s="287">
        <v>1</v>
      </c>
      <c r="R20" s="287">
        <v>1</v>
      </c>
      <c r="S20" s="287">
        <v>1</v>
      </c>
      <c r="T20" s="287">
        <v>5</v>
      </c>
      <c r="V20" s="130" t="s">
        <v>31</v>
      </c>
      <c r="W20" s="287">
        <v>1</v>
      </c>
    </row>
    <row r="21" spans="2:23" ht="15.75">
      <c r="B21" s="10"/>
      <c r="C21" s="131"/>
      <c r="D21" s="131"/>
      <c r="E21" s="131"/>
      <c r="F21" s="131"/>
      <c r="G21" s="131"/>
      <c r="H21" s="131"/>
      <c r="I21" s="131"/>
      <c r="J21" s="745"/>
      <c r="K21" s="745"/>
      <c r="L21" s="745"/>
      <c r="M21" s="745"/>
      <c r="N21" s="745"/>
      <c r="O21" s="745"/>
      <c r="P21" s="745"/>
      <c r="Q21" s="745"/>
      <c r="R21" s="745"/>
      <c r="S21" s="745"/>
      <c r="T21" s="745"/>
      <c r="V21" s="10"/>
      <c r="W21" s="811"/>
    </row>
    <row r="22" spans="2:23" ht="15.75">
      <c r="B22" s="129" t="s">
        <v>32</v>
      </c>
      <c r="C22" s="13">
        <v>1</v>
      </c>
      <c r="D22" s="13">
        <v>-1</v>
      </c>
      <c r="E22" s="13">
        <v>4</v>
      </c>
      <c r="F22" s="13">
        <v>-1</v>
      </c>
      <c r="G22" s="13">
        <v>6</v>
      </c>
      <c r="H22" s="13">
        <v>-13</v>
      </c>
      <c r="I22" s="13">
        <v>-5</v>
      </c>
      <c r="J22" s="285">
        <v>-6</v>
      </c>
      <c r="K22" s="285">
        <v>-5</v>
      </c>
      <c r="L22" s="285">
        <v>19</v>
      </c>
      <c r="M22" s="285">
        <v>0</v>
      </c>
      <c r="N22" s="285">
        <v>0</v>
      </c>
      <c r="O22" s="285">
        <v>0</v>
      </c>
      <c r="P22" s="285">
        <v>0</v>
      </c>
      <c r="Q22" s="285">
        <v>0</v>
      </c>
      <c r="R22" s="285">
        <v>0</v>
      </c>
      <c r="S22" s="285">
        <v>0</v>
      </c>
      <c r="T22" s="285">
        <v>0</v>
      </c>
      <c r="V22" s="129" t="s">
        <v>32</v>
      </c>
      <c r="W22" s="285">
        <v>0</v>
      </c>
    </row>
    <row r="23" spans="2:23" ht="15.75">
      <c r="B23" s="130" t="s">
        <v>35</v>
      </c>
      <c r="C23" s="18">
        <v>2</v>
      </c>
      <c r="D23" s="18">
        <v>-4</v>
      </c>
      <c r="E23" s="18">
        <v>0</v>
      </c>
      <c r="F23" s="18">
        <v>-3</v>
      </c>
      <c r="G23" s="18">
        <v>8</v>
      </c>
      <c r="H23" s="18">
        <v>6</v>
      </c>
      <c r="I23" s="18">
        <v>2</v>
      </c>
      <c r="J23" s="762">
        <v>19</v>
      </c>
      <c r="K23" s="762">
        <v>7</v>
      </c>
      <c r="L23" s="762">
        <v>-16</v>
      </c>
      <c r="M23" s="762">
        <v>-2</v>
      </c>
      <c r="N23" s="762">
        <v>1</v>
      </c>
      <c r="O23" s="287">
        <v>1</v>
      </c>
      <c r="P23" s="287">
        <v>4</v>
      </c>
      <c r="Q23" s="287">
        <v>1</v>
      </c>
      <c r="R23" s="287">
        <v>1</v>
      </c>
      <c r="S23" s="287">
        <v>1</v>
      </c>
      <c r="T23" s="287">
        <v>5</v>
      </c>
      <c r="V23" s="130" t="s">
        <v>35</v>
      </c>
      <c r="W23" s="287">
        <v>1</v>
      </c>
    </row>
    <row r="24" spans="2:23" ht="15.75">
      <c r="J24" s="265"/>
      <c r="K24" s="265"/>
      <c r="L24" s="265"/>
      <c r="M24" s="265"/>
      <c r="N24" s="265"/>
      <c r="O24" s="265"/>
      <c r="P24" s="265"/>
      <c r="Q24" s="77"/>
      <c r="R24" s="77"/>
      <c r="S24" s="77"/>
      <c r="T24" s="77"/>
      <c r="W24" s="744"/>
    </row>
    <row r="25" spans="2:23" ht="15.75">
      <c r="J25" s="265"/>
      <c r="K25" s="265"/>
      <c r="L25" s="265"/>
      <c r="M25" s="265"/>
      <c r="N25" s="265"/>
      <c r="O25" s="265"/>
      <c r="P25" s="265"/>
      <c r="Q25" s="265"/>
      <c r="R25" s="265"/>
      <c r="S25" s="265"/>
      <c r="T25" s="265"/>
      <c r="V25" s="130" t="s">
        <v>1299</v>
      </c>
      <c r="W25" s="287">
        <v>19</v>
      </c>
    </row>
    <row r="26" spans="2:23" ht="15.75">
      <c r="B26" s="19" t="s">
        <v>473</v>
      </c>
      <c r="C26" s="5"/>
      <c r="D26" s="5"/>
      <c r="E26" s="5"/>
      <c r="F26" s="5"/>
      <c r="G26" s="5"/>
      <c r="H26" s="167"/>
      <c r="I26" s="167"/>
      <c r="J26" s="149"/>
      <c r="K26" s="149"/>
      <c r="L26" s="149"/>
      <c r="M26" s="149"/>
      <c r="N26" s="149"/>
      <c r="O26" s="265"/>
      <c r="P26" s="265"/>
      <c r="Q26" s="265"/>
      <c r="R26" s="265"/>
      <c r="S26" s="265"/>
      <c r="T26" s="265"/>
    </row>
    <row r="27" spans="2:23" ht="15.75">
      <c r="B27" s="99" t="s">
        <v>472</v>
      </c>
      <c r="C27" s="5"/>
      <c r="D27" s="5"/>
      <c r="E27" s="5"/>
      <c r="F27" s="5"/>
      <c r="G27" s="5"/>
      <c r="H27" s="20"/>
      <c r="I27" s="20"/>
      <c r="J27" s="267"/>
      <c r="K27" s="267"/>
      <c r="L27" s="267"/>
      <c r="M27" s="267"/>
      <c r="N27" s="267"/>
      <c r="O27" s="265"/>
      <c r="P27" s="265"/>
      <c r="Q27" s="265"/>
      <c r="R27" s="265"/>
      <c r="S27" s="265"/>
      <c r="T27" s="265"/>
    </row>
    <row r="28" spans="2:23" ht="12.95" customHeight="1">
      <c r="B28" s="23"/>
      <c r="C28" s="5"/>
      <c r="D28" s="5"/>
      <c r="E28" s="5"/>
      <c r="F28" s="5"/>
      <c r="G28" s="5"/>
      <c r="H28" s="23"/>
      <c r="I28" s="23"/>
      <c r="J28" s="269"/>
      <c r="K28" s="269"/>
      <c r="L28" s="269"/>
      <c r="M28" s="269"/>
      <c r="N28" s="269"/>
      <c r="O28" s="265"/>
      <c r="P28" s="265"/>
      <c r="Q28" s="265"/>
      <c r="R28" s="265"/>
      <c r="S28" s="265"/>
      <c r="T28" s="265"/>
    </row>
    <row r="29" spans="2:23" s="435" customFormat="1" ht="15.75" thickBot="1">
      <c r="B29" s="78"/>
      <c r="C29" s="741">
        <v>2016</v>
      </c>
      <c r="D29" s="741">
        <v>2017</v>
      </c>
      <c r="E29" s="741" t="s">
        <v>3</v>
      </c>
      <c r="F29" s="741" t="s">
        <v>4</v>
      </c>
      <c r="G29" s="741" t="s">
        <v>5</v>
      </c>
      <c r="H29" s="741" t="s">
        <v>6</v>
      </c>
      <c r="I29" s="741" t="s">
        <v>7</v>
      </c>
      <c r="J29" s="208" t="s">
        <v>1261</v>
      </c>
      <c r="K29" s="208" t="s">
        <v>1262</v>
      </c>
      <c r="L29" s="208" t="s">
        <v>1263</v>
      </c>
      <c r="M29" s="208" t="s">
        <v>1264</v>
      </c>
      <c r="N29" s="208" t="s">
        <v>1265</v>
      </c>
      <c r="O29" s="208" t="s">
        <v>626</v>
      </c>
      <c r="P29" s="760" t="s">
        <v>958</v>
      </c>
      <c r="Q29" s="754" t="s">
        <v>1014</v>
      </c>
      <c r="R29" s="754" t="s">
        <v>1048</v>
      </c>
      <c r="S29" s="754" t="s">
        <v>1187</v>
      </c>
      <c r="T29" s="754" t="s">
        <v>1239</v>
      </c>
      <c r="U29" s="744"/>
      <c r="V29" s="78"/>
      <c r="W29" s="754" t="s">
        <v>1292</v>
      </c>
    </row>
    <row r="30" spans="2:23">
      <c r="B30" s="168" t="s">
        <v>37</v>
      </c>
      <c r="C30" s="169"/>
      <c r="D30" s="169"/>
      <c r="E30" s="169"/>
      <c r="F30" s="169"/>
      <c r="G30" s="169"/>
      <c r="H30" s="169"/>
      <c r="I30" s="169"/>
      <c r="J30" s="747"/>
      <c r="K30" s="747"/>
      <c r="L30" s="747"/>
      <c r="M30" s="747"/>
      <c r="N30" s="209"/>
      <c r="O30" s="209"/>
      <c r="P30" s="209"/>
      <c r="Q30" s="209"/>
      <c r="R30" s="209"/>
      <c r="S30" s="209"/>
      <c r="T30" s="209"/>
      <c r="V30" s="168" t="s">
        <v>37</v>
      </c>
      <c r="W30" s="209"/>
    </row>
    <row r="31" spans="2:23">
      <c r="B31" s="170" t="s">
        <v>38</v>
      </c>
      <c r="C31" s="171"/>
      <c r="D31" s="171"/>
      <c r="E31" s="171"/>
      <c r="F31" s="171"/>
      <c r="G31" s="171"/>
      <c r="H31" s="171"/>
      <c r="I31" s="171"/>
      <c r="J31" s="763"/>
      <c r="K31" s="763"/>
      <c r="L31" s="763"/>
      <c r="M31" s="763"/>
      <c r="N31" s="763"/>
      <c r="O31" s="748"/>
      <c r="P31" s="748"/>
      <c r="Q31" s="748"/>
      <c r="R31" s="748"/>
      <c r="S31" s="748"/>
      <c r="T31" s="748"/>
      <c r="V31" s="170" t="s">
        <v>38</v>
      </c>
      <c r="W31" s="748"/>
    </row>
    <row r="32" spans="2:23" s="119" customFormat="1" ht="15.75">
      <c r="B32" s="181" t="s">
        <v>39</v>
      </c>
      <c r="C32" s="146">
        <v>35</v>
      </c>
      <c r="D32" s="146">
        <v>0</v>
      </c>
      <c r="E32" s="146">
        <v>20</v>
      </c>
      <c r="F32" s="146">
        <v>6</v>
      </c>
      <c r="G32" s="146">
        <v>1</v>
      </c>
      <c r="H32" s="146">
        <v>1</v>
      </c>
      <c r="I32" s="146">
        <v>2</v>
      </c>
      <c r="J32" s="764">
        <v>1</v>
      </c>
      <c r="K32" s="764">
        <v>1</v>
      </c>
      <c r="L32" s="764">
        <v>1</v>
      </c>
      <c r="M32" s="764">
        <v>1</v>
      </c>
      <c r="N32" s="764">
        <v>1</v>
      </c>
      <c r="O32" s="211">
        <v>1.284</v>
      </c>
      <c r="P32" s="211">
        <v>1</v>
      </c>
      <c r="Q32" s="211">
        <v>1</v>
      </c>
      <c r="R32" s="211">
        <v>0</v>
      </c>
      <c r="S32" s="211">
        <v>333</v>
      </c>
      <c r="T32" s="211">
        <v>314</v>
      </c>
      <c r="U32" s="744"/>
      <c r="V32" s="181" t="s">
        <v>39</v>
      </c>
      <c r="W32" s="211">
        <v>333</v>
      </c>
    </row>
    <row r="33" spans="2:23" s="119" customFormat="1" ht="15.75">
      <c r="B33" s="181" t="s">
        <v>40</v>
      </c>
      <c r="C33" s="146">
        <v>8</v>
      </c>
      <c r="D33" s="146">
        <v>0</v>
      </c>
      <c r="E33" s="146">
        <v>0</v>
      </c>
      <c r="F33" s="146">
        <v>0</v>
      </c>
      <c r="G33" s="146">
        <v>0</v>
      </c>
      <c r="H33" s="146">
        <v>1</v>
      </c>
      <c r="I33" s="146">
        <v>2</v>
      </c>
      <c r="J33" s="764">
        <v>1</v>
      </c>
      <c r="K33" s="764">
        <v>1</v>
      </c>
      <c r="L33" s="764">
        <v>2</v>
      </c>
      <c r="M33" s="764">
        <v>1</v>
      </c>
      <c r="N33" s="764">
        <v>1</v>
      </c>
      <c r="O33" s="211">
        <v>1.0669999999999999</v>
      </c>
      <c r="P33" s="211">
        <v>12</v>
      </c>
      <c r="Q33" s="211">
        <v>7</v>
      </c>
      <c r="R33" s="211">
        <v>3</v>
      </c>
      <c r="S33" s="211">
        <v>21</v>
      </c>
      <c r="T33" s="211">
        <v>19</v>
      </c>
      <c r="U33" s="221"/>
      <c r="V33" s="181" t="s">
        <v>40</v>
      </c>
      <c r="W33" s="211">
        <v>16</v>
      </c>
    </row>
    <row r="34" spans="2:23" s="119" customFormat="1" ht="15.75">
      <c r="B34" s="181" t="s">
        <v>41</v>
      </c>
      <c r="C34" s="146">
        <v>53</v>
      </c>
      <c r="D34" s="146">
        <v>16</v>
      </c>
      <c r="E34" s="146">
        <v>21</v>
      </c>
      <c r="F34" s="146">
        <v>30</v>
      </c>
      <c r="G34" s="146">
        <v>28</v>
      </c>
      <c r="H34" s="146">
        <v>29</v>
      </c>
      <c r="I34" s="146">
        <v>7</v>
      </c>
      <c r="J34" s="764">
        <v>8</v>
      </c>
      <c r="K34" s="764">
        <v>7</v>
      </c>
      <c r="L34" s="764">
        <v>4</v>
      </c>
      <c r="M34" s="764">
        <v>1</v>
      </c>
      <c r="N34" s="764">
        <v>2</v>
      </c>
      <c r="O34" s="211">
        <v>1.1859999999999999</v>
      </c>
      <c r="P34" s="211">
        <v>0</v>
      </c>
      <c r="Q34" s="211"/>
      <c r="R34" s="211">
        <v>0</v>
      </c>
      <c r="S34" s="211">
        <v>0</v>
      </c>
      <c r="T34" s="211">
        <v>0</v>
      </c>
      <c r="U34" s="221"/>
      <c r="V34" s="181" t="s">
        <v>41</v>
      </c>
      <c r="W34" s="211" t="s">
        <v>470</v>
      </c>
    </row>
    <row r="35" spans="2:23" s="119" customFormat="1" ht="15.75">
      <c r="B35" s="181" t="s">
        <v>43</v>
      </c>
      <c r="C35" s="146">
        <v>1</v>
      </c>
      <c r="D35" s="146">
        <v>3</v>
      </c>
      <c r="E35" s="146">
        <v>1</v>
      </c>
      <c r="F35" s="146">
        <v>2</v>
      </c>
      <c r="G35" s="146">
        <v>2</v>
      </c>
      <c r="H35" s="146">
        <v>2</v>
      </c>
      <c r="I35" s="146">
        <v>3</v>
      </c>
      <c r="J35" s="764">
        <v>2</v>
      </c>
      <c r="K35" s="764">
        <v>3</v>
      </c>
      <c r="L35" s="764">
        <v>1</v>
      </c>
      <c r="M35" s="764">
        <v>2</v>
      </c>
      <c r="N35" s="764">
        <v>2</v>
      </c>
      <c r="O35" s="211">
        <v>0.59299999999999997</v>
      </c>
      <c r="P35" s="211">
        <v>1</v>
      </c>
      <c r="Q35" s="211">
        <v>7</v>
      </c>
      <c r="R35" s="211">
        <v>4</v>
      </c>
      <c r="S35" s="211">
        <v>5</v>
      </c>
      <c r="T35" s="211">
        <v>5</v>
      </c>
      <c r="U35" s="221"/>
      <c r="V35" s="181" t="s">
        <v>43</v>
      </c>
      <c r="W35" s="211">
        <v>5</v>
      </c>
    </row>
    <row r="36" spans="2:23" s="119" customFormat="1" ht="15.75">
      <c r="B36" s="181" t="s">
        <v>113</v>
      </c>
      <c r="C36" s="146">
        <v>0</v>
      </c>
      <c r="D36" s="146">
        <v>0</v>
      </c>
      <c r="E36" s="146">
        <v>0</v>
      </c>
      <c r="F36" s="146">
        <v>0</v>
      </c>
      <c r="G36" s="146">
        <v>0</v>
      </c>
      <c r="H36" s="146">
        <v>0</v>
      </c>
      <c r="I36" s="146">
        <v>0</v>
      </c>
      <c r="J36" s="764">
        <v>0</v>
      </c>
      <c r="K36" s="764">
        <v>0</v>
      </c>
      <c r="L36" s="764">
        <v>0</v>
      </c>
      <c r="M36" s="764">
        <v>0</v>
      </c>
      <c r="N36" s="764">
        <v>0</v>
      </c>
      <c r="O36" s="211">
        <v>0</v>
      </c>
      <c r="P36" s="211"/>
      <c r="Q36" s="211"/>
      <c r="R36" s="211"/>
      <c r="S36" s="211">
        <v>0</v>
      </c>
      <c r="T36" s="211">
        <v>0</v>
      </c>
      <c r="U36" s="221"/>
      <c r="V36" s="181" t="s">
        <v>113</v>
      </c>
      <c r="W36" s="211"/>
    </row>
    <row r="37" spans="2:23" s="119" customFormat="1" ht="15.75">
      <c r="B37" s="181" t="s">
        <v>44</v>
      </c>
      <c r="C37" s="146">
        <v>0</v>
      </c>
      <c r="D37" s="146">
        <v>0</v>
      </c>
      <c r="E37" s="146">
        <v>0</v>
      </c>
      <c r="F37" s="146">
        <v>0</v>
      </c>
      <c r="G37" s="146">
        <v>0</v>
      </c>
      <c r="H37" s="146">
        <v>0</v>
      </c>
      <c r="I37" s="146">
        <v>0</v>
      </c>
      <c r="J37" s="764">
        <v>0</v>
      </c>
      <c r="K37" s="764">
        <v>0</v>
      </c>
      <c r="L37" s="764">
        <v>0</v>
      </c>
      <c r="M37" s="764">
        <v>0</v>
      </c>
      <c r="N37" s="764">
        <v>0</v>
      </c>
      <c r="O37" s="211">
        <v>0</v>
      </c>
      <c r="P37" s="211"/>
      <c r="Q37" s="211"/>
      <c r="R37" s="211"/>
      <c r="S37" s="211">
        <v>0</v>
      </c>
      <c r="T37" s="211">
        <v>0</v>
      </c>
      <c r="U37" s="221"/>
      <c r="V37" s="181" t="s">
        <v>44</v>
      </c>
      <c r="W37" s="211"/>
    </row>
    <row r="38" spans="2:23">
      <c r="B38" s="173" t="s">
        <v>45</v>
      </c>
      <c r="C38" s="174">
        <f t="shared" ref="C38:N38" si="0">SUM(C32:C37)</f>
        <v>97</v>
      </c>
      <c r="D38" s="174">
        <f t="shared" si="0"/>
        <v>19</v>
      </c>
      <c r="E38" s="174">
        <f t="shared" si="0"/>
        <v>42</v>
      </c>
      <c r="F38" s="174">
        <f t="shared" si="0"/>
        <v>38</v>
      </c>
      <c r="G38" s="174">
        <f t="shared" si="0"/>
        <v>31</v>
      </c>
      <c r="H38" s="174">
        <f t="shared" si="0"/>
        <v>33</v>
      </c>
      <c r="I38" s="174">
        <f t="shared" si="0"/>
        <v>14</v>
      </c>
      <c r="J38" s="212">
        <f t="shared" si="0"/>
        <v>12</v>
      </c>
      <c r="K38" s="212">
        <f t="shared" si="0"/>
        <v>12</v>
      </c>
      <c r="L38" s="212">
        <f t="shared" si="0"/>
        <v>8</v>
      </c>
      <c r="M38" s="212">
        <f t="shared" si="0"/>
        <v>5</v>
      </c>
      <c r="N38" s="212">
        <f t="shared" si="0"/>
        <v>6</v>
      </c>
      <c r="O38" s="212">
        <v>4.13</v>
      </c>
      <c r="P38" s="212">
        <f>SUM(P32:P37)</f>
        <v>14</v>
      </c>
      <c r="Q38" s="212">
        <v>9</v>
      </c>
      <c r="R38" s="212">
        <v>7</v>
      </c>
      <c r="S38" s="212">
        <v>359</v>
      </c>
      <c r="T38" s="212">
        <v>338</v>
      </c>
      <c r="U38" s="221"/>
      <c r="V38" s="173" t="s">
        <v>45</v>
      </c>
      <c r="W38" s="212">
        <v>354</v>
      </c>
    </row>
    <row r="39" spans="2:23">
      <c r="B39" s="170" t="s">
        <v>46</v>
      </c>
      <c r="C39" s="171"/>
      <c r="D39" s="171"/>
      <c r="E39" s="171"/>
      <c r="F39" s="171"/>
      <c r="G39" s="171"/>
      <c r="H39" s="171"/>
      <c r="I39" s="171"/>
      <c r="J39" s="763"/>
      <c r="K39" s="763"/>
      <c r="L39" s="763"/>
      <c r="M39" s="763"/>
      <c r="N39" s="763"/>
      <c r="O39" s="748">
        <v>0</v>
      </c>
      <c r="P39" s="748"/>
      <c r="Q39" s="748"/>
      <c r="R39" s="748"/>
      <c r="S39" s="748">
        <v>0</v>
      </c>
      <c r="T39" s="748">
        <v>0</v>
      </c>
      <c r="V39" s="170" t="s">
        <v>46</v>
      </c>
      <c r="W39" s="748"/>
    </row>
    <row r="40" spans="2:23" s="119" customFormat="1" ht="15.75">
      <c r="B40" s="181" t="s">
        <v>47</v>
      </c>
      <c r="C40" s="146">
        <v>4</v>
      </c>
      <c r="D40" s="146">
        <v>3</v>
      </c>
      <c r="E40" s="146">
        <v>9</v>
      </c>
      <c r="F40" s="146">
        <v>22</v>
      </c>
      <c r="G40" s="146">
        <v>11</v>
      </c>
      <c r="H40" s="146">
        <v>86</v>
      </c>
      <c r="I40" s="146">
        <v>64</v>
      </c>
      <c r="J40" s="764">
        <v>44</v>
      </c>
      <c r="K40" s="764">
        <v>19</v>
      </c>
      <c r="L40" s="764">
        <v>15</v>
      </c>
      <c r="M40" s="764">
        <v>8</v>
      </c>
      <c r="N40" s="764">
        <v>85</v>
      </c>
      <c r="O40" s="211">
        <v>49.622</v>
      </c>
      <c r="P40" s="211">
        <v>52</v>
      </c>
      <c r="Q40" s="211">
        <v>54</v>
      </c>
      <c r="R40" s="211">
        <v>57</v>
      </c>
      <c r="S40" s="211">
        <v>11</v>
      </c>
      <c r="T40" s="211">
        <v>23</v>
      </c>
      <c r="U40" s="744"/>
      <c r="V40" s="181" t="s">
        <v>47</v>
      </c>
      <c r="W40" s="211">
        <v>24</v>
      </c>
    </row>
    <row r="41" spans="2:23" s="119" customFormat="1" ht="15.75">
      <c r="B41" s="181" t="s">
        <v>48</v>
      </c>
      <c r="C41" s="146">
        <v>0</v>
      </c>
      <c r="D41" s="146">
        <v>0</v>
      </c>
      <c r="E41" s="146">
        <v>0</v>
      </c>
      <c r="F41" s="146">
        <v>0</v>
      </c>
      <c r="G41" s="146">
        <v>0</v>
      </c>
      <c r="H41" s="146">
        <v>0</v>
      </c>
      <c r="I41" s="146">
        <v>0</v>
      </c>
      <c r="J41" s="764">
        <v>0</v>
      </c>
      <c r="K41" s="764">
        <v>0</v>
      </c>
      <c r="L41" s="764">
        <v>0</v>
      </c>
      <c r="M41" s="764">
        <v>0</v>
      </c>
      <c r="N41" s="764">
        <v>0</v>
      </c>
      <c r="O41" s="211">
        <v>0</v>
      </c>
      <c r="P41" s="211"/>
      <c r="Q41" s="211"/>
      <c r="R41" s="211">
        <v>0</v>
      </c>
      <c r="S41" s="211">
        <v>0</v>
      </c>
      <c r="T41" s="211">
        <v>0</v>
      </c>
      <c r="U41" s="221"/>
      <c r="V41" s="181" t="s">
        <v>48</v>
      </c>
      <c r="W41" s="211">
        <v>0</v>
      </c>
    </row>
    <row r="42" spans="2:23" s="119" customFormat="1" ht="28.5">
      <c r="B42" s="181" t="s">
        <v>94</v>
      </c>
      <c r="C42" s="146">
        <v>0</v>
      </c>
      <c r="D42" s="146">
        <v>0</v>
      </c>
      <c r="E42" s="146">
        <v>0</v>
      </c>
      <c r="F42" s="146">
        <v>0</v>
      </c>
      <c r="G42" s="146">
        <v>0</v>
      </c>
      <c r="H42" s="146">
        <v>0</v>
      </c>
      <c r="I42" s="146">
        <v>0</v>
      </c>
      <c r="J42" s="764">
        <v>0</v>
      </c>
      <c r="K42" s="764">
        <v>0</v>
      </c>
      <c r="L42" s="764">
        <v>0</v>
      </c>
      <c r="M42" s="764">
        <v>0</v>
      </c>
      <c r="N42" s="764">
        <v>0</v>
      </c>
      <c r="O42" s="211">
        <v>0</v>
      </c>
      <c r="P42" s="211"/>
      <c r="Q42" s="211"/>
      <c r="R42" s="211">
        <v>0</v>
      </c>
      <c r="S42" s="211">
        <v>0</v>
      </c>
      <c r="T42" s="211">
        <v>0</v>
      </c>
      <c r="U42" s="221"/>
      <c r="V42" s="181" t="s">
        <v>94</v>
      </c>
      <c r="W42" s="211">
        <v>0</v>
      </c>
    </row>
    <row r="43" spans="2:23" s="119" customFormat="1" ht="15.75">
      <c r="B43" s="181" t="s">
        <v>95</v>
      </c>
      <c r="C43" s="146">
        <v>0</v>
      </c>
      <c r="D43" s="146">
        <v>0</v>
      </c>
      <c r="E43" s="146">
        <v>0</v>
      </c>
      <c r="F43" s="146">
        <v>0</v>
      </c>
      <c r="G43" s="146">
        <v>0</v>
      </c>
      <c r="H43" s="146">
        <v>0</v>
      </c>
      <c r="I43" s="146">
        <v>0</v>
      </c>
      <c r="J43" s="764">
        <v>0</v>
      </c>
      <c r="K43" s="764">
        <v>0</v>
      </c>
      <c r="L43" s="764">
        <v>0</v>
      </c>
      <c r="M43" s="764">
        <v>0</v>
      </c>
      <c r="N43" s="764">
        <v>0</v>
      </c>
      <c r="O43" s="211">
        <v>0</v>
      </c>
      <c r="P43" s="211"/>
      <c r="Q43" s="211"/>
      <c r="R43" s="211">
        <v>0</v>
      </c>
      <c r="S43" s="211">
        <v>0</v>
      </c>
      <c r="T43" s="211">
        <v>0</v>
      </c>
      <c r="U43" s="221"/>
      <c r="V43" s="181" t="s">
        <v>95</v>
      </c>
      <c r="W43" s="211">
        <v>0</v>
      </c>
    </row>
    <row r="44" spans="2:23" s="119" customFormat="1" ht="15.75">
      <c r="B44" s="181" t="s">
        <v>40</v>
      </c>
      <c r="C44" s="146">
        <v>0</v>
      </c>
      <c r="D44" s="146">
        <v>1</v>
      </c>
      <c r="E44" s="146">
        <v>2</v>
      </c>
      <c r="F44" s="146">
        <v>1</v>
      </c>
      <c r="G44" s="146">
        <v>14</v>
      </c>
      <c r="H44" s="146">
        <v>8</v>
      </c>
      <c r="I44" s="146">
        <v>4</v>
      </c>
      <c r="J44" s="764">
        <v>10</v>
      </c>
      <c r="K44" s="764">
        <v>11</v>
      </c>
      <c r="L44" s="764">
        <v>14</v>
      </c>
      <c r="M44" s="764">
        <v>21</v>
      </c>
      <c r="N44" s="764">
        <v>28</v>
      </c>
      <c r="O44" s="211">
        <v>30.213000000000001</v>
      </c>
      <c r="P44" s="211">
        <v>34</v>
      </c>
      <c r="Q44" s="211">
        <v>32</v>
      </c>
      <c r="R44" s="211">
        <v>29</v>
      </c>
      <c r="S44" s="211">
        <v>1</v>
      </c>
      <c r="T44" s="211">
        <v>1</v>
      </c>
      <c r="U44" s="221"/>
      <c r="V44" s="181" t="s">
        <v>40</v>
      </c>
      <c r="W44" s="211">
        <v>0</v>
      </c>
    </row>
    <row r="45" spans="2:23" s="119" customFormat="1" ht="15.75">
      <c r="B45" s="181" t="s">
        <v>51</v>
      </c>
      <c r="C45" s="146">
        <v>0</v>
      </c>
      <c r="D45" s="146">
        <v>0</v>
      </c>
      <c r="E45" s="146">
        <v>0</v>
      </c>
      <c r="F45" s="146">
        <v>0</v>
      </c>
      <c r="G45" s="146">
        <v>0</v>
      </c>
      <c r="H45" s="146">
        <v>0</v>
      </c>
      <c r="I45" s="146">
        <v>0</v>
      </c>
      <c r="J45" s="764">
        <v>0</v>
      </c>
      <c r="K45" s="764">
        <v>0</v>
      </c>
      <c r="L45" s="764">
        <v>0</v>
      </c>
      <c r="M45" s="764">
        <v>0</v>
      </c>
      <c r="N45" s="764">
        <v>0</v>
      </c>
      <c r="O45" s="211">
        <v>0</v>
      </c>
      <c r="P45" s="211"/>
      <c r="Q45" s="211"/>
      <c r="R45" s="211">
        <v>0</v>
      </c>
      <c r="S45" s="211">
        <v>0</v>
      </c>
      <c r="T45" s="211">
        <v>0</v>
      </c>
      <c r="U45" s="221"/>
      <c r="V45" s="181" t="s">
        <v>42</v>
      </c>
      <c r="W45" s="211">
        <v>0</v>
      </c>
    </row>
    <row r="46" spans="2:23" s="119" customFormat="1" ht="15.75">
      <c r="B46" s="181" t="s">
        <v>52</v>
      </c>
      <c r="C46" s="146">
        <v>484</v>
      </c>
      <c r="D46" s="146">
        <v>740</v>
      </c>
      <c r="E46" s="146">
        <v>784</v>
      </c>
      <c r="F46" s="146">
        <v>854</v>
      </c>
      <c r="G46" s="146">
        <v>878</v>
      </c>
      <c r="H46" s="146">
        <v>880</v>
      </c>
      <c r="I46" s="146">
        <v>917</v>
      </c>
      <c r="J46" s="764">
        <v>862</v>
      </c>
      <c r="K46" s="764">
        <v>891</v>
      </c>
      <c r="L46" s="764">
        <v>1018</v>
      </c>
      <c r="M46" s="764">
        <v>1013</v>
      </c>
      <c r="N46" s="764">
        <v>1006</v>
      </c>
      <c r="O46" s="211">
        <v>1034.9549999999999</v>
      </c>
      <c r="P46" s="211">
        <v>1050</v>
      </c>
      <c r="Q46" s="211">
        <v>1044</v>
      </c>
      <c r="R46" s="211">
        <v>1040</v>
      </c>
      <c r="S46" s="211">
        <v>1045</v>
      </c>
      <c r="T46" s="211">
        <v>1030</v>
      </c>
      <c r="U46" s="221"/>
      <c r="V46" s="181" t="s">
        <v>52</v>
      </c>
      <c r="W46" s="211">
        <v>1024</v>
      </c>
    </row>
    <row r="47" spans="2:23" s="119" customFormat="1" ht="15.75">
      <c r="B47" s="181" t="s">
        <v>53</v>
      </c>
      <c r="C47" s="146">
        <v>0</v>
      </c>
      <c r="D47" s="146">
        <v>0</v>
      </c>
      <c r="E47" s="146">
        <v>0</v>
      </c>
      <c r="F47" s="146">
        <v>0</v>
      </c>
      <c r="G47" s="146">
        <v>0</v>
      </c>
      <c r="H47" s="146">
        <v>0</v>
      </c>
      <c r="I47" s="146">
        <v>0</v>
      </c>
      <c r="J47" s="764">
        <v>0</v>
      </c>
      <c r="K47" s="764">
        <v>0</v>
      </c>
      <c r="L47" s="764">
        <v>0</v>
      </c>
      <c r="M47" s="764">
        <v>0</v>
      </c>
      <c r="N47" s="764">
        <v>0</v>
      </c>
      <c r="O47" s="211">
        <v>0</v>
      </c>
      <c r="P47" s="211"/>
      <c r="Q47" s="211"/>
      <c r="R47" s="211">
        <v>0</v>
      </c>
      <c r="S47" s="211">
        <v>0</v>
      </c>
      <c r="T47" s="211">
        <v>0</v>
      </c>
      <c r="U47" s="221"/>
      <c r="V47" s="181" t="s">
        <v>53</v>
      </c>
      <c r="W47" s="211">
        <v>0</v>
      </c>
    </row>
    <row r="48" spans="2:23" s="119" customFormat="1" ht="15.75">
      <c r="B48" s="181" t="s">
        <v>55</v>
      </c>
      <c r="C48" s="146">
        <v>0</v>
      </c>
      <c r="D48" s="146">
        <v>2</v>
      </c>
      <c r="E48" s="146">
        <v>2</v>
      </c>
      <c r="F48" s="146">
        <v>2</v>
      </c>
      <c r="G48" s="146">
        <v>2</v>
      </c>
      <c r="H48" s="146">
        <v>25</v>
      </c>
      <c r="I48" s="146">
        <v>25</v>
      </c>
      <c r="J48" s="764">
        <v>101</v>
      </c>
      <c r="K48" s="764">
        <v>101</v>
      </c>
      <c r="L48" s="764">
        <v>109</v>
      </c>
      <c r="M48" s="764">
        <v>109</v>
      </c>
      <c r="N48" s="764">
        <v>109</v>
      </c>
      <c r="O48" s="211">
        <v>109.471</v>
      </c>
      <c r="P48" s="211">
        <v>109</v>
      </c>
      <c r="Q48" s="211">
        <v>109</v>
      </c>
      <c r="R48" s="211">
        <v>109</v>
      </c>
      <c r="S48" s="211">
        <v>110</v>
      </c>
      <c r="T48" s="211">
        <v>110</v>
      </c>
      <c r="U48" s="221"/>
      <c r="V48" s="181" t="s">
        <v>55</v>
      </c>
      <c r="W48" s="211">
        <v>110</v>
      </c>
    </row>
    <row r="49" spans="2:23" s="119" customFormat="1" ht="15.75">
      <c r="B49" s="181" t="s">
        <v>43</v>
      </c>
      <c r="C49" s="146">
        <v>0</v>
      </c>
      <c r="D49" s="146">
        <v>0</v>
      </c>
      <c r="E49" s="146">
        <v>0</v>
      </c>
      <c r="F49" s="146">
        <v>0</v>
      </c>
      <c r="G49" s="146">
        <v>0</v>
      </c>
      <c r="H49" s="146">
        <v>0</v>
      </c>
      <c r="I49" s="146">
        <v>0</v>
      </c>
      <c r="J49" s="764">
        <v>0</v>
      </c>
      <c r="K49" s="764">
        <v>0</v>
      </c>
      <c r="L49" s="764">
        <v>0</v>
      </c>
      <c r="M49" s="764">
        <v>0</v>
      </c>
      <c r="N49" s="764">
        <v>0</v>
      </c>
      <c r="O49" s="211">
        <v>0.41699999999999998</v>
      </c>
      <c r="P49" s="211"/>
      <c r="Q49" s="211"/>
      <c r="R49" s="211">
        <v>0</v>
      </c>
      <c r="S49" s="211">
        <v>0</v>
      </c>
      <c r="T49" s="211">
        <v>0</v>
      </c>
      <c r="U49" s="221"/>
      <c r="V49" s="181" t="s">
        <v>43</v>
      </c>
      <c r="W49" s="211">
        <v>0</v>
      </c>
    </row>
    <row r="50" spans="2:23" s="119" customFormat="1" ht="15.75">
      <c r="B50" s="181" t="s">
        <v>56</v>
      </c>
      <c r="C50" s="146">
        <v>10</v>
      </c>
      <c r="D50" s="146">
        <v>21</v>
      </c>
      <c r="E50" s="146">
        <v>18</v>
      </c>
      <c r="F50" s="146">
        <v>19</v>
      </c>
      <c r="G50" s="146">
        <v>14</v>
      </c>
      <c r="H50" s="146">
        <v>43</v>
      </c>
      <c r="I50" s="146">
        <v>60</v>
      </c>
      <c r="J50" s="764">
        <v>75</v>
      </c>
      <c r="K50" s="764">
        <v>98</v>
      </c>
      <c r="L50" s="764">
        <v>92</v>
      </c>
      <c r="M50" s="764">
        <v>122</v>
      </c>
      <c r="N50" s="764">
        <v>132</v>
      </c>
      <c r="O50" s="211">
        <v>141.44399999999999</v>
      </c>
      <c r="P50" s="211">
        <v>150</v>
      </c>
      <c r="Q50" s="211">
        <v>148</v>
      </c>
      <c r="R50" s="211">
        <v>161</v>
      </c>
      <c r="S50" s="211">
        <v>187</v>
      </c>
      <c r="T50" s="211">
        <v>198</v>
      </c>
      <c r="U50" s="221"/>
      <c r="V50" s="181" t="s">
        <v>56</v>
      </c>
      <c r="W50" s="211">
        <v>34</v>
      </c>
    </row>
    <row r="51" spans="2:23" s="119" customFormat="1" ht="15.75">
      <c r="B51" s="181" t="s">
        <v>57</v>
      </c>
      <c r="C51" s="146">
        <v>0</v>
      </c>
      <c r="D51" s="146">
        <v>0</v>
      </c>
      <c r="E51" s="146">
        <v>0</v>
      </c>
      <c r="F51" s="146">
        <v>0</v>
      </c>
      <c r="G51" s="146">
        <v>0</v>
      </c>
      <c r="H51" s="146">
        <v>0</v>
      </c>
      <c r="I51" s="146">
        <v>0</v>
      </c>
      <c r="J51" s="764">
        <v>0</v>
      </c>
      <c r="K51" s="764">
        <v>1</v>
      </c>
      <c r="L51" s="764">
        <v>1</v>
      </c>
      <c r="M51" s="764">
        <v>1</v>
      </c>
      <c r="N51" s="764">
        <v>1</v>
      </c>
      <c r="O51" s="211">
        <v>0.96299999999999997</v>
      </c>
      <c r="P51" s="211">
        <v>1</v>
      </c>
      <c r="Q51" s="211">
        <v>1</v>
      </c>
      <c r="R51" s="211">
        <v>1</v>
      </c>
      <c r="S51" s="211">
        <v>1</v>
      </c>
      <c r="T51" s="211">
        <v>1</v>
      </c>
      <c r="U51" s="221"/>
      <c r="V51" s="181" t="s">
        <v>57</v>
      </c>
      <c r="W51" s="211">
        <v>1</v>
      </c>
    </row>
    <row r="52" spans="2:23" s="119" customFormat="1" ht="15.75">
      <c r="B52" s="181" t="s">
        <v>44</v>
      </c>
      <c r="C52" s="146">
        <v>0</v>
      </c>
      <c r="D52" s="146">
        <v>0</v>
      </c>
      <c r="E52" s="146">
        <v>0</v>
      </c>
      <c r="F52" s="146">
        <v>0</v>
      </c>
      <c r="G52" s="146">
        <v>0</v>
      </c>
      <c r="H52" s="146">
        <v>0</v>
      </c>
      <c r="I52" s="146">
        <v>0</v>
      </c>
      <c r="J52" s="764">
        <v>0</v>
      </c>
      <c r="K52" s="764">
        <v>0</v>
      </c>
      <c r="L52" s="764">
        <v>0</v>
      </c>
      <c r="M52" s="764">
        <v>0</v>
      </c>
      <c r="N52" s="764">
        <v>0</v>
      </c>
      <c r="O52" s="211">
        <v>0</v>
      </c>
      <c r="P52" s="211"/>
      <c r="Q52" s="211"/>
      <c r="R52" s="211">
        <v>0</v>
      </c>
      <c r="S52" s="211">
        <v>0</v>
      </c>
      <c r="T52" s="211">
        <v>0</v>
      </c>
      <c r="U52" s="221"/>
      <c r="V52" s="181" t="s">
        <v>44</v>
      </c>
      <c r="W52" s="211">
        <v>0</v>
      </c>
    </row>
    <row r="53" spans="2:23">
      <c r="B53" s="170" t="s">
        <v>59</v>
      </c>
      <c r="C53" s="175">
        <f t="shared" ref="C53:N53" si="1">SUM(C40:C52)</f>
        <v>498</v>
      </c>
      <c r="D53" s="175">
        <f t="shared" si="1"/>
        <v>767</v>
      </c>
      <c r="E53" s="175">
        <f t="shared" si="1"/>
        <v>815</v>
      </c>
      <c r="F53" s="175">
        <f t="shared" si="1"/>
        <v>898</v>
      </c>
      <c r="G53" s="175">
        <f t="shared" si="1"/>
        <v>919</v>
      </c>
      <c r="H53" s="175">
        <f t="shared" si="1"/>
        <v>1042</v>
      </c>
      <c r="I53" s="175">
        <f t="shared" si="1"/>
        <v>1070</v>
      </c>
      <c r="J53" s="213">
        <f t="shared" si="1"/>
        <v>1092</v>
      </c>
      <c r="K53" s="213">
        <f t="shared" si="1"/>
        <v>1121</v>
      </c>
      <c r="L53" s="213">
        <f t="shared" si="1"/>
        <v>1249</v>
      </c>
      <c r="M53" s="213">
        <f t="shared" si="1"/>
        <v>1274</v>
      </c>
      <c r="N53" s="213">
        <f t="shared" si="1"/>
        <v>1361</v>
      </c>
      <c r="O53" s="213">
        <v>1367.085</v>
      </c>
      <c r="P53" s="213">
        <f>SUM(P40:P52)</f>
        <v>1396</v>
      </c>
      <c r="Q53" s="213">
        <v>1388</v>
      </c>
      <c r="R53" s="213">
        <v>1397</v>
      </c>
      <c r="S53" s="213">
        <v>1355</v>
      </c>
      <c r="T53" s="213">
        <v>1363</v>
      </c>
      <c r="U53" s="221"/>
      <c r="V53" s="170" t="s">
        <v>59</v>
      </c>
      <c r="W53" s="213">
        <v>1193</v>
      </c>
    </row>
    <row r="54" spans="2:23">
      <c r="B54" s="173" t="s">
        <v>60</v>
      </c>
      <c r="C54" s="212">
        <f t="shared" ref="C54:N54" si="2">+C38+C53</f>
        <v>595</v>
      </c>
      <c r="D54" s="212">
        <f t="shared" si="2"/>
        <v>786</v>
      </c>
      <c r="E54" s="212">
        <f t="shared" si="2"/>
        <v>857</v>
      </c>
      <c r="F54" s="212">
        <f t="shared" si="2"/>
        <v>936</v>
      </c>
      <c r="G54" s="212">
        <f t="shared" si="2"/>
        <v>950</v>
      </c>
      <c r="H54" s="212">
        <f t="shared" si="2"/>
        <v>1075</v>
      </c>
      <c r="I54" s="212">
        <f t="shared" si="2"/>
        <v>1084</v>
      </c>
      <c r="J54" s="212">
        <f t="shared" si="2"/>
        <v>1104</v>
      </c>
      <c r="K54" s="212">
        <f t="shared" si="2"/>
        <v>1133</v>
      </c>
      <c r="L54" s="212">
        <f t="shared" si="2"/>
        <v>1257</v>
      </c>
      <c r="M54" s="212">
        <f t="shared" si="2"/>
        <v>1279</v>
      </c>
      <c r="N54" s="212">
        <f t="shared" si="2"/>
        <v>1367</v>
      </c>
      <c r="O54" s="212">
        <v>1371.2149999999999</v>
      </c>
      <c r="P54" s="212">
        <f>+P53+P38</f>
        <v>1410</v>
      </c>
      <c r="Q54" s="212">
        <v>1397</v>
      </c>
      <c r="R54" s="212">
        <v>1404</v>
      </c>
      <c r="S54" s="212">
        <v>1714</v>
      </c>
      <c r="T54" s="212">
        <v>1701</v>
      </c>
      <c r="V54" s="173" t="s">
        <v>60</v>
      </c>
      <c r="W54" s="212">
        <v>1547</v>
      </c>
    </row>
    <row r="55" spans="2:23" ht="15.75">
      <c r="B55" s="145"/>
      <c r="C55" s="143"/>
      <c r="D55" s="143"/>
      <c r="E55" s="143"/>
      <c r="F55" s="143"/>
      <c r="G55" s="143"/>
      <c r="H55" s="143"/>
      <c r="I55" s="143"/>
      <c r="J55" s="765"/>
      <c r="K55" s="765"/>
      <c r="L55" s="765"/>
      <c r="M55" s="765"/>
      <c r="N55" s="765"/>
      <c r="O55" s="749">
        <v>0</v>
      </c>
      <c r="P55" s="265"/>
      <c r="Q55" s="265"/>
      <c r="R55" s="265"/>
      <c r="S55" s="265">
        <v>0</v>
      </c>
      <c r="T55" s="265">
        <v>0</v>
      </c>
      <c r="V55" s="145"/>
      <c r="W55" s="744"/>
    </row>
    <row r="56" spans="2:23">
      <c r="B56" s="176" t="s">
        <v>61</v>
      </c>
      <c r="C56" s="177"/>
      <c r="D56" s="177"/>
      <c r="E56" s="177"/>
      <c r="F56" s="177"/>
      <c r="G56" s="177"/>
      <c r="H56" s="177"/>
      <c r="I56" s="177"/>
      <c r="J56" s="766"/>
      <c r="K56" s="766"/>
      <c r="L56" s="766"/>
      <c r="M56" s="766"/>
      <c r="N56" s="766"/>
      <c r="O56" s="751">
        <v>0</v>
      </c>
      <c r="P56" s="751"/>
      <c r="Q56" s="751"/>
      <c r="R56" s="751"/>
      <c r="S56" s="751">
        <v>0</v>
      </c>
      <c r="T56" s="751">
        <v>0</v>
      </c>
      <c r="V56" s="176" t="s">
        <v>61</v>
      </c>
      <c r="W56" s="751"/>
    </row>
    <row r="57" spans="2:23">
      <c r="B57" s="170" t="s">
        <v>62</v>
      </c>
      <c r="C57" s="178"/>
      <c r="D57" s="178"/>
      <c r="E57" s="178"/>
      <c r="F57" s="178"/>
      <c r="G57" s="178"/>
      <c r="H57" s="178"/>
      <c r="I57" s="178"/>
      <c r="J57" s="767"/>
      <c r="K57" s="767"/>
      <c r="L57" s="767"/>
      <c r="M57" s="767"/>
      <c r="N57" s="767"/>
      <c r="O57" s="752">
        <v>0</v>
      </c>
      <c r="P57" s="752"/>
      <c r="Q57" s="752"/>
      <c r="R57" s="752"/>
      <c r="S57" s="752">
        <v>0</v>
      </c>
      <c r="T57" s="752">
        <v>0</v>
      </c>
      <c r="V57" s="170" t="s">
        <v>62</v>
      </c>
      <c r="W57" s="752"/>
    </row>
    <row r="58" spans="2:23" s="119" customFormat="1" ht="15.75">
      <c r="B58" s="181" t="s">
        <v>63</v>
      </c>
      <c r="C58" s="146">
        <v>0</v>
      </c>
      <c r="D58" s="146">
        <v>0</v>
      </c>
      <c r="E58" s="146">
        <v>-18</v>
      </c>
      <c r="F58" s="146">
        <v>0</v>
      </c>
      <c r="G58" s="146">
        <v>0</v>
      </c>
      <c r="H58" s="146">
        <v>0</v>
      </c>
      <c r="I58" s="146">
        <v>0</v>
      </c>
      <c r="J58" s="764">
        <v>0</v>
      </c>
      <c r="K58" s="764">
        <v>0</v>
      </c>
      <c r="L58" s="764">
        <v>0</v>
      </c>
      <c r="M58" s="764">
        <v>0</v>
      </c>
      <c r="N58" s="764">
        <v>0</v>
      </c>
      <c r="O58" s="211">
        <v>0</v>
      </c>
      <c r="P58" s="211">
        <v>-8</v>
      </c>
      <c r="Q58" s="211">
        <v>-7</v>
      </c>
      <c r="R58" s="211">
        <v>-6</v>
      </c>
      <c r="S58" s="211">
        <v>0</v>
      </c>
      <c r="T58" s="211">
        <v>0</v>
      </c>
      <c r="U58" s="744"/>
      <c r="V58" s="181" t="s">
        <v>63</v>
      </c>
      <c r="W58" s="211">
        <v>0</v>
      </c>
    </row>
    <row r="59" spans="2:23" s="119" customFormat="1" ht="15.75">
      <c r="B59" s="181" t="s">
        <v>64</v>
      </c>
      <c r="C59" s="146">
        <v>5</v>
      </c>
      <c r="D59" s="146">
        <v>17</v>
      </c>
      <c r="E59" s="146">
        <v>14</v>
      </c>
      <c r="F59" s="146">
        <v>12</v>
      </c>
      <c r="G59" s="146">
        <v>9</v>
      </c>
      <c r="H59" s="146">
        <v>7</v>
      </c>
      <c r="I59" s="146">
        <v>3</v>
      </c>
      <c r="J59" s="764">
        <v>3</v>
      </c>
      <c r="K59" s="764">
        <v>10</v>
      </c>
      <c r="L59" s="764">
        <v>1</v>
      </c>
      <c r="M59" s="764">
        <v>2</v>
      </c>
      <c r="N59" s="764">
        <v>3</v>
      </c>
      <c r="O59" s="211">
        <v>8.4450000000000003</v>
      </c>
      <c r="P59" s="211">
        <v>4</v>
      </c>
      <c r="Q59" s="211">
        <v>4</v>
      </c>
      <c r="R59" s="211">
        <v>6</v>
      </c>
      <c r="S59" s="211">
        <v>10</v>
      </c>
      <c r="T59" s="211">
        <v>6</v>
      </c>
      <c r="U59" s="221"/>
      <c r="V59" s="181" t="s">
        <v>64</v>
      </c>
      <c r="W59" s="211">
        <v>6</v>
      </c>
    </row>
    <row r="60" spans="2:23" s="119" customFormat="1" ht="15.75">
      <c r="B60" s="181" t="s">
        <v>66</v>
      </c>
      <c r="C60" s="146">
        <v>0</v>
      </c>
      <c r="D60" s="146">
        <v>1</v>
      </c>
      <c r="E60" s="146">
        <v>0</v>
      </c>
      <c r="F60" s="146">
        <v>0</v>
      </c>
      <c r="G60" s="146">
        <v>0</v>
      </c>
      <c r="H60" s="146">
        <v>0</v>
      </c>
      <c r="I60" s="146">
        <v>1</v>
      </c>
      <c r="J60" s="764">
        <v>1</v>
      </c>
      <c r="K60" s="764">
        <v>2</v>
      </c>
      <c r="L60" s="764">
        <v>0</v>
      </c>
      <c r="M60" s="764">
        <v>1</v>
      </c>
      <c r="N60" s="764">
        <v>1</v>
      </c>
      <c r="O60" s="211">
        <v>0.216</v>
      </c>
      <c r="P60" s="211">
        <v>0</v>
      </c>
      <c r="Q60" s="211"/>
      <c r="R60" s="211">
        <v>0</v>
      </c>
      <c r="S60" s="211">
        <v>0</v>
      </c>
      <c r="T60" s="211">
        <v>0</v>
      </c>
      <c r="U60" s="221"/>
      <c r="V60" s="181" t="s">
        <v>66</v>
      </c>
      <c r="W60" s="211">
        <v>0</v>
      </c>
    </row>
    <row r="61" spans="2:23" s="119" customFormat="1" ht="15.75">
      <c r="B61" s="181" t="s">
        <v>41</v>
      </c>
      <c r="C61" s="146">
        <v>23</v>
      </c>
      <c r="D61" s="146">
        <v>3</v>
      </c>
      <c r="E61" s="146">
        <v>0</v>
      </c>
      <c r="F61" s="146">
        <v>1</v>
      </c>
      <c r="G61" s="146">
        <v>1</v>
      </c>
      <c r="H61" s="146">
        <v>1</v>
      </c>
      <c r="I61" s="146">
        <v>2</v>
      </c>
      <c r="J61" s="764">
        <v>1</v>
      </c>
      <c r="K61" s="764">
        <v>1</v>
      </c>
      <c r="L61" s="764">
        <v>1</v>
      </c>
      <c r="M61" s="764">
        <v>1</v>
      </c>
      <c r="N61" s="764">
        <v>1</v>
      </c>
      <c r="O61" s="211">
        <v>1.099</v>
      </c>
      <c r="P61" s="211">
        <v>3</v>
      </c>
      <c r="Q61" s="211">
        <v>2</v>
      </c>
      <c r="R61" s="211">
        <v>2</v>
      </c>
      <c r="S61" s="211">
        <v>0</v>
      </c>
      <c r="T61" s="211">
        <v>1</v>
      </c>
      <c r="U61" s="221"/>
      <c r="V61" s="181" t="s">
        <v>41</v>
      </c>
      <c r="W61" s="211">
        <v>1</v>
      </c>
    </row>
    <row r="62" spans="2:23" s="119" customFormat="1" ht="15.75">
      <c r="B62" s="181" t="s">
        <v>67</v>
      </c>
      <c r="C62" s="146">
        <v>0</v>
      </c>
      <c r="D62" s="146">
        <v>0</v>
      </c>
      <c r="E62" s="146">
        <v>0</v>
      </c>
      <c r="F62" s="146">
        <v>0</v>
      </c>
      <c r="G62" s="146">
        <v>0</v>
      </c>
      <c r="H62" s="146">
        <v>6</v>
      </c>
      <c r="I62" s="146">
        <v>9</v>
      </c>
      <c r="J62" s="764">
        <v>3</v>
      </c>
      <c r="K62" s="764">
        <v>2</v>
      </c>
      <c r="L62" s="764">
        <v>125</v>
      </c>
      <c r="M62" s="764">
        <v>44</v>
      </c>
      <c r="N62" s="764">
        <v>31</v>
      </c>
      <c r="O62" s="211">
        <v>24.690999999999999</v>
      </c>
      <c r="P62" s="211">
        <v>59</v>
      </c>
      <c r="Q62" s="211">
        <v>55</v>
      </c>
      <c r="R62" s="211">
        <v>52</v>
      </c>
      <c r="S62" s="211">
        <v>37</v>
      </c>
      <c r="T62" s="211">
        <v>29</v>
      </c>
      <c r="U62" s="221"/>
      <c r="V62" s="181" t="s">
        <v>67</v>
      </c>
      <c r="W62" s="211">
        <v>27</v>
      </c>
    </row>
    <row r="63" spans="2:23" s="119" customFormat="1" ht="15.75">
      <c r="B63" s="181" t="s">
        <v>65</v>
      </c>
      <c r="C63" s="146">
        <v>0</v>
      </c>
      <c r="D63" s="146">
        <v>0</v>
      </c>
      <c r="E63" s="146">
        <v>0</v>
      </c>
      <c r="F63" s="146">
        <v>0</v>
      </c>
      <c r="G63" s="146">
        <v>0</v>
      </c>
      <c r="H63" s="146">
        <v>1</v>
      </c>
      <c r="I63" s="146">
        <v>1</v>
      </c>
      <c r="J63" s="764">
        <v>1</v>
      </c>
      <c r="K63" s="764">
        <v>1</v>
      </c>
      <c r="L63" s="764">
        <v>0</v>
      </c>
      <c r="M63" s="764">
        <v>79</v>
      </c>
      <c r="N63" s="764">
        <v>78</v>
      </c>
      <c r="O63" s="211">
        <v>78.554000000000002</v>
      </c>
      <c r="P63" s="211">
        <v>79</v>
      </c>
      <c r="Q63" s="211">
        <v>79</v>
      </c>
      <c r="R63" s="211">
        <v>78</v>
      </c>
      <c r="S63" s="211">
        <v>0</v>
      </c>
      <c r="T63" s="211">
        <v>0</v>
      </c>
      <c r="U63" s="221"/>
      <c r="V63" s="181" t="s">
        <v>65</v>
      </c>
      <c r="W63" s="211">
        <v>0</v>
      </c>
    </row>
    <row r="64" spans="2:23" s="119" customFormat="1" ht="15.75">
      <c r="B64" s="181" t="s">
        <v>68</v>
      </c>
      <c r="C64" s="146">
        <v>0</v>
      </c>
      <c r="D64" s="146">
        <v>0</v>
      </c>
      <c r="E64" s="146">
        <v>0</v>
      </c>
      <c r="F64" s="146">
        <v>0</v>
      </c>
      <c r="G64" s="146">
        <v>0</v>
      </c>
      <c r="H64" s="146">
        <v>0</v>
      </c>
      <c r="I64" s="146">
        <v>0</v>
      </c>
      <c r="J64" s="764">
        <v>0</v>
      </c>
      <c r="K64" s="764">
        <v>0</v>
      </c>
      <c r="L64" s="764">
        <v>0</v>
      </c>
      <c r="M64" s="764">
        <v>0</v>
      </c>
      <c r="N64" s="764">
        <v>0</v>
      </c>
      <c r="O64" s="211">
        <v>0</v>
      </c>
      <c r="P64" s="211"/>
      <c r="Q64" s="211"/>
      <c r="R64" s="211">
        <v>0</v>
      </c>
      <c r="S64" s="211">
        <v>0</v>
      </c>
      <c r="T64" s="211">
        <v>0</v>
      </c>
      <c r="U64" s="221"/>
      <c r="V64" s="181" t="s">
        <v>68</v>
      </c>
      <c r="W64" s="211">
        <v>0</v>
      </c>
    </row>
    <row r="65" spans="2:23" s="119" customFormat="1" ht="15.75">
      <c r="B65" s="181" t="s">
        <v>96</v>
      </c>
      <c r="C65" s="146">
        <v>0</v>
      </c>
      <c r="D65" s="146">
        <v>0</v>
      </c>
      <c r="E65" s="146">
        <v>0</v>
      </c>
      <c r="F65" s="146">
        <v>0</v>
      </c>
      <c r="G65" s="146">
        <v>0</v>
      </c>
      <c r="H65" s="146">
        <v>0</v>
      </c>
      <c r="I65" s="146">
        <v>0</v>
      </c>
      <c r="J65" s="764">
        <v>0</v>
      </c>
      <c r="K65" s="764">
        <v>0</v>
      </c>
      <c r="L65" s="764">
        <v>0</v>
      </c>
      <c r="M65" s="764">
        <v>0</v>
      </c>
      <c r="N65" s="764">
        <v>0</v>
      </c>
      <c r="O65" s="211">
        <v>0</v>
      </c>
      <c r="P65" s="211"/>
      <c r="Q65" s="211"/>
      <c r="R65" s="211">
        <v>0</v>
      </c>
      <c r="S65" s="211">
        <v>0</v>
      </c>
      <c r="T65" s="211">
        <v>0</v>
      </c>
      <c r="U65" s="221"/>
      <c r="V65" s="181" t="s">
        <v>96</v>
      </c>
      <c r="W65" s="211">
        <v>0</v>
      </c>
    </row>
    <row r="66" spans="2:23">
      <c r="B66" s="170" t="s">
        <v>70</v>
      </c>
      <c r="C66" s="175">
        <f t="shared" ref="C66:N66" si="3">SUM(C58:C65)</f>
        <v>28</v>
      </c>
      <c r="D66" s="175">
        <f t="shared" si="3"/>
        <v>21</v>
      </c>
      <c r="E66" s="175">
        <f t="shared" si="3"/>
        <v>-4</v>
      </c>
      <c r="F66" s="175">
        <f t="shared" si="3"/>
        <v>13</v>
      </c>
      <c r="G66" s="175">
        <f t="shared" si="3"/>
        <v>10</v>
      </c>
      <c r="H66" s="175">
        <f t="shared" si="3"/>
        <v>15</v>
      </c>
      <c r="I66" s="175">
        <f t="shared" si="3"/>
        <v>16</v>
      </c>
      <c r="J66" s="213">
        <f t="shared" si="3"/>
        <v>9</v>
      </c>
      <c r="K66" s="213">
        <f t="shared" si="3"/>
        <v>16</v>
      </c>
      <c r="L66" s="213">
        <f t="shared" si="3"/>
        <v>127</v>
      </c>
      <c r="M66" s="213">
        <f t="shared" si="3"/>
        <v>127</v>
      </c>
      <c r="N66" s="213">
        <f t="shared" si="3"/>
        <v>114</v>
      </c>
      <c r="O66" s="213">
        <v>113.005</v>
      </c>
      <c r="P66" s="213">
        <f>SUM(P58:P65)</f>
        <v>137</v>
      </c>
      <c r="Q66" s="213">
        <v>133</v>
      </c>
      <c r="R66" s="213">
        <v>132</v>
      </c>
      <c r="S66" s="213">
        <v>47</v>
      </c>
      <c r="T66" s="213">
        <v>36</v>
      </c>
      <c r="U66" s="221"/>
      <c r="V66" s="170" t="s">
        <v>70</v>
      </c>
      <c r="W66" s="213">
        <v>34</v>
      </c>
    </row>
    <row r="67" spans="2:23">
      <c r="B67" s="179" t="s">
        <v>71</v>
      </c>
      <c r="C67" s="180"/>
      <c r="D67" s="180"/>
      <c r="E67" s="180"/>
      <c r="F67" s="180"/>
      <c r="G67" s="180"/>
      <c r="H67" s="180"/>
      <c r="I67" s="180"/>
      <c r="J67" s="768"/>
      <c r="K67" s="768"/>
      <c r="L67" s="768"/>
      <c r="M67" s="768"/>
      <c r="N67" s="768"/>
      <c r="O67" s="753">
        <v>0</v>
      </c>
      <c r="P67" s="753"/>
      <c r="Q67" s="753"/>
      <c r="R67" s="753"/>
      <c r="S67" s="753">
        <v>0</v>
      </c>
      <c r="T67" s="753">
        <v>0</v>
      </c>
      <c r="V67" s="179" t="s">
        <v>71</v>
      </c>
      <c r="W67" s="753"/>
    </row>
    <row r="68" spans="2:23" s="119" customFormat="1" ht="15.75">
      <c r="B68" s="181" t="s">
        <v>63</v>
      </c>
      <c r="C68" s="146">
        <v>228</v>
      </c>
      <c r="D68" s="146">
        <v>425</v>
      </c>
      <c r="E68" s="146">
        <v>506</v>
      </c>
      <c r="F68" s="146">
        <v>566</v>
      </c>
      <c r="G68" s="146">
        <v>557</v>
      </c>
      <c r="H68" s="146">
        <v>666</v>
      </c>
      <c r="I68" s="146">
        <v>669</v>
      </c>
      <c r="J68" s="764">
        <v>695</v>
      </c>
      <c r="K68" s="764">
        <v>712</v>
      </c>
      <c r="L68" s="764">
        <v>686</v>
      </c>
      <c r="M68" s="764">
        <v>746</v>
      </c>
      <c r="N68" s="764">
        <v>833</v>
      </c>
      <c r="O68" s="211">
        <v>822.98400000000004</v>
      </c>
      <c r="P68" s="211">
        <v>815</v>
      </c>
      <c r="Q68" s="211">
        <v>770</v>
      </c>
      <c r="R68" s="211">
        <v>776</v>
      </c>
      <c r="S68" s="211">
        <v>1196</v>
      </c>
      <c r="T68" s="211">
        <v>1185</v>
      </c>
      <c r="U68" s="744"/>
      <c r="V68" s="181" t="s">
        <v>63</v>
      </c>
      <c r="W68" s="211">
        <v>1198</v>
      </c>
    </row>
    <row r="69" spans="2:23" s="119" customFormat="1" ht="15.75">
      <c r="B69" s="181" t="s">
        <v>64</v>
      </c>
      <c r="C69" s="146">
        <v>0</v>
      </c>
      <c r="D69" s="146">
        <v>0</v>
      </c>
      <c r="E69" s="146">
        <v>0</v>
      </c>
      <c r="F69" s="146">
        <v>0</v>
      </c>
      <c r="G69" s="146">
        <v>0</v>
      </c>
      <c r="H69" s="146">
        <v>0</v>
      </c>
      <c r="I69" s="146">
        <v>0</v>
      </c>
      <c r="J69" s="764">
        <v>0</v>
      </c>
      <c r="K69" s="764">
        <v>1</v>
      </c>
      <c r="L69" s="764">
        <v>1</v>
      </c>
      <c r="M69" s="764">
        <v>1</v>
      </c>
      <c r="N69" s="764">
        <v>1</v>
      </c>
      <c r="O69" s="211">
        <v>1.014</v>
      </c>
      <c r="P69" s="211">
        <v>1</v>
      </c>
      <c r="Q69" s="211">
        <v>1</v>
      </c>
      <c r="R69" s="211">
        <v>1</v>
      </c>
      <c r="S69" s="211">
        <v>0</v>
      </c>
      <c r="T69" s="211">
        <v>0</v>
      </c>
      <c r="U69" s="221"/>
      <c r="V69" s="181" t="s">
        <v>64</v>
      </c>
      <c r="W69" s="211">
        <v>0</v>
      </c>
    </row>
    <row r="70" spans="2:23" s="119" customFormat="1" ht="15.75">
      <c r="B70" s="181" t="s">
        <v>72</v>
      </c>
      <c r="C70" s="146">
        <v>0</v>
      </c>
      <c r="D70" s="146">
        <v>0</v>
      </c>
      <c r="E70" s="146">
        <v>0</v>
      </c>
      <c r="F70" s="146">
        <v>0</v>
      </c>
      <c r="G70" s="146">
        <v>0</v>
      </c>
      <c r="H70" s="146">
        <v>0</v>
      </c>
      <c r="I70" s="146">
        <v>0</v>
      </c>
      <c r="J70" s="764">
        <v>0</v>
      </c>
      <c r="K70" s="764">
        <v>0</v>
      </c>
      <c r="L70" s="764">
        <v>0</v>
      </c>
      <c r="M70" s="764">
        <v>0</v>
      </c>
      <c r="N70" s="764">
        <v>0</v>
      </c>
      <c r="O70" s="211">
        <v>0</v>
      </c>
      <c r="P70" s="211"/>
      <c r="Q70" s="211"/>
      <c r="R70" s="211">
        <v>0</v>
      </c>
      <c r="S70" s="211">
        <v>0</v>
      </c>
      <c r="T70" s="211">
        <v>0</v>
      </c>
      <c r="U70" s="221"/>
      <c r="V70" s="181" t="s">
        <v>72</v>
      </c>
      <c r="W70" s="211">
        <v>0</v>
      </c>
    </row>
    <row r="71" spans="2:23" s="119" customFormat="1" ht="15.75">
      <c r="B71" s="181" t="s">
        <v>66</v>
      </c>
      <c r="C71" s="146">
        <v>0</v>
      </c>
      <c r="D71" s="146">
        <v>0</v>
      </c>
      <c r="E71" s="146">
        <v>0</v>
      </c>
      <c r="F71" s="146">
        <v>0</v>
      </c>
      <c r="G71" s="146">
        <v>0</v>
      </c>
      <c r="H71" s="146">
        <v>0</v>
      </c>
      <c r="I71" s="146">
        <v>0</v>
      </c>
      <c r="J71" s="764">
        <v>0</v>
      </c>
      <c r="K71" s="764">
        <v>0</v>
      </c>
      <c r="L71" s="764">
        <v>0</v>
      </c>
      <c r="M71" s="764">
        <v>0</v>
      </c>
      <c r="N71" s="764">
        <v>0</v>
      </c>
      <c r="O71" s="211">
        <v>0</v>
      </c>
      <c r="P71" s="211"/>
      <c r="Q71" s="211"/>
      <c r="R71" s="211">
        <v>0</v>
      </c>
      <c r="S71" s="211">
        <v>0</v>
      </c>
      <c r="T71" s="211">
        <v>0</v>
      </c>
      <c r="U71" s="221"/>
      <c r="V71" s="181" t="s">
        <v>66</v>
      </c>
      <c r="W71" s="211">
        <v>0</v>
      </c>
    </row>
    <row r="72" spans="2:23" s="119" customFormat="1" ht="15.75">
      <c r="B72" s="181" t="s">
        <v>67</v>
      </c>
      <c r="C72" s="146">
        <v>0</v>
      </c>
      <c r="D72" s="146">
        <v>0</v>
      </c>
      <c r="E72" s="146">
        <v>0</v>
      </c>
      <c r="F72" s="146">
        <v>0</v>
      </c>
      <c r="G72" s="146">
        <v>0</v>
      </c>
      <c r="H72" s="146">
        <v>0</v>
      </c>
      <c r="I72" s="146">
        <v>0</v>
      </c>
      <c r="J72" s="764">
        <v>0</v>
      </c>
      <c r="K72" s="764">
        <v>0</v>
      </c>
      <c r="L72" s="764">
        <v>0</v>
      </c>
      <c r="M72" s="764">
        <v>0</v>
      </c>
      <c r="N72" s="764">
        <v>0</v>
      </c>
      <c r="O72" s="211">
        <v>0</v>
      </c>
      <c r="P72" s="211"/>
      <c r="Q72" s="211"/>
      <c r="R72" s="211">
        <v>0</v>
      </c>
      <c r="S72" s="211">
        <v>0</v>
      </c>
      <c r="T72" s="211">
        <v>0</v>
      </c>
      <c r="U72" s="221"/>
      <c r="V72" s="181" t="s">
        <v>67</v>
      </c>
      <c r="W72" s="211">
        <v>0</v>
      </c>
    </row>
    <row r="73" spans="2:23" s="119" customFormat="1" ht="15.75">
      <c r="B73" s="181" t="s">
        <v>68</v>
      </c>
      <c r="C73" s="146">
        <v>0</v>
      </c>
      <c r="D73" s="146">
        <v>0</v>
      </c>
      <c r="E73" s="146">
        <v>0</v>
      </c>
      <c r="F73" s="146">
        <v>0</v>
      </c>
      <c r="G73" s="146">
        <v>0</v>
      </c>
      <c r="H73" s="146">
        <v>0</v>
      </c>
      <c r="I73" s="146">
        <v>0</v>
      </c>
      <c r="J73" s="764">
        <v>0</v>
      </c>
      <c r="K73" s="764">
        <v>0</v>
      </c>
      <c r="L73" s="764">
        <v>0</v>
      </c>
      <c r="M73" s="764">
        <v>0</v>
      </c>
      <c r="N73" s="764">
        <v>0</v>
      </c>
      <c r="O73" s="211">
        <v>0</v>
      </c>
      <c r="P73" s="211"/>
      <c r="Q73" s="211"/>
      <c r="R73" s="211">
        <v>0</v>
      </c>
      <c r="S73" s="211">
        <v>0</v>
      </c>
      <c r="T73" s="211">
        <v>0</v>
      </c>
      <c r="U73" s="221"/>
      <c r="V73" s="181" t="s">
        <v>68</v>
      </c>
      <c r="W73" s="211">
        <v>0</v>
      </c>
    </row>
    <row r="74" spans="2:23" s="119" customFormat="1" ht="15.75">
      <c r="B74" s="181" t="s">
        <v>97</v>
      </c>
      <c r="C74" s="146">
        <v>11</v>
      </c>
      <c r="D74" s="146">
        <v>19</v>
      </c>
      <c r="E74" s="146">
        <v>25</v>
      </c>
      <c r="F74" s="146">
        <v>27</v>
      </c>
      <c r="G74" s="146">
        <v>29</v>
      </c>
      <c r="H74" s="146">
        <v>42</v>
      </c>
      <c r="I74" s="146">
        <v>49</v>
      </c>
      <c r="J74" s="764">
        <v>49</v>
      </c>
      <c r="K74" s="764">
        <v>62</v>
      </c>
      <c r="L74" s="764">
        <v>79</v>
      </c>
      <c r="M74" s="764">
        <v>91</v>
      </c>
      <c r="N74" s="764">
        <v>103</v>
      </c>
      <c r="O74" s="211">
        <v>113.545</v>
      </c>
      <c r="P74" s="211">
        <v>124</v>
      </c>
      <c r="Q74" s="211">
        <v>132</v>
      </c>
      <c r="R74" s="211">
        <v>142</v>
      </c>
      <c r="S74" s="211">
        <v>155</v>
      </c>
      <c r="T74" s="211">
        <v>164</v>
      </c>
      <c r="U74" s="221"/>
      <c r="V74" s="181" t="s">
        <v>97</v>
      </c>
      <c r="W74" s="211">
        <v>0</v>
      </c>
    </row>
    <row r="75" spans="2:23">
      <c r="B75" s="170" t="s">
        <v>73</v>
      </c>
      <c r="C75" s="175">
        <f t="shared" ref="C75:N75" si="4">SUM(C68:C74)</f>
        <v>239</v>
      </c>
      <c r="D75" s="175">
        <f t="shared" si="4"/>
        <v>444</v>
      </c>
      <c r="E75" s="175">
        <f t="shared" si="4"/>
        <v>531</v>
      </c>
      <c r="F75" s="175">
        <f t="shared" si="4"/>
        <v>593</v>
      </c>
      <c r="G75" s="175">
        <f t="shared" si="4"/>
        <v>586</v>
      </c>
      <c r="H75" s="175">
        <f t="shared" si="4"/>
        <v>708</v>
      </c>
      <c r="I75" s="175">
        <f t="shared" si="4"/>
        <v>718</v>
      </c>
      <c r="J75" s="213">
        <f t="shared" si="4"/>
        <v>744</v>
      </c>
      <c r="K75" s="213">
        <f t="shared" si="4"/>
        <v>775</v>
      </c>
      <c r="L75" s="213">
        <f t="shared" si="4"/>
        <v>766</v>
      </c>
      <c r="M75" s="213">
        <f t="shared" si="4"/>
        <v>838</v>
      </c>
      <c r="N75" s="213">
        <f t="shared" si="4"/>
        <v>937</v>
      </c>
      <c r="O75" s="213">
        <v>937.54300000000001</v>
      </c>
      <c r="P75" s="213">
        <f>SUM(P68:P74)</f>
        <v>940</v>
      </c>
      <c r="Q75" s="213">
        <v>903</v>
      </c>
      <c r="R75" s="213">
        <v>919</v>
      </c>
      <c r="S75" s="213">
        <v>1351</v>
      </c>
      <c r="T75" s="213">
        <v>1349</v>
      </c>
      <c r="U75" s="221"/>
      <c r="V75" s="170" t="s">
        <v>73</v>
      </c>
      <c r="W75" s="213">
        <v>1198</v>
      </c>
    </row>
    <row r="76" spans="2:23">
      <c r="B76" s="173" t="s">
        <v>74</v>
      </c>
      <c r="C76" s="212">
        <f t="shared" ref="C76:N76" si="5">+C66+C75</f>
        <v>267</v>
      </c>
      <c r="D76" s="212">
        <f t="shared" si="5"/>
        <v>465</v>
      </c>
      <c r="E76" s="212">
        <f t="shared" si="5"/>
        <v>527</v>
      </c>
      <c r="F76" s="212">
        <f t="shared" si="5"/>
        <v>606</v>
      </c>
      <c r="G76" s="212">
        <f t="shared" si="5"/>
        <v>596</v>
      </c>
      <c r="H76" s="212">
        <f t="shared" si="5"/>
        <v>723</v>
      </c>
      <c r="I76" s="212">
        <f t="shared" si="5"/>
        <v>734</v>
      </c>
      <c r="J76" s="212">
        <f t="shared" si="5"/>
        <v>753</v>
      </c>
      <c r="K76" s="212">
        <f t="shared" si="5"/>
        <v>791</v>
      </c>
      <c r="L76" s="212">
        <f t="shared" si="5"/>
        <v>893</v>
      </c>
      <c r="M76" s="212">
        <f t="shared" si="5"/>
        <v>965</v>
      </c>
      <c r="N76" s="212">
        <f t="shared" si="5"/>
        <v>1051</v>
      </c>
      <c r="O76" s="212">
        <v>1050.548</v>
      </c>
      <c r="P76" s="212">
        <f>+P75+P66</f>
        <v>1077</v>
      </c>
      <c r="Q76" s="212">
        <v>1036</v>
      </c>
      <c r="R76" s="212">
        <v>1051</v>
      </c>
      <c r="S76" s="212">
        <v>1398</v>
      </c>
      <c r="T76" s="212">
        <v>1385</v>
      </c>
      <c r="V76" s="173" t="s">
        <v>74</v>
      </c>
      <c r="W76" s="212">
        <v>1232</v>
      </c>
    </row>
    <row r="77" spans="2:23">
      <c r="B77" s="145"/>
      <c r="C77" s="143"/>
      <c r="D77" s="143"/>
      <c r="E77" s="143"/>
      <c r="F77" s="143"/>
      <c r="G77" s="143"/>
      <c r="H77" s="143"/>
      <c r="I77" s="143"/>
      <c r="J77" s="765"/>
      <c r="K77" s="765"/>
      <c r="L77" s="765"/>
      <c r="M77" s="765"/>
      <c r="N77" s="765"/>
      <c r="O77" s="749">
        <v>0</v>
      </c>
      <c r="P77" s="749"/>
      <c r="Q77" s="749"/>
      <c r="R77" s="749">
        <v>0</v>
      </c>
      <c r="S77" s="749">
        <v>0</v>
      </c>
      <c r="T77" s="749">
        <v>0</v>
      </c>
      <c r="V77" s="145"/>
      <c r="W77" s="749"/>
    </row>
    <row r="78" spans="2:23">
      <c r="B78" s="179" t="s">
        <v>75</v>
      </c>
      <c r="C78" s="180"/>
      <c r="D78" s="180"/>
      <c r="E78" s="180"/>
      <c r="F78" s="180"/>
      <c r="G78" s="180"/>
      <c r="H78" s="180"/>
      <c r="I78" s="180"/>
      <c r="J78" s="768"/>
      <c r="K78" s="768"/>
      <c r="L78" s="768"/>
      <c r="M78" s="768"/>
      <c r="N78" s="768"/>
      <c r="O78" s="753">
        <v>0</v>
      </c>
      <c r="P78" s="753"/>
      <c r="Q78" s="753"/>
      <c r="R78" s="753"/>
      <c r="S78" s="753"/>
      <c r="T78" s="753"/>
      <c r="V78" s="179" t="s">
        <v>75</v>
      </c>
      <c r="W78" s="753"/>
    </row>
    <row r="79" spans="2:23" s="119" customFormat="1" ht="15.75">
      <c r="B79" s="181" t="s">
        <v>76</v>
      </c>
      <c r="C79" s="146">
        <v>320</v>
      </c>
      <c r="D79" s="146">
        <v>320</v>
      </c>
      <c r="E79" s="146">
        <v>320</v>
      </c>
      <c r="F79" s="146">
        <v>320</v>
      </c>
      <c r="G79" s="146">
        <v>331</v>
      </c>
      <c r="H79" s="146">
        <v>336</v>
      </c>
      <c r="I79" s="146">
        <v>343</v>
      </c>
      <c r="J79" s="764">
        <v>346</v>
      </c>
      <c r="K79" s="764">
        <v>346</v>
      </c>
      <c r="L79" s="764">
        <v>370</v>
      </c>
      <c r="M79" s="764">
        <v>370</v>
      </c>
      <c r="N79" s="764">
        <v>370</v>
      </c>
      <c r="O79" s="211">
        <v>370.13600000000002</v>
      </c>
      <c r="P79" s="211">
        <v>370</v>
      </c>
      <c r="Q79" s="211">
        <v>370</v>
      </c>
      <c r="R79" s="211">
        <v>370</v>
      </c>
      <c r="S79" s="211">
        <v>370</v>
      </c>
      <c r="T79" s="211">
        <v>370</v>
      </c>
      <c r="U79" s="744"/>
      <c r="V79" s="181" t="s">
        <v>76</v>
      </c>
      <c r="W79" s="211">
        <v>370</v>
      </c>
    </row>
    <row r="80" spans="2:23" s="119" customFormat="1" ht="15.75">
      <c r="B80" s="181" t="s">
        <v>77</v>
      </c>
      <c r="C80" s="146">
        <v>0</v>
      </c>
      <c r="D80" s="146">
        <v>0</v>
      </c>
      <c r="E80" s="146">
        <v>0</v>
      </c>
      <c r="F80" s="146">
        <v>0</v>
      </c>
      <c r="G80" s="146">
        <v>0</v>
      </c>
      <c r="H80" s="146">
        <v>0</v>
      </c>
      <c r="I80" s="146">
        <v>0</v>
      </c>
      <c r="J80" s="764">
        <v>0</v>
      </c>
      <c r="K80" s="764">
        <v>0</v>
      </c>
      <c r="L80" s="764">
        <v>0</v>
      </c>
      <c r="M80" s="764">
        <v>0</v>
      </c>
      <c r="N80" s="764">
        <v>0</v>
      </c>
      <c r="O80" s="211">
        <v>0</v>
      </c>
      <c r="P80" s="211"/>
      <c r="Q80" s="211"/>
      <c r="R80" s="211">
        <v>0</v>
      </c>
      <c r="S80" s="211">
        <v>0</v>
      </c>
      <c r="T80" s="211">
        <v>0</v>
      </c>
      <c r="U80" s="221"/>
      <c r="V80" s="181" t="s">
        <v>77</v>
      </c>
      <c r="W80" s="211">
        <v>0</v>
      </c>
    </row>
    <row r="81" spans="2:23" s="119" customFormat="1" ht="15.75">
      <c r="B81" s="181" t="s">
        <v>78</v>
      </c>
      <c r="C81" s="146">
        <v>-2</v>
      </c>
      <c r="D81" s="146">
        <v>-1</v>
      </c>
      <c r="E81" s="146">
        <v>-5</v>
      </c>
      <c r="F81" s="146">
        <v>-5</v>
      </c>
      <c r="G81" s="146">
        <v>-7</v>
      </c>
      <c r="H81" s="146">
        <v>0</v>
      </c>
      <c r="I81" s="146">
        <v>0</v>
      </c>
      <c r="J81" s="764">
        <v>0</v>
      </c>
      <c r="K81" s="764">
        <v>0</v>
      </c>
      <c r="L81" s="764">
        <v>0</v>
      </c>
      <c r="M81" s="764">
        <v>0</v>
      </c>
      <c r="N81" s="764">
        <v>0</v>
      </c>
      <c r="O81" s="211">
        <v>0.214</v>
      </c>
      <c r="P81" s="211"/>
      <c r="Q81" s="211"/>
      <c r="R81" s="211">
        <v>0</v>
      </c>
      <c r="S81" s="211">
        <v>0</v>
      </c>
      <c r="T81" s="211">
        <v>0</v>
      </c>
      <c r="U81" s="221"/>
      <c r="V81" s="181" t="s">
        <v>78</v>
      </c>
      <c r="W81" s="211">
        <v>0</v>
      </c>
    </row>
    <row r="82" spans="2:23" s="119" customFormat="1" ht="15.75">
      <c r="B82" s="181" t="s">
        <v>79</v>
      </c>
      <c r="C82" s="146">
        <v>-1</v>
      </c>
      <c r="D82" s="146">
        <v>2</v>
      </c>
      <c r="E82" s="146">
        <v>-3</v>
      </c>
      <c r="F82" s="146">
        <v>-3</v>
      </c>
      <c r="G82" s="146">
        <v>-3</v>
      </c>
      <c r="H82" s="146">
        <v>-3</v>
      </c>
      <c r="I82" s="146">
        <v>8</v>
      </c>
      <c r="J82" s="764">
        <v>8</v>
      </c>
      <c r="K82" s="764">
        <v>8</v>
      </c>
      <c r="L82" s="764">
        <v>8</v>
      </c>
      <c r="M82" s="764">
        <v>20</v>
      </c>
      <c r="N82" s="764">
        <v>20</v>
      </c>
      <c r="O82" s="211">
        <v>19.891999999999999</v>
      </c>
      <c r="P82" s="211">
        <v>20</v>
      </c>
      <c r="Q82" s="211">
        <v>24</v>
      </c>
      <c r="R82" s="211">
        <v>23</v>
      </c>
      <c r="S82" s="211">
        <v>-55</v>
      </c>
      <c r="T82" s="211">
        <v>-55</v>
      </c>
      <c r="U82" s="221"/>
      <c r="V82" s="181" t="s">
        <v>79</v>
      </c>
      <c r="W82" s="211">
        <v>-54</v>
      </c>
    </row>
    <row r="83" spans="2:23" s="119" customFormat="1" ht="15.75">
      <c r="B83" s="181" t="s">
        <v>80</v>
      </c>
      <c r="C83" s="146">
        <v>3</v>
      </c>
      <c r="D83" s="146">
        <v>-4</v>
      </c>
      <c r="E83" s="146">
        <v>0</v>
      </c>
      <c r="F83" s="146">
        <v>-3</v>
      </c>
      <c r="G83" s="146">
        <v>5</v>
      </c>
      <c r="H83" s="146">
        <v>11</v>
      </c>
      <c r="I83" s="146">
        <v>2</v>
      </c>
      <c r="J83" s="764">
        <v>21</v>
      </c>
      <c r="K83" s="764">
        <v>28</v>
      </c>
      <c r="L83" s="764">
        <v>12</v>
      </c>
      <c r="M83" s="764">
        <v>-2</v>
      </c>
      <c r="N83" s="764">
        <v>-1</v>
      </c>
      <c r="O83" s="211">
        <v>-0.55300000000000005</v>
      </c>
      <c r="P83" s="211">
        <v>4</v>
      </c>
      <c r="Q83" s="211">
        <v>-1</v>
      </c>
      <c r="R83" s="211">
        <v>1</v>
      </c>
      <c r="S83" s="211">
        <v>1</v>
      </c>
      <c r="T83" s="211">
        <v>1</v>
      </c>
      <c r="U83" s="221"/>
      <c r="V83" s="181" t="s">
        <v>80</v>
      </c>
      <c r="W83" s="211">
        <v>1</v>
      </c>
    </row>
    <row r="84" spans="2:23" s="119" customFormat="1" ht="15.75">
      <c r="B84" s="181" t="s">
        <v>81</v>
      </c>
      <c r="C84" s="146">
        <v>8</v>
      </c>
      <c r="D84" s="146">
        <v>4</v>
      </c>
      <c r="E84" s="146">
        <v>18</v>
      </c>
      <c r="F84" s="146">
        <v>21</v>
      </c>
      <c r="G84" s="146">
        <v>28</v>
      </c>
      <c r="H84" s="146">
        <v>8</v>
      </c>
      <c r="I84" s="146">
        <v>-3</v>
      </c>
      <c r="J84" s="764">
        <v>-24</v>
      </c>
      <c r="K84" s="764">
        <v>-40</v>
      </c>
      <c r="L84" s="764">
        <v>-26</v>
      </c>
      <c r="M84" s="764">
        <v>-74</v>
      </c>
      <c r="N84" s="764">
        <v>-73</v>
      </c>
      <c r="O84" s="211">
        <v>-69.022000000000006</v>
      </c>
      <c r="P84" s="211">
        <v>-61</v>
      </c>
      <c r="Q84" s="211">
        <v>-32</v>
      </c>
      <c r="R84" s="211">
        <v>-41</v>
      </c>
      <c r="S84" s="211">
        <v>0</v>
      </c>
      <c r="T84" s="211">
        <v>0</v>
      </c>
      <c r="U84" s="221"/>
      <c r="V84" s="181" t="s">
        <v>81</v>
      </c>
      <c r="W84" s="211">
        <v>0</v>
      </c>
    </row>
    <row r="85" spans="2:23">
      <c r="B85" s="170" t="s">
        <v>84</v>
      </c>
      <c r="C85" s="175">
        <f t="shared" ref="C85:N85" si="6">SUM(C79:C84)</f>
        <v>328</v>
      </c>
      <c r="D85" s="175">
        <f t="shared" si="6"/>
        <v>321</v>
      </c>
      <c r="E85" s="175">
        <f t="shared" si="6"/>
        <v>330</v>
      </c>
      <c r="F85" s="175">
        <f t="shared" si="6"/>
        <v>330</v>
      </c>
      <c r="G85" s="175">
        <f t="shared" si="6"/>
        <v>354</v>
      </c>
      <c r="H85" s="175">
        <f t="shared" si="6"/>
        <v>352</v>
      </c>
      <c r="I85" s="175">
        <f t="shared" si="6"/>
        <v>350</v>
      </c>
      <c r="J85" s="213">
        <f t="shared" si="6"/>
        <v>351</v>
      </c>
      <c r="K85" s="213">
        <f t="shared" si="6"/>
        <v>342</v>
      </c>
      <c r="L85" s="213">
        <f t="shared" si="6"/>
        <v>364</v>
      </c>
      <c r="M85" s="213">
        <f t="shared" si="6"/>
        <v>314</v>
      </c>
      <c r="N85" s="213">
        <f t="shared" si="6"/>
        <v>316</v>
      </c>
      <c r="O85" s="213">
        <v>320.66699999999997</v>
      </c>
      <c r="P85" s="213">
        <f>SUM(P79:P84)</f>
        <v>333</v>
      </c>
      <c r="Q85" s="213">
        <v>361</v>
      </c>
      <c r="R85" s="213">
        <v>353</v>
      </c>
      <c r="S85" s="213">
        <v>316</v>
      </c>
      <c r="T85" s="213">
        <v>316</v>
      </c>
      <c r="U85" s="221"/>
      <c r="V85" s="170" t="s">
        <v>84</v>
      </c>
      <c r="W85" s="213">
        <v>315</v>
      </c>
    </row>
    <row r="86" spans="2:23">
      <c r="B86" s="173" t="s">
        <v>85</v>
      </c>
      <c r="C86" s="212">
        <f t="shared" ref="C86:N86" si="7">+C76+C85</f>
        <v>595</v>
      </c>
      <c r="D86" s="212">
        <f t="shared" si="7"/>
        <v>786</v>
      </c>
      <c r="E86" s="212">
        <f t="shared" si="7"/>
        <v>857</v>
      </c>
      <c r="F86" s="212">
        <f t="shared" si="7"/>
        <v>936</v>
      </c>
      <c r="G86" s="212">
        <f t="shared" si="7"/>
        <v>950</v>
      </c>
      <c r="H86" s="212">
        <f t="shared" si="7"/>
        <v>1075</v>
      </c>
      <c r="I86" s="212">
        <f t="shared" si="7"/>
        <v>1084</v>
      </c>
      <c r="J86" s="212">
        <f t="shared" si="7"/>
        <v>1104</v>
      </c>
      <c r="K86" s="212">
        <f t="shared" si="7"/>
        <v>1133</v>
      </c>
      <c r="L86" s="212">
        <f t="shared" si="7"/>
        <v>1257</v>
      </c>
      <c r="M86" s="212">
        <f t="shared" si="7"/>
        <v>1279</v>
      </c>
      <c r="N86" s="212">
        <f t="shared" si="7"/>
        <v>1367</v>
      </c>
      <c r="O86" s="212">
        <v>1371.2149999999999</v>
      </c>
      <c r="P86" s="212">
        <f>+P76+P85</f>
        <v>1410</v>
      </c>
      <c r="Q86" s="212">
        <v>1397</v>
      </c>
      <c r="R86" s="212">
        <v>1404</v>
      </c>
      <c r="S86" s="212">
        <v>1714</v>
      </c>
      <c r="T86" s="212">
        <v>1701</v>
      </c>
      <c r="V86" s="173" t="s">
        <v>85</v>
      </c>
      <c r="W86" s="212">
        <v>1547</v>
      </c>
    </row>
  </sheetData>
  <phoneticPr fontId="175" type="noConversion"/>
  <hyperlinks>
    <hyperlink ref="A1" location="'Table of Contents'!A1" display="Return to Table of Contents" xr:uid="{00000000-0004-0000-0700-000000000000}"/>
  </hyperlinks>
  <pageMargins left="0.7" right="0.7" top="0.75" bottom="0.75" header="0.3" footer="0.3"/>
  <pageSetup orientation="portrait" r:id="rId1"/>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A55B-6666-4A2D-AED0-4721BCB5575D}">
  <dimension ref="A1:O94"/>
  <sheetViews>
    <sheetView showGridLines="0" topLeftCell="C90" zoomScaleNormal="100" workbookViewId="0">
      <selection activeCell="J37" sqref="J37:J93"/>
    </sheetView>
  </sheetViews>
  <sheetFormatPr baseColWidth="10" defaultColWidth="11.42578125" defaultRowHeight="15"/>
  <cols>
    <col min="1" max="1" width="2.85546875" style="135" customWidth="1"/>
    <col min="2" max="2" width="64.85546875" style="135" customWidth="1"/>
    <col min="3" max="3" width="14.42578125" style="135" customWidth="1"/>
    <col min="4" max="5" width="14.42578125" style="599" bestFit="1" customWidth="1"/>
    <col min="6" max="7" width="13.85546875" style="135" bestFit="1" customWidth="1"/>
    <col min="8" max="8" width="5.7109375" style="744" customWidth="1"/>
    <col min="9" max="9" width="45.7109375" style="135" bestFit="1" customWidth="1"/>
    <col min="10" max="10" width="13.85546875" style="135" bestFit="1" customWidth="1"/>
    <col min="11" max="15" width="11.42578125" style="135"/>
    <col min="16" max="16" width="13.140625" style="135" customWidth="1"/>
    <col min="17" max="16384" width="11.42578125" style="135"/>
  </cols>
  <sheetData>
    <row r="1" spans="1:15">
      <c r="A1" s="3" t="s">
        <v>627</v>
      </c>
    </row>
    <row r="3" spans="1:15" ht="15.75">
      <c r="A3" s="302"/>
      <c r="B3" s="165" t="s">
        <v>1040</v>
      </c>
      <c r="C3" s="75"/>
      <c r="D3" s="600"/>
      <c r="E3" s="600"/>
      <c r="F3" s="302"/>
      <c r="G3" s="302"/>
      <c r="H3" s="302"/>
      <c r="I3" s="302"/>
      <c r="J3" s="302"/>
      <c r="K3" s="302"/>
      <c r="L3" s="302"/>
      <c r="M3" s="302"/>
      <c r="N3" s="302"/>
      <c r="O3" s="302"/>
    </row>
    <row r="4" spans="1:15">
      <c r="B4" s="462" t="s">
        <v>1041</v>
      </c>
      <c r="C4" s="5"/>
      <c r="D4" s="601"/>
      <c r="E4" s="601"/>
    </row>
    <row r="5" spans="1:15" ht="15.75">
      <c r="B5" s="77"/>
      <c r="C5" s="77"/>
      <c r="D5" s="602"/>
      <c r="E5" s="602"/>
    </row>
    <row r="6" spans="1:15">
      <c r="B6" s="78"/>
      <c r="C6" s="79" t="s">
        <v>958</v>
      </c>
      <c r="D6" s="603" t="s">
        <v>1014</v>
      </c>
      <c r="E6" s="603" t="s">
        <v>1048</v>
      </c>
      <c r="F6" s="79" t="s">
        <v>1187</v>
      </c>
      <c r="G6" s="741" t="s">
        <v>1239</v>
      </c>
      <c r="I6" s="78"/>
      <c r="J6" s="741" t="s">
        <v>1292</v>
      </c>
    </row>
    <row r="7" spans="1:15">
      <c r="B7" s="128"/>
      <c r="C7" s="81"/>
      <c r="D7" s="604"/>
      <c r="E7" s="604"/>
      <c r="F7" s="81"/>
      <c r="G7" s="742"/>
    </row>
    <row r="8" spans="1:15">
      <c r="B8" s="129" t="s">
        <v>13</v>
      </c>
      <c r="C8" s="13">
        <f>+ROUND(26979696861/1000000,0)</f>
        <v>26980</v>
      </c>
      <c r="D8" s="605">
        <v>42471</v>
      </c>
      <c r="E8" s="605">
        <v>28148</v>
      </c>
      <c r="F8" s="13">
        <v>4064</v>
      </c>
      <c r="G8" s="724">
        <v>10697</v>
      </c>
      <c r="I8" s="129" t="s">
        <v>13</v>
      </c>
      <c r="J8" s="13">
        <v>131</v>
      </c>
    </row>
    <row r="9" spans="1:15">
      <c r="B9" s="129" t="s">
        <v>14</v>
      </c>
      <c r="C9" s="13">
        <f>+ROUND(24682648811/1000000,0)</f>
        <v>24683</v>
      </c>
      <c r="D9" s="605">
        <v>33977</v>
      </c>
      <c r="E9" s="605">
        <v>22518</v>
      </c>
      <c r="F9" s="13">
        <v>3246</v>
      </c>
      <c r="G9" s="724">
        <v>8596</v>
      </c>
      <c r="I9" s="129" t="s">
        <v>14</v>
      </c>
      <c r="J9" s="13">
        <v>360</v>
      </c>
    </row>
    <row r="10" spans="1:15">
      <c r="B10" s="132" t="s">
        <v>15</v>
      </c>
      <c r="C10" s="15">
        <f>+C8-C9</f>
        <v>2297</v>
      </c>
      <c r="D10" s="606">
        <f>+D8-D9</f>
        <v>8494</v>
      </c>
      <c r="E10" s="606">
        <v>5630</v>
      </c>
      <c r="F10" s="15">
        <f>+F8-F9</f>
        <v>818</v>
      </c>
      <c r="G10" s="725">
        <v>2101</v>
      </c>
      <c r="I10" s="132" t="s">
        <v>1293</v>
      </c>
      <c r="J10" s="253">
        <v>-229</v>
      </c>
    </row>
    <row r="11" spans="1:15">
      <c r="B11" s="129"/>
      <c r="C11" s="13"/>
      <c r="D11" s="605"/>
      <c r="E11" s="605">
        <v>0</v>
      </c>
      <c r="F11" s="13"/>
      <c r="G11" s="724"/>
      <c r="J11" s="13"/>
    </row>
    <row r="12" spans="1:15">
      <c r="B12" s="129" t="s">
        <v>475</v>
      </c>
      <c r="C12" s="13">
        <f>+ROUND(17176016432.53/1000000,0)</f>
        <v>17176</v>
      </c>
      <c r="D12" s="605">
        <v>10999</v>
      </c>
      <c r="E12" s="605">
        <v>11821</v>
      </c>
      <c r="F12" s="13">
        <v>12422</v>
      </c>
      <c r="G12" s="724">
        <v>14296</v>
      </c>
      <c r="I12" s="129" t="s">
        <v>475</v>
      </c>
      <c r="J12" s="13">
        <v>10985</v>
      </c>
    </row>
    <row r="13" spans="1:15">
      <c r="B13" s="129" t="s">
        <v>476</v>
      </c>
      <c r="C13" s="13">
        <f>+ROUND(67678981813/1000000,0)-C12</f>
        <v>50503</v>
      </c>
      <c r="D13" s="605">
        <v>50409</v>
      </c>
      <c r="E13" s="605">
        <v>49383</v>
      </c>
      <c r="F13" s="13">
        <v>50606</v>
      </c>
      <c r="G13" s="724">
        <v>52648</v>
      </c>
      <c r="I13" s="129" t="s">
        <v>476</v>
      </c>
      <c r="J13" s="13">
        <v>54130</v>
      </c>
    </row>
    <row r="14" spans="1:15">
      <c r="B14" s="129" t="s">
        <v>22</v>
      </c>
      <c r="C14" s="13">
        <v>0</v>
      </c>
      <c r="D14" s="605">
        <v>0</v>
      </c>
      <c r="E14" s="605">
        <v>0</v>
      </c>
      <c r="F14" s="13">
        <v>0</v>
      </c>
      <c r="G14" s="724">
        <v>0</v>
      </c>
      <c r="I14" s="129" t="s">
        <v>22</v>
      </c>
      <c r="J14" s="13"/>
    </row>
    <row r="15" spans="1:15">
      <c r="B15" s="129" t="s">
        <v>23</v>
      </c>
      <c r="C15" s="13">
        <f>+ROUND(38503779139/1000000,0)-C9</f>
        <v>13821</v>
      </c>
      <c r="D15" s="605">
        <v>10823</v>
      </c>
      <c r="E15" s="605">
        <v>10906</v>
      </c>
      <c r="F15" s="13">
        <v>12077</v>
      </c>
      <c r="G15" s="724">
        <v>13772</v>
      </c>
      <c r="I15" s="129" t="s">
        <v>23</v>
      </c>
      <c r="J15" s="13">
        <v>11937</v>
      </c>
    </row>
    <row r="16" spans="1:15">
      <c r="B16" s="132" t="s">
        <v>24</v>
      </c>
      <c r="C16" s="15">
        <f t="shared" ref="C16:D16" si="0">+SUM(C12:C14)-C15</f>
        <v>53858</v>
      </c>
      <c r="D16" s="606">
        <f t="shared" si="0"/>
        <v>50585</v>
      </c>
      <c r="E16" s="606">
        <v>50298</v>
      </c>
      <c r="F16" s="15">
        <f t="shared" ref="F16" si="1">+SUM(F12:F14)-F15</f>
        <v>50951</v>
      </c>
      <c r="G16" s="725">
        <v>53172</v>
      </c>
      <c r="I16" s="129" t="s">
        <v>26</v>
      </c>
      <c r="J16" s="13">
        <v>384</v>
      </c>
    </row>
    <row r="17" spans="2:10">
      <c r="B17" s="130" t="s">
        <v>25</v>
      </c>
      <c r="C17" s="252">
        <f t="shared" ref="C17:D17" si="2">+C16+C10</f>
        <v>56155</v>
      </c>
      <c r="D17" s="607">
        <f t="shared" si="2"/>
        <v>59079</v>
      </c>
      <c r="E17" s="607">
        <v>55928</v>
      </c>
      <c r="F17" s="252">
        <f t="shared" ref="F17" si="3">+F16+F10</f>
        <v>51769</v>
      </c>
      <c r="G17" s="727">
        <v>55273</v>
      </c>
      <c r="I17" s="132" t="s">
        <v>677</v>
      </c>
      <c r="J17" s="253">
        <v>52794</v>
      </c>
    </row>
    <row r="18" spans="2:10">
      <c r="B18" s="10"/>
      <c r="C18" s="131"/>
      <c r="D18" s="608"/>
      <c r="E18" s="608"/>
      <c r="F18" s="5"/>
      <c r="G18" s="723"/>
    </row>
    <row r="19" spans="2:10">
      <c r="B19" s="129" t="s">
        <v>26</v>
      </c>
      <c r="C19" s="13">
        <f>ROUND(256915561/1000000,0)</f>
        <v>257</v>
      </c>
      <c r="D19" s="605">
        <v>363</v>
      </c>
      <c r="E19" s="605">
        <v>443</v>
      </c>
      <c r="F19" s="13">
        <v>356</v>
      </c>
      <c r="G19" s="724">
        <v>351</v>
      </c>
    </row>
    <row r="20" spans="2:10">
      <c r="B20" s="129" t="s">
        <v>27</v>
      </c>
      <c r="C20" s="13">
        <v>0</v>
      </c>
      <c r="D20" s="605">
        <v>0</v>
      </c>
      <c r="E20" s="605">
        <v>0</v>
      </c>
      <c r="F20" s="13"/>
      <c r="G20" s="724">
        <v>0</v>
      </c>
      <c r="I20" s="129" t="s">
        <v>27</v>
      </c>
      <c r="J20" s="13">
        <v>0</v>
      </c>
    </row>
    <row r="21" spans="2:10">
      <c r="B21" s="129" t="s">
        <v>28</v>
      </c>
      <c r="C21" s="13">
        <f>-ROUND(2636082778/1000000,0)</f>
        <v>-2636</v>
      </c>
      <c r="D21" s="605">
        <v>-1711</v>
      </c>
      <c r="E21" s="605">
        <v>-415</v>
      </c>
      <c r="F21" s="13">
        <v>-1961</v>
      </c>
      <c r="G21" s="724">
        <v>29</v>
      </c>
      <c r="I21" s="129" t="s">
        <v>28</v>
      </c>
      <c r="J21" s="13">
        <v>-1675</v>
      </c>
    </row>
    <row r="22" spans="2:10">
      <c r="B22" s="130" t="s">
        <v>29</v>
      </c>
      <c r="C22" s="253">
        <f>+C17-C19+C20+C21</f>
        <v>53262</v>
      </c>
      <c r="D22" s="607">
        <f>+D17-D19+D20+D21</f>
        <v>57005</v>
      </c>
      <c r="E22" s="607">
        <v>55070</v>
      </c>
      <c r="F22" s="253">
        <f>+F17-F19+F20+F21</f>
        <v>49452</v>
      </c>
      <c r="G22" s="728">
        <v>54951</v>
      </c>
      <c r="I22" s="130" t="s">
        <v>29</v>
      </c>
      <c r="J22" s="253">
        <v>50890</v>
      </c>
    </row>
    <row r="23" spans="2:10">
      <c r="B23" s="129"/>
      <c r="C23" s="13"/>
      <c r="D23" s="605"/>
      <c r="E23" s="605"/>
      <c r="F23" s="13"/>
      <c r="G23" s="724"/>
      <c r="I23" s="129"/>
      <c r="J23" s="13">
        <v>0</v>
      </c>
    </row>
    <row r="24" spans="2:10">
      <c r="B24" s="129" t="s">
        <v>30</v>
      </c>
      <c r="C24" s="13">
        <v>-45995</v>
      </c>
      <c r="D24" s="605">
        <v>-40546</v>
      </c>
      <c r="E24" s="605">
        <v>-48863</v>
      </c>
      <c r="F24" s="13">
        <v>-51015</v>
      </c>
      <c r="G24" s="724">
        <v>-49896</v>
      </c>
      <c r="I24" s="129" t="s">
        <v>30</v>
      </c>
      <c r="J24" s="13">
        <v>-65311</v>
      </c>
    </row>
    <row r="25" spans="2:10">
      <c r="B25" s="130" t="s">
        <v>31</v>
      </c>
      <c r="C25" s="253">
        <f>+C22+C24</f>
        <v>7267</v>
      </c>
      <c r="D25" s="607">
        <f>+D22+D24</f>
        <v>16459</v>
      </c>
      <c r="E25" s="607">
        <v>6207</v>
      </c>
      <c r="F25" s="253">
        <f>+F22+F24</f>
        <v>-1563</v>
      </c>
      <c r="G25" s="728">
        <v>5055</v>
      </c>
      <c r="I25" s="130" t="s">
        <v>31</v>
      </c>
      <c r="J25" s="253">
        <v>-14421</v>
      </c>
    </row>
    <row r="26" spans="2:10">
      <c r="B26" s="10"/>
      <c r="C26" s="131"/>
      <c r="D26" s="608"/>
      <c r="E26" s="608"/>
      <c r="F26" s="131"/>
      <c r="G26" s="726"/>
      <c r="I26" s="10"/>
      <c r="J26" s="13">
        <v>0</v>
      </c>
    </row>
    <row r="27" spans="2:10">
      <c r="B27" s="129" t="s">
        <v>32</v>
      </c>
      <c r="C27" s="13">
        <f>+ROUND(12177220811/1000000,0)</f>
        <v>12177</v>
      </c>
      <c r="D27" s="605">
        <v>4853</v>
      </c>
      <c r="E27" s="605">
        <v>-7670</v>
      </c>
      <c r="F27" s="13">
        <v>6221</v>
      </c>
      <c r="G27" s="724">
        <v>40139</v>
      </c>
      <c r="I27" s="129" t="s">
        <v>32</v>
      </c>
      <c r="J27" s="13">
        <v>-1085</v>
      </c>
    </row>
    <row r="28" spans="2:10">
      <c r="B28" s="130" t="s">
        <v>35</v>
      </c>
      <c r="C28" s="253">
        <f t="shared" ref="C28:D28" si="4">+C25-C27</f>
        <v>-4910</v>
      </c>
      <c r="D28" s="607">
        <f t="shared" si="4"/>
        <v>11606</v>
      </c>
      <c r="E28" s="607">
        <v>13877</v>
      </c>
      <c r="F28" s="253">
        <f t="shared" ref="F28" si="5">+F25-F27</f>
        <v>-7784</v>
      </c>
      <c r="G28" s="728">
        <v>-35084</v>
      </c>
      <c r="I28" s="130" t="s">
        <v>35</v>
      </c>
      <c r="J28" s="253">
        <v>-15506</v>
      </c>
    </row>
    <row r="29" spans="2:10">
      <c r="J29" s="13"/>
    </row>
    <row r="30" spans="2:10">
      <c r="I30" s="130" t="s">
        <v>1299</v>
      </c>
      <c r="J30" s="253">
        <v>52313</v>
      </c>
    </row>
    <row r="31" spans="2:10" ht="15.75">
      <c r="B31" s="149" t="s">
        <v>1043</v>
      </c>
      <c r="C31" s="302"/>
      <c r="D31" s="609"/>
      <c r="E31" s="609"/>
      <c r="G31" s="722"/>
    </row>
    <row r="32" spans="2:10" ht="15.75">
      <c r="B32" s="462" t="s">
        <v>1041</v>
      </c>
      <c r="C32" s="302"/>
      <c r="D32" s="609"/>
      <c r="E32" s="609"/>
      <c r="G32" s="722"/>
    </row>
    <row r="33" spans="2:10" ht="15.75">
      <c r="B33" s="269"/>
      <c r="C33" s="302"/>
      <c r="D33" s="609"/>
      <c r="E33" s="609"/>
      <c r="G33" s="722"/>
    </row>
    <row r="34" spans="2:10" ht="15.75" thickBot="1">
      <c r="B34" s="463"/>
      <c r="C34" s="79" t="s">
        <v>958</v>
      </c>
      <c r="D34" s="603" t="s">
        <v>1014</v>
      </c>
      <c r="E34" s="603" t="s">
        <v>1048</v>
      </c>
      <c r="F34" s="79" t="s">
        <v>1187</v>
      </c>
      <c r="G34" s="741" t="s">
        <v>1239</v>
      </c>
      <c r="I34" s="463"/>
      <c r="J34" s="741" t="s">
        <v>1292</v>
      </c>
    </row>
    <row r="35" spans="2:10">
      <c r="B35" s="168" t="s">
        <v>37</v>
      </c>
      <c r="C35" s="388"/>
      <c r="D35" s="610"/>
      <c r="E35" s="610"/>
      <c r="F35" s="388"/>
      <c r="G35" s="729"/>
      <c r="I35" s="168" t="s">
        <v>37</v>
      </c>
      <c r="J35" s="747"/>
    </row>
    <row r="36" spans="2:10" ht="15.75" thickBot="1">
      <c r="B36" s="58" t="s">
        <v>38</v>
      </c>
      <c r="C36" s="58"/>
      <c r="D36" s="611"/>
      <c r="E36" s="611"/>
      <c r="F36" s="210"/>
      <c r="G36" s="730"/>
      <c r="I36" s="58" t="s">
        <v>38</v>
      </c>
      <c r="J36" s="748"/>
    </row>
    <row r="37" spans="2:10" ht="15.75" thickBot="1">
      <c r="B37" s="182" t="s">
        <v>39</v>
      </c>
      <c r="C37" s="61">
        <v>405090</v>
      </c>
      <c r="D37" s="612">
        <v>348438</v>
      </c>
      <c r="E37" s="612">
        <v>345062</v>
      </c>
      <c r="F37" s="61">
        <v>271759</v>
      </c>
      <c r="G37" s="731">
        <v>440330</v>
      </c>
      <c r="I37" s="182" t="s">
        <v>39</v>
      </c>
      <c r="J37" s="61">
        <v>326334</v>
      </c>
    </row>
    <row r="38" spans="2:10" ht="15.75" thickBot="1">
      <c r="B38" s="182" t="s">
        <v>40</v>
      </c>
      <c r="C38" s="61">
        <v>290440</v>
      </c>
      <c r="D38" s="612">
        <v>295114</v>
      </c>
      <c r="E38" s="612">
        <v>274935</v>
      </c>
      <c r="F38" s="61">
        <v>268788</v>
      </c>
      <c r="G38" s="731">
        <v>440672</v>
      </c>
      <c r="I38" s="182" t="s">
        <v>40</v>
      </c>
      <c r="J38" s="61">
        <v>2542</v>
      </c>
    </row>
    <row r="39" spans="2:10">
      <c r="B39" s="181" t="s">
        <v>1044</v>
      </c>
      <c r="C39" s="61">
        <v>553</v>
      </c>
      <c r="D39" s="612"/>
      <c r="E39" s="612">
        <v>0</v>
      </c>
      <c r="F39" s="61"/>
      <c r="G39" s="731">
        <v>0</v>
      </c>
      <c r="I39" s="181" t="s">
        <v>1044</v>
      </c>
      <c r="J39" s="61">
        <v>0</v>
      </c>
    </row>
    <row r="40" spans="2:10" ht="15.75" thickBot="1">
      <c r="B40" s="182" t="s">
        <v>41</v>
      </c>
      <c r="C40" s="61">
        <v>1333</v>
      </c>
      <c r="D40" s="612">
        <v>1984</v>
      </c>
      <c r="E40" s="612">
        <v>3005</v>
      </c>
      <c r="F40" s="61">
        <v>3138</v>
      </c>
      <c r="G40" s="731">
        <v>2463</v>
      </c>
      <c r="I40" s="182" t="s">
        <v>41</v>
      </c>
      <c r="J40" s="61">
        <v>2794</v>
      </c>
    </row>
    <row r="41" spans="2:10" ht="15.75" thickBot="1">
      <c r="B41" s="182" t="s">
        <v>43</v>
      </c>
      <c r="C41" s="61">
        <v>9371</v>
      </c>
      <c r="D41" s="612">
        <v>7144</v>
      </c>
      <c r="E41" s="612">
        <v>5502</v>
      </c>
      <c r="F41" s="61">
        <v>3204</v>
      </c>
      <c r="G41" s="731">
        <v>5465</v>
      </c>
      <c r="I41" s="182" t="s">
        <v>43</v>
      </c>
      <c r="J41" s="61">
        <v>4899</v>
      </c>
    </row>
    <row r="42" spans="2:10">
      <c r="B42" s="186" t="s">
        <v>44</v>
      </c>
      <c r="C42" s="61">
        <v>0</v>
      </c>
      <c r="D42" s="612">
        <v>0</v>
      </c>
      <c r="E42" s="612">
        <v>0</v>
      </c>
      <c r="F42" s="61">
        <v>0</v>
      </c>
      <c r="G42" s="731">
        <v>0</v>
      </c>
      <c r="I42" s="186" t="s">
        <v>44</v>
      </c>
      <c r="J42" s="61">
        <v>0</v>
      </c>
    </row>
    <row r="43" spans="2:10" ht="15.75" thickBot="1">
      <c r="B43" s="173" t="s">
        <v>45</v>
      </c>
      <c r="C43" s="173">
        <f t="shared" ref="C43:D43" si="6">SUM(C37:C42)</f>
        <v>706787</v>
      </c>
      <c r="D43" s="613">
        <f t="shared" si="6"/>
        <v>652680</v>
      </c>
      <c r="E43" s="613">
        <v>628504</v>
      </c>
      <c r="F43" s="63">
        <f t="shared" ref="F43" si="7">SUM(F37:F42)</f>
        <v>546889</v>
      </c>
      <c r="G43" s="732">
        <v>888930</v>
      </c>
      <c r="I43" s="173" t="s">
        <v>45</v>
      </c>
      <c r="J43" s="63">
        <v>336569</v>
      </c>
    </row>
    <row r="44" spans="2:10" ht="15.75" thickBot="1">
      <c r="B44" s="170" t="s">
        <v>46</v>
      </c>
      <c r="C44" s="170"/>
      <c r="D44" s="614"/>
      <c r="E44" s="614"/>
      <c r="F44" s="59"/>
      <c r="G44" s="733"/>
      <c r="I44" s="170" t="s">
        <v>46</v>
      </c>
      <c r="J44" s="733"/>
    </row>
    <row r="45" spans="2:10">
      <c r="B45" s="181" t="s">
        <v>47</v>
      </c>
      <c r="C45" s="61">
        <v>0</v>
      </c>
      <c r="D45" s="612">
        <v>0</v>
      </c>
      <c r="E45" s="612">
        <v>0</v>
      </c>
      <c r="F45" s="61">
        <v>0</v>
      </c>
      <c r="G45" s="731">
        <v>0</v>
      </c>
      <c r="I45" s="181" t="s">
        <v>47</v>
      </c>
      <c r="J45" s="61">
        <v>0</v>
      </c>
    </row>
    <row r="46" spans="2:10">
      <c r="B46" s="181" t="s">
        <v>48</v>
      </c>
      <c r="C46" s="61">
        <v>0</v>
      </c>
      <c r="D46" s="612">
        <v>0</v>
      </c>
      <c r="E46" s="612">
        <v>0</v>
      </c>
      <c r="F46" s="61">
        <v>0</v>
      </c>
      <c r="G46" s="731">
        <v>0</v>
      </c>
      <c r="I46" s="181" t="s">
        <v>48</v>
      </c>
      <c r="J46" s="61">
        <v>0</v>
      </c>
    </row>
    <row r="47" spans="2:10" ht="28.5">
      <c r="B47" s="181" t="s">
        <v>94</v>
      </c>
      <c r="C47" s="61">
        <v>0</v>
      </c>
      <c r="D47" s="612">
        <v>0</v>
      </c>
      <c r="E47" s="612">
        <v>0</v>
      </c>
      <c r="F47" s="61">
        <v>0</v>
      </c>
      <c r="G47" s="731">
        <v>0</v>
      </c>
      <c r="I47" s="181" t="s">
        <v>94</v>
      </c>
      <c r="J47" s="61">
        <v>0</v>
      </c>
    </row>
    <row r="48" spans="2:10">
      <c r="B48" s="181" t="s">
        <v>95</v>
      </c>
      <c r="C48" s="61">
        <v>0</v>
      </c>
      <c r="D48" s="612">
        <v>0</v>
      </c>
      <c r="E48" s="612">
        <v>0</v>
      </c>
      <c r="F48" s="61">
        <v>0</v>
      </c>
      <c r="G48" s="731">
        <v>0</v>
      </c>
      <c r="I48" s="181" t="s">
        <v>95</v>
      </c>
      <c r="J48" s="61">
        <v>0</v>
      </c>
    </row>
    <row r="49" spans="2:10">
      <c r="B49" s="181" t="s">
        <v>40</v>
      </c>
      <c r="C49" s="61">
        <v>1750420</v>
      </c>
      <c r="D49" s="612">
        <v>1729497</v>
      </c>
      <c r="E49" s="612">
        <v>1821970</v>
      </c>
      <c r="F49" s="61">
        <v>1871620</v>
      </c>
      <c r="G49" s="731">
        <v>1784029</v>
      </c>
      <c r="I49" s="181" t="s">
        <v>40</v>
      </c>
      <c r="J49" s="61">
        <v>2079912</v>
      </c>
    </row>
    <row r="50" spans="2:10">
      <c r="B50" s="181" t="s">
        <v>1044</v>
      </c>
      <c r="C50" s="61">
        <v>975</v>
      </c>
      <c r="D50" s="612"/>
      <c r="E50" s="612">
        <v>0</v>
      </c>
      <c r="F50" s="61">
        <v>0</v>
      </c>
      <c r="G50" s="731">
        <v>0</v>
      </c>
      <c r="I50" s="181" t="s">
        <v>1044</v>
      </c>
      <c r="J50" s="61">
        <v>0</v>
      </c>
    </row>
    <row r="51" spans="2:10">
      <c r="B51" s="181" t="s">
        <v>42</v>
      </c>
      <c r="C51" s="61">
        <v>0</v>
      </c>
      <c r="D51" s="612">
        <v>0</v>
      </c>
      <c r="E51" s="612">
        <v>0</v>
      </c>
      <c r="F51" s="61">
        <v>0</v>
      </c>
      <c r="G51" s="731">
        <v>0</v>
      </c>
      <c r="I51" s="181" t="s">
        <v>42</v>
      </c>
      <c r="J51" s="61">
        <v>0</v>
      </c>
    </row>
    <row r="52" spans="2:10">
      <c r="B52" s="181" t="s">
        <v>52</v>
      </c>
      <c r="C52" s="61">
        <v>2864</v>
      </c>
      <c r="D52" s="612">
        <v>2682</v>
      </c>
      <c r="E52" s="612">
        <v>7392</v>
      </c>
      <c r="F52" s="61">
        <v>7040</v>
      </c>
      <c r="G52" s="731">
        <v>6704</v>
      </c>
      <c r="I52" s="181" t="s">
        <v>52</v>
      </c>
      <c r="J52" s="61">
        <v>6295</v>
      </c>
    </row>
    <row r="53" spans="2:10">
      <c r="B53" s="181" t="s">
        <v>53</v>
      </c>
      <c r="C53" s="61">
        <v>0</v>
      </c>
      <c r="D53" s="612">
        <v>0</v>
      </c>
      <c r="E53" s="612">
        <v>0</v>
      </c>
      <c r="F53" s="61">
        <v>0</v>
      </c>
      <c r="G53" s="731">
        <v>0</v>
      </c>
      <c r="I53" s="181" t="s">
        <v>53</v>
      </c>
      <c r="J53" s="61">
        <v>0</v>
      </c>
    </row>
    <row r="54" spans="2:10">
      <c r="B54" s="181" t="s">
        <v>55</v>
      </c>
      <c r="C54" s="61">
        <v>128</v>
      </c>
      <c r="D54" s="612">
        <v>109</v>
      </c>
      <c r="E54" s="612">
        <v>90</v>
      </c>
      <c r="F54" s="61">
        <v>140</v>
      </c>
      <c r="G54" s="731">
        <v>648</v>
      </c>
      <c r="I54" s="181" t="s">
        <v>55</v>
      </c>
      <c r="J54" s="61">
        <v>847</v>
      </c>
    </row>
    <row r="55" spans="2:10">
      <c r="B55" s="181" t="s">
        <v>43</v>
      </c>
      <c r="C55" s="61">
        <v>1164</v>
      </c>
      <c r="D55" s="612">
        <v>0</v>
      </c>
      <c r="E55" s="612">
        <v>0</v>
      </c>
      <c r="F55" s="61">
        <v>0</v>
      </c>
      <c r="G55" s="731">
        <v>0</v>
      </c>
      <c r="I55" s="181" t="s">
        <v>43</v>
      </c>
      <c r="J55" s="61">
        <v>0</v>
      </c>
    </row>
    <row r="56" spans="2:10">
      <c r="B56" s="181" t="s">
        <v>56</v>
      </c>
      <c r="C56" s="61">
        <v>655681</v>
      </c>
      <c r="D56" s="612">
        <v>678524</v>
      </c>
      <c r="E56" s="612">
        <v>694741</v>
      </c>
      <c r="F56" s="61">
        <v>834605</v>
      </c>
      <c r="G56" s="731">
        <v>0</v>
      </c>
      <c r="I56" s="181" t="s">
        <v>56</v>
      </c>
      <c r="J56" s="61">
        <v>0</v>
      </c>
    </row>
    <row r="57" spans="2:10">
      <c r="B57" s="181" t="s">
        <v>57</v>
      </c>
      <c r="C57" s="61">
        <v>2470</v>
      </c>
      <c r="D57" s="612">
        <v>4815</v>
      </c>
      <c r="E57" s="612">
        <v>0</v>
      </c>
      <c r="F57" s="61">
        <v>0</v>
      </c>
      <c r="G57" s="731">
        <v>0</v>
      </c>
      <c r="I57" s="181" t="s">
        <v>57</v>
      </c>
      <c r="J57" s="61">
        <v>0</v>
      </c>
    </row>
    <row r="58" spans="2:10">
      <c r="B58" s="181" t="s">
        <v>44</v>
      </c>
      <c r="C58" s="61">
        <v>0</v>
      </c>
      <c r="D58" s="612">
        <v>0</v>
      </c>
      <c r="E58" s="612">
        <v>0</v>
      </c>
      <c r="F58" s="61">
        <v>0</v>
      </c>
      <c r="G58" s="731">
        <v>0</v>
      </c>
      <c r="I58" s="181" t="s">
        <v>44</v>
      </c>
      <c r="J58" s="61">
        <v>0</v>
      </c>
    </row>
    <row r="59" spans="2:10" ht="15.75" thickBot="1">
      <c r="B59" s="170" t="s">
        <v>59</v>
      </c>
      <c r="C59" s="64">
        <f t="shared" ref="C59:D59" si="8">SUM(C45:C58)</f>
        <v>2413702</v>
      </c>
      <c r="D59" s="64">
        <f t="shared" si="8"/>
        <v>2415627</v>
      </c>
      <c r="E59" s="64">
        <v>2524193</v>
      </c>
      <c r="F59" s="64">
        <f t="shared" ref="F59" si="9">SUM(F45:F58)</f>
        <v>2713405</v>
      </c>
      <c r="G59" s="734">
        <v>1791381</v>
      </c>
      <c r="I59" s="170" t="s">
        <v>59</v>
      </c>
      <c r="J59" s="64">
        <v>2087054</v>
      </c>
    </row>
    <row r="60" spans="2:10" ht="15.75" thickBot="1">
      <c r="B60" s="173" t="s">
        <v>60</v>
      </c>
      <c r="C60" s="66">
        <f t="shared" ref="C60:D60" si="10">+C43+C59</f>
        <v>3120489</v>
      </c>
      <c r="D60" s="66">
        <f t="shared" si="10"/>
        <v>3068307</v>
      </c>
      <c r="E60" s="66">
        <v>3152697</v>
      </c>
      <c r="F60" s="66">
        <f t="shared" ref="F60" si="11">+F43+F59</f>
        <v>3260294</v>
      </c>
      <c r="G60" s="735">
        <v>2680311</v>
      </c>
      <c r="I60" s="173" t="s">
        <v>60</v>
      </c>
      <c r="J60" s="66">
        <v>2423623</v>
      </c>
    </row>
    <row r="61" spans="2:10" ht="15.75" thickBot="1">
      <c r="B61" s="464"/>
      <c r="C61" s="364"/>
      <c r="D61" s="615"/>
      <c r="E61" s="615">
        <v>0</v>
      </c>
      <c r="F61" s="364"/>
      <c r="G61" s="739">
        <v>0</v>
      </c>
      <c r="I61" s="464"/>
      <c r="J61" s="739">
        <v>0</v>
      </c>
    </row>
    <row r="62" spans="2:10" ht="15.75" thickBot="1">
      <c r="B62" s="176" t="s">
        <v>61</v>
      </c>
      <c r="C62" s="69"/>
      <c r="D62" s="616"/>
      <c r="E62" s="616"/>
      <c r="F62" s="69"/>
      <c r="G62" s="736"/>
      <c r="I62" s="176" t="s">
        <v>61</v>
      </c>
      <c r="J62" s="736">
        <v>0</v>
      </c>
    </row>
    <row r="63" spans="2:10" ht="15.75" thickBot="1">
      <c r="B63" s="170" t="s">
        <v>62</v>
      </c>
      <c r="C63" s="70"/>
      <c r="D63" s="617"/>
      <c r="E63" s="617"/>
      <c r="F63" s="70"/>
      <c r="G63" s="737"/>
      <c r="I63" s="170" t="s">
        <v>62</v>
      </c>
      <c r="J63" s="737">
        <v>0</v>
      </c>
    </row>
    <row r="64" spans="2:10">
      <c r="B64" s="181" t="s">
        <v>63</v>
      </c>
      <c r="C64" s="61">
        <v>27587</v>
      </c>
      <c r="D64" s="612">
        <v>79408</v>
      </c>
      <c r="E64" s="612">
        <v>108671</v>
      </c>
      <c r="F64" s="61">
        <v>72275</v>
      </c>
      <c r="G64" s="731">
        <v>112871</v>
      </c>
      <c r="I64" s="181" t="s">
        <v>63</v>
      </c>
      <c r="J64" s="61">
        <v>78810</v>
      </c>
    </row>
    <row r="65" spans="2:10">
      <c r="B65" s="181" t="s">
        <v>1045</v>
      </c>
      <c r="C65" s="61">
        <v>36441</v>
      </c>
      <c r="D65" s="612">
        <v>0</v>
      </c>
      <c r="E65" s="612">
        <v>0</v>
      </c>
      <c r="F65" s="61">
        <v>0</v>
      </c>
      <c r="G65" s="731">
        <v>0</v>
      </c>
      <c r="I65" s="181" t="s">
        <v>1045</v>
      </c>
      <c r="J65" s="61">
        <v>0</v>
      </c>
    </row>
    <row r="66" spans="2:10">
      <c r="B66" s="181" t="s">
        <v>64</v>
      </c>
      <c r="C66" s="61">
        <v>10445</v>
      </c>
      <c r="D66" s="612">
        <v>14324</v>
      </c>
      <c r="E66" s="612">
        <v>22274</v>
      </c>
      <c r="F66" s="61">
        <v>13502</v>
      </c>
      <c r="G66" s="731">
        <v>52867</v>
      </c>
      <c r="I66" s="181" t="s">
        <v>64</v>
      </c>
      <c r="J66" s="61">
        <v>44969</v>
      </c>
    </row>
    <row r="67" spans="2:10">
      <c r="B67" s="181" t="s">
        <v>66</v>
      </c>
      <c r="C67" s="61">
        <v>1153</v>
      </c>
      <c r="D67" s="612">
        <v>581</v>
      </c>
      <c r="E67" s="612">
        <v>624</v>
      </c>
      <c r="F67" s="61">
        <v>861</v>
      </c>
      <c r="G67" s="731">
        <v>1388</v>
      </c>
      <c r="I67" s="181" t="s">
        <v>66</v>
      </c>
      <c r="J67" s="61">
        <v>652</v>
      </c>
    </row>
    <row r="68" spans="2:10">
      <c r="B68" s="181" t="s">
        <v>41</v>
      </c>
      <c r="C68" s="61">
        <v>483</v>
      </c>
      <c r="D68" s="612">
        <v>4069</v>
      </c>
      <c r="E68" s="612">
        <v>4010</v>
      </c>
      <c r="F68" s="61">
        <v>3866</v>
      </c>
      <c r="G68" s="731">
        <v>707</v>
      </c>
      <c r="I68" s="181" t="s">
        <v>41</v>
      </c>
      <c r="J68" s="61">
        <v>512</v>
      </c>
    </row>
    <row r="69" spans="2:10">
      <c r="B69" s="181" t="s">
        <v>67</v>
      </c>
      <c r="C69" s="61">
        <v>0</v>
      </c>
      <c r="D69" s="612">
        <v>23484</v>
      </c>
      <c r="E69" s="612">
        <v>33290</v>
      </c>
      <c r="F69" s="61">
        <v>31779</v>
      </c>
      <c r="G69" s="731">
        <v>0</v>
      </c>
      <c r="I69" s="181" t="s">
        <v>67</v>
      </c>
      <c r="J69" s="61">
        <v>0</v>
      </c>
    </row>
    <row r="70" spans="2:10">
      <c r="B70" s="181" t="s">
        <v>68</v>
      </c>
      <c r="C70" s="61">
        <v>4567</v>
      </c>
      <c r="D70" s="612">
        <v>76195</v>
      </c>
      <c r="E70" s="612">
        <v>63308</v>
      </c>
      <c r="F70" s="61">
        <v>47880</v>
      </c>
      <c r="G70" s="731">
        <v>222483</v>
      </c>
      <c r="I70" s="181" t="s">
        <v>68</v>
      </c>
      <c r="J70" s="61">
        <v>57772</v>
      </c>
    </row>
    <row r="71" spans="2:10">
      <c r="B71" s="181" t="s">
        <v>625</v>
      </c>
      <c r="C71" s="50">
        <v>0</v>
      </c>
      <c r="D71" s="618">
        <v>0</v>
      </c>
      <c r="E71" s="618">
        <v>0</v>
      </c>
      <c r="F71" s="50">
        <v>0</v>
      </c>
      <c r="G71" s="740">
        <v>0</v>
      </c>
      <c r="I71" s="181" t="s">
        <v>625</v>
      </c>
      <c r="J71" s="50">
        <v>0</v>
      </c>
    </row>
    <row r="72" spans="2:10" ht="15.75" thickBot="1">
      <c r="B72" s="170" t="s">
        <v>70</v>
      </c>
      <c r="C72" s="64">
        <f t="shared" ref="C72:D72" si="12">SUM(C64:C71)</f>
        <v>80676</v>
      </c>
      <c r="D72" s="64">
        <f t="shared" si="12"/>
        <v>198061</v>
      </c>
      <c r="E72" s="64">
        <v>232177</v>
      </c>
      <c r="F72" s="64">
        <f t="shared" ref="F72" si="13">SUM(F64:F71)</f>
        <v>170163</v>
      </c>
      <c r="G72" s="734">
        <v>390316</v>
      </c>
      <c r="I72" s="170" t="s">
        <v>70</v>
      </c>
      <c r="J72" s="64">
        <v>182715</v>
      </c>
    </row>
    <row r="73" spans="2:10" ht="15.75" thickBot="1">
      <c r="B73" s="179" t="s">
        <v>71</v>
      </c>
      <c r="C73" s="72"/>
      <c r="D73" s="619"/>
      <c r="E73" s="619"/>
      <c r="F73" s="72"/>
      <c r="G73" s="738"/>
      <c r="I73" s="179" t="s">
        <v>71</v>
      </c>
      <c r="J73" s="738"/>
    </row>
    <row r="74" spans="2:10">
      <c r="B74" s="181" t="s">
        <v>63</v>
      </c>
      <c r="C74" s="61">
        <v>754044</v>
      </c>
      <c r="D74" s="612">
        <v>1421574</v>
      </c>
      <c r="E74" s="612">
        <v>1443605</v>
      </c>
      <c r="F74" s="61">
        <v>1469416</v>
      </c>
      <c r="G74" s="731">
        <v>1490307</v>
      </c>
      <c r="I74" s="181" t="s">
        <v>63</v>
      </c>
      <c r="J74" s="61">
        <v>1433797</v>
      </c>
    </row>
    <row r="75" spans="2:10">
      <c r="B75" s="181" t="s">
        <v>1045</v>
      </c>
      <c r="C75" s="61">
        <v>678738</v>
      </c>
      <c r="D75" s="612">
        <v>0</v>
      </c>
      <c r="E75" s="612">
        <v>0</v>
      </c>
      <c r="F75" s="61">
        <v>0</v>
      </c>
      <c r="G75" s="731">
        <v>0</v>
      </c>
      <c r="I75" s="181" t="s">
        <v>1045</v>
      </c>
      <c r="J75" s="61">
        <v>0</v>
      </c>
    </row>
    <row r="76" spans="2:10">
      <c r="B76" s="181" t="s">
        <v>1046</v>
      </c>
      <c r="C76" s="61">
        <v>0</v>
      </c>
      <c r="D76" s="612">
        <v>4288</v>
      </c>
      <c r="E76" s="612">
        <v>3931</v>
      </c>
      <c r="F76" s="61">
        <v>3731</v>
      </c>
      <c r="G76" s="731">
        <v>3502</v>
      </c>
      <c r="I76" s="181" t="s">
        <v>1046</v>
      </c>
      <c r="J76" s="61">
        <v>0</v>
      </c>
    </row>
    <row r="77" spans="2:10">
      <c r="B77" s="181" t="s">
        <v>72</v>
      </c>
      <c r="C77" s="61">
        <v>479845</v>
      </c>
      <c r="D77" s="612">
        <v>485152</v>
      </c>
      <c r="E77" s="612">
        <v>490748</v>
      </c>
      <c r="F77" s="61">
        <v>496417</v>
      </c>
      <c r="G77" s="731">
        <v>502457</v>
      </c>
      <c r="I77" s="181" t="s">
        <v>72</v>
      </c>
      <c r="J77" s="61">
        <v>511560</v>
      </c>
    </row>
    <row r="78" spans="2:10">
      <c r="B78" s="181" t="s">
        <v>66</v>
      </c>
      <c r="C78" s="61">
        <v>0</v>
      </c>
      <c r="D78" s="612">
        <v>0</v>
      </c>
      <c r="E78" s="612">
        <v>0</v>
      </c>
      <c r="F78" s="61">
        <v>0</v>
      </c>
      <c r="G78" s="731">
        <v>0</v>
      </c>
      <c r="I78" s="181" t="s">
        <v>66</v>
      </c>
      <c r="J78" s="61">
        <v>0</v>
      </c>
    </row>
    <row r="79" spans="2:10">
      <c r="B79" s="181" t="s">
        <v>67</v>
      </c>
      <c r="C79" s="61">
        <v>2711</v>
      </c>
      <c r="D79" s="612">
        <v>0</v>
      </c>
      <c r="E79" s="612">
        <v>0</v>
      </c>
      <c r="F79" s="61">
        <v>0</v>
      </c>
      <c r="G79" s="731">
        <v>2711</v>
      </c>
      <c r="I79" s="181" t="s">
        <v>67</v>
      </c>
      <c r="J79" s="61">
        <v>2692</v>
      </c>
    </row>
    <row r="80" spans="2:10">
      <c r="B80" s="181" t="s">
        <v>68</v>
      </c>
      <c r="C80" s="61">
        <v>203934</v>
      </c>
      <c r="D80" s="612">
        <v>0</v>
      </c>
      <c r="E80" s="612">
        <v>0</v>
      </c>
      <c r="F80" s="61">
        <v>0</v>
      </c>
      <c r="G80" s="731">
        <v>0</v>
      </c>
      <c r="I80" s="181" t="s">
        <v>68</v>
      </c>
      <c r="J80" s="61">
        <v>16261</v>
      </c>
    </row>
    <row r="81" spans="2:10">
      <c r="B81" s="181" t="s">
        <v>97</v>
      </c>
      <c r="C81" s="61">
        <v>713869</v>
      </c>
      <c r="D81" s="612">
        <v>740955</v>
      </c>
      <c r="E81" s="612">
        <v>750082</v>
      </c>
      <c r="F81" s="700">
        <f>896196+1</f>
        <v>896197</v>
      </c>
      <c r="G81" s="743">
        <v>101732</v>
      </c>
      <c r="I81" s="181" t="s">
        <v>97</v>
      </c>
      <c r="J81" s="700">
        <v>100646</v>
      </c>
    </row>
    <row r="82" spans="2:10" ht="15.75" thickBot="1">
      <c r="B82" s="170" t="s">
        <v>73</v>
      </c>
      <c r="C82" s="64">
        <f t="shared" ref="C82:D82" si="14">SUM(C74:C81)</f>
        <v>2833141</v>
      </c>
      <c r="D82" s="64">
        <f t="shared" si="14"/>
        <v>2651969</v>
      </c>
      <c r="E82" s="64">
        <v>2688366</v>
      </c>
      <c r="F82" s="64">
        <f t="shared" ref="F82" si="15">SUM(F74:F81)</f>
        <v>2865761</v>
      </c>
      <c r="G82" s="734">
        <v>2100709</v>
      </c>
      <c r="I82" s="170" t="s">
        <v>73</v>
      </c>
      <c r="J82" s="64">
        <v>2064956</v>
      </c>
    </row>
    <row r="83" spans="2:10" ht="15.75" thickBot="1">
      <c r="B83" s="173" t="s">
        <v>74</v>
      </c>
      <c r="C83" s="66">
        <f t="shared" ref="C83:D83" si="16">+C72+C82</f>
        <v>2913817</v>
      </c>
      <c r="D83" s="66">
        <f t="shared" si="16"/>
        <v>2850030</v>
      </c>
      <c r="E83" s="66">
        <v>2920543</v>
      </c>
      <c r="F83" s="66">
        <f t="shared" ref="F83" si="17">+F72+F82</f>
        <v>3035924</v>
      </c>
      <c r="G83" s="735">
        <v>2491025</v>
      </c>
      <c r="I83" s="173" t="s">
        <v>74</v>
      </c>
      <c r="J83" s="66">
        <v>2247671</v>
      </c>
    </row>
    <row r="84" spans="2:10" ht="15.75" thickBot="1">
      <c r="B84" s="464"/>
      <c r="C84" s="364"/>
      <c r="D84" s="615"/>
      <c r="E84" s="615">
        <v>0</v>
      </c>
      <c r="F84" s="364"/>
      <c r="G84" s="739">
        <v>0</v>
      </c>
      <c r="I84" s="464"/>
      <c r="J84" s="739">
        <v>0</v>
      </c>
    </row>
    <row r="85" spans="2:10" ht="15.75" thickBot="1">
      <c r="B85" s="179" t="s">
        <v>75</v>
      </c>
      <c r="C85" s="179"/>
      <c r="D85" s="620"/>
      <c r="E85" s="620">
        <v>0</v>
      </c>
      <c r="F85" s="72"/>
      <c r="G85" s="738"/>
      <c r="I85" s="179" t="s">
        <v>75</v>
      </c>
      <c r="J85" s="738"/>
    </row>
    <row r="86" spans="2:10">
      <c r="B86" s="181" t="s">
        <v>76</v>
      </c>
      <c r="C86" s="61">
        <v>84</v>
      </c>
      <c r="D86" s="612">
        <v>84</v>
      </c>
      <c r="E86" s="612">
        <v>84</v>
      </c>
      <c r="F86" s="61">
        <v>84</v>
      </c>
      <c r="G86" s="731">
        <v>84</v>
      </c>
      <c r="I86" s="181" t="s">
        <v>76</v>
      </c>
      <c r="J86" s="61">
        <v>84</v>
      </c>
    </row>
    <row r="87" spans="2:10">
      <c r="B87" s="181" t="s">
        <v>77</v>
      </c>
      <c r="C87" s="61">
        <v>0</v>
      </c>
      <c r="D87" s="612">
        <v>0</v>
      </c>
      <c r="E87" s="612">
        <v>0</v>
      </c>
      <c r="F87" s="61">
        <v>0</v>
      </c>
      <c r="G87" s="731">
        <v>0</v>
      </c>
      <c r="I87" s="181" t="s">
        <v>77</v>
      </c>
      <c r="J87" s="61">
        <v>0</v>
      </c>
    </row>
    <row r="88" spans="2:10">
      <c r="B88" s="181" t="s">
        <v>78</v>
      </c>
      <c r="C88" s="61">
        <v>0</v>
      </c>
      <c r="D88" s="612">
        <v>0</v>
      </c>
      <c r="E88" s="612">
        <v>0</v>
      </c>
      <c r="F88" s="61">
        <v>0</v>
      </c>
      <c r="G88" s="731">
        <v>0</v>
      </c>
      <c r="I88" s="181" t="s">
        <v>78</v>
      </c>
      <c r="J88" s="61">
        <v>0</v>
      </c>
    </row>
    <row r="89" spans="2:10">
      <c r="B89" s="181" t="s">
        <v>79</v>
      </c>
      <c r="C89" s="61">
        <v>211498</v>
      </c>
      <c r="D89" s="612">
        <v>206587</v>
      </c>
      <c r="E89" s="612">
        <v>206587</v>
      </c>
      <c r="F89" s="61">
        <v>206587</v>
      </c>
      <c r="G89" s="731">
        <v>206587</v>
      </c>
      <c r="I89" s="181" t="s">
        <v>79</v>
      </c>
      <c r="J89" s="61">
        <v>189203</v>
      </c>
    </row>
    <row r="90" spans="2:10">
      <c r="B90" s="181" t="s">
        <v>80</v>
      </c>
      <c r="C90" s="61">
        <v>-4910</v>
      </c>
      <c r="D90" s="612">
        <v>11606</v>
      </c>
      <c r="E90" s="612">
        <v>25483</v>
      </c>
      <c r="F90" s="61">
        <v>17699</v>
      </c>
      <c r="G90" s="731">
        <v>-17385</v>
      </c>
      <c r="I90" s="181" t="s">
        <v>80</v>
      </c>
      <c r="J90" s="61">
        <v>-13335</v>
      </c>
    </row>
    <row r="91" spans="2:10">
      <c r="B91" s="181" t="s">
        <v>81</v>
      </c>
      <c r="C91" s="61">
        <v>0</v>
      </c>
      <c r="D91" s="612">
        <v>0</v>
      </c>
      <c r="E91" s="612">
        <v>0</v>
      </c>
      <c r="F91" s="61">
        <v>0</v>
      </c>
      <c r="G91" s="731">
        <v>0</v>
      </c>
      <c r="I91" s="181" t="s">
        <v>81</v>
      </c>
      <c r="J91" s="61">
        <v>0</v>
      </c>
    </row>
    <row r="92" spans="2:10" ht="15.75" thickBot="1">
      <c r="B92" s="170" t="s">
        <v>84</v>
      </c>
      <c r="C92" s="614">
        <f t="shared" ref="C92:D92" si="18">SUM(C86:C91)</f>
        <v>206672</v>
      </c>
      <c r="D92" s="614">
        <f t="shared" si="18"/>
        <v>218277</v>
      </c>
      <c r="E92" s="614">
        <v>232154</v>
      </c>
      <c r="F92" s="64">
        <f t="shared" ref="F92" si="19">SUM(F86:F91)</f>
        <v>224370</v>
      </c>
      <c r="G92" s="734">
        <v>189286</v>
      </c>
      <c r="I92" s="170" t="s">
        <v>84</v>
      </c>
      <c r="J92" s="64">
        <v>175952</v>
      </c>
    </row>
    <row r="93" spans="2:10" ht="15.75" thickBot="1">
      <c r="B93" s="173" t="s">
        <v>85</v>
      </c>
      <c r="C93" s="613">
        <f t="shared" ref="C93:D93" si="20">+C83+C92</f>
        <v>3120489</v>
      </c>
      <c r="D93" s="613">
        <f t="shared" si="20"/>
        <v>3068307</v>
      </c>
      <c r="E93" s="613">
        <v>3152697</v>
      </c>
      <c r="F93" s="66">
        <f t="shared" ref="F93" si="21">+F83+F92</f>
        <v>3260294</v>
      </c>
      <c r="G93" s="735">
        <v>2680311</v>
      </c>
      <c r="I93" s="173" t="s">
        <v>85</v>
      </c>
      <c r="J93" s="66">
        <v>2423623</v>
      </c>
    </row>
    <row r="94" spans="2:10">
      <c r="C94" s="114">
        <f>+C60-C93</f>
        <v>0</v>
      </c>
      <c r="D94" s="114">
        <f t="shared" ref="D94:F94" si="22">+D60-D93</f>
        <v>0</v>
      </c>
      <c r="E94" s="114">
        <f t="shared" si="22"/>
        <v>0</v>
      </c>
      <c r="F94" s="114">
        <f t="shared" si="22"/>
        <v>0</v>
      </c>
    </row>
  </sheetData>
  <hyperlinks>
    <hyperlink ref="A1" location="'Table of Contents'!A1" display="Return to Table of Contents" xr:uid="{39F6B314-2036-4AB2-BEC1-FB0A0B60F8D9}"/>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W421"/>
  <sheetViews>
    <sheetView showGridLines="0" zoomScale="85" zoomScaleNormal="85" workbookViewId="0">
      <pane xSplit="2" ySplit="7" topLeftCell="P338" activePane="bottomRight" state="frozen"/>
      <selection pane="topRight" activeCell="C1" sqref="C1"/>
      <selection pane="bottomLeft" activeCell="A8" sqref="A8"/>
      <selection pane="bottomRight" activeCell="W302" sqref="W302"/>
    </sheetView>
  </sheetViews>
  <sheetFormatPr baseColWidth="10" defaultColWidth="11.42578125" defaultRowHeight="15"/>
  <cols>
    <col min="1" max="1" width="7.140625" customWidth="1"/>
    <col min="2" max="2" width="57.85546875" customWidth="1"/>
    <col min="3" max="10" width="12.42578125" customWidth="1"/>
    <col min="11" max="14" width="13.85546875" bestFit="1" customWidth="1"/>
    <col min="15" max="18" width="14.7109375" bestFit="1" customWidth="1"/>
    <col min="19" max="19" width="14.7109375" style="135" bestFit="1" customWidth="1"/>
    <col min="20" max="20" width="15.28515625" bestFit="1" customWidth="1"/>
    <col min="21" max="21" width="9.28515625" style="744" customWidth="1"/>
    <col min="22" max="22" width="45.7109375" bestFit="1" customWidth="1"/>
    <col min="23" max="23" width="14.7109375" bestFit="1" customWidth="1"/>
  </cols>
  <sheetData>
    <row r="1" spans="1:23">
      <c r="A1" s="3" t="s">
        <v>627</v>
      </c>
    </row>
    <row r="3" spans="1:23" ht="15.75">
      <c r="B3" s="465" t="s">
        <v>1039</v>
      </c>
      <c r="C3" s="75"/>
      <c r="D3" s="75"/>
      <c r="E3" s="76"/>
      <c r="F3" s="75"/>
      <c r="G3" s="75"/>
      <c r="H3" s="75"/>
      <c r="I3" s="76"/>
      <c r="J3" s="75"/>
      <c r="K3" s="75"/>
      <c r="L3" s="75"/>
      <c r="M3" s="76"/>
      <c r="N3" s="75"/>
    </row>
    <row r="4" spans="1:23" ht="13.5" customHeight="1">
      <c r="B4" s="99" t="s">
        <v>515</v>
      </c>
      <c r="C4" s="5"/>
      <c r="D4" s="5"/>
      <c r="E4" s="5"/>
      <c r="F4" s="5"/>
      <c r="G4" s="5"/>
      <c r="H4" s="5"/>
      <c r="I4" s="5"/>
      <c r="J4" s="5"/>
      <c r="K4" s="5"/>
      <c r="L4" s="5"/>
      <c r="M4" s="5"/>
      <c r="N4" s="5"/>
    </row>
    <row r="5" spans="1:23" ht="9.6" customHeight="1">
      <c r="B5" s="77"/>
      <c r="C5" s="77"/>
      <c r="D5" s="77"/>
      <c r="E5" s="77"/>
      <c r="F5" s="77"/>
      <c r="G5" s="77"/>
      <c r="H5" s="77"/>
      <c r="I5" s="77"/>
      <c r="J5" s="77"/>
      <c r="K5" s="77"/>
      <c r="L5" s="77"/>
      <c r="M5" s="77"/>
      <c r="N5" s="77"/>
    </row>
    <row r="6" spans="1:23">
      <c r="B6" s="78"/>
      <c r="C6" s="79">
        <v>2016</v>
      </c>
      <c r="D6" s="79">
        <v>2017</v>
      </c>
      <c r="E6" s="79" t="s">
        <v>578</v>
      </c>
      <c r="F6" s="79" t="s">
        <v>579</v>
      </c>
      <c r="G6" s="79" t="s">
        <v>580</v>
      </c>
      <c r="H6" s="79" t="s">
        <v>581</v>
      </c>
      <c r="I6" s="79" t="s">
        <v>582</v>
      </c>
      <c r="J6" s="79" t="s">
        <v>583</v>
      </c>
      <c r="K6" s="79" t="s">
        <v>584</v>
      </c>
      <c r="L6" s="79" t="s">
        <v>585</v>
      </c>
      <c r="M6" s="79" t="s">
        <v>11</v>
      </c>
      <c r="N6" s="79" t="s">
        <v>12</v>
      </c>
      <c r="O6" s="208" t="s">
        <v>626</v>
      </c>
      <c r="P6" s="360" t="s">
        <v>958</v>
      </c>
      <c r="Q6" s="360" t="s">
        <v>1014</v>
      </c>
      <c r="R6" s="387" t="s">
        <v>1048</v>
      </c>
      <c r="S6" s="387" t="s">
        <v>1187</v>
      </c>
      <c r="T6" s="754" t="s">
        <v>1239</v>
      </c>
      <c r="V6" s="463"/>
      <c r="W6" s="754" t="s">
        <v>1292</v>
      </c>
    </row>
    <row r="7" spans="1:23" ht="5.0999999999999996" customHeight="1">
      <c r="B7" s="128"/>
      <c r="C7" s="81"/>
      <c r="D7" s="81"/>
      <c r="E7" s="81"/>
      <c r="F7" s="81"/>
      <c r="G7" s="81"/>
      <c r="H7" s="81"/>
      <c r="I7" s="81"/>
      <c r="J7" s="81"/>
      <c r="K7" s="81"/>
      <c r="L7" s="81"/>
      <c r="M7" s="81"/>
      <c r="N7" s="81"/>
      <c r="O7" s="77"/>
      <c r="R7" s="135"/>
    </row>
    <row r="8" spans="1:23" ht="15.75">
      <c r="B8" s="129" t="s">
        <v>516</v>
      </c>
      <c r="C8" s="13">
        <v>21559</v>
      </c>
      <c r="D8" s="13">
        <v>6501</v>
      </c>
      <c r="E8" s="13">
        <v>1605</v>
      </c>
      <c r="F8" s="13">
        <v>2519</v>
      </c>
      <c r="G8" s="13">
        <v>3792</v>
      </c>
      <c r="H8" s="13">
        <v>10850</v>
      </c>
      <c r="I8" s="13">
        <v>3208</v>
      </c>
      <c r="J8" s="13">
        <v>6858</v>
      </c>
      <c r="K8" s="13">
        <v>13157</v>
      </c>
      <c r="L8" s="13">
        <v>13280</v>
      </c>
      <c r="M8" s="13">
        <v>8788</v>
      </c>
      <c r="N8" s="13">
        <v>8649</v>
      </c>
      <c r="O8" s="285">
        <f>25905-M8-N8</f>
        <v>8468</v>
      </c>
      <c r="P8" s="285">
        <v>21083.452605999999</v>
      </c>
      <c r="Q8" s="285">
        <v>9235.8317509999997</v>
      </c>
      <c r="R8" s="285">
        <v>11006.218275000001</v>
      </c>
      <c r="S8" s="285">
        <v>6174.5087820000008</v>
      </c>
      <c r="T8" s="285">
        <v>8591.1498749999955</v>
      </c>
      <c r="V8" s="129" t="s">
        <v>13</v>
      </c>
      <c r="W8" s="285">
        <v>1689.8998779999999</v>
      </c>
    </row>
    <row r="9" spans="1:23" ht="15.75">
      <c r="B9" s="129" t="s">
        <v>517</v>
      </c>
      <c r="C9" s="13">
        <v>18557</v>
      </c>
      <c r="D9" s="13">
        <v>5186</v>
      </c>
      <c r="E9" s="13">
        <v>1246</v>
      </c>
      <c r="F9" s="13">
        <v>2052</v>
      </c>
      <c r="G9" s="13">
        <v>3174</v>
      </c>
      <c r="H9" s="13">
        <v>10135</v>
      </c>
      <c r="I9" s="13">
        <v>2839</v>
      </c>
      <c r="J9" s="13">
        <v>6069</v>
      </c>
      <c r="K9" s="13">
        <v>11643</v>
      </c>
      <c r="L9" s="13">
        <v>11752</v>
      </c>
      <c r="M9" s="13">
        <v>7642</v>
      </c>
      <c r="N9" s="13">
        <v>7535</v>
      </c>
      <c r="O9" s="285">
        <f>22545-M9-N9</f>
        <v>7368</v>
      </c>
      <c r="P9" s="285">
        <v>18333.437048</v>
      </c>
      <c r="Q9" s="285">
        <v>8031</v>
      </c>
      <c r="R9" s="285">
        <v>9570.7826300000015</v>
      </c>
      <c r="S9" s="285">
        <v>5369.1082279999973</v>
      </c>
      <c r="T9" s="285">
        <v>7470.5651090000028</v>
      </c>
      <c r="V9" s="129" t="s">
        <v>14</v>
      </c>
      <c r="W9" s="285">
        <v>1469.4781539999999</v>
      </c>
    </row>
    <row r="10" spans="1:23" ht="15.75">
      <c r="B10" s="132" t="s">
        <v>518</v>
      </c>
      <c r="C10" s="15">
        <v>3002</v>
      </c>
      <c r="D10" s="15">
        <v>1315</v>
      </c>
      <c r="E10" s="15">
        <v>359</v>
      </c>
      <c r="F10" s="15">
        <v>467</v>
      </c>
      <c r="G10" s="15">
        <v>618</v>
      </c>
      <c r="H10" s="15">
        <v>715</v>
      </c>
      <c r="I10" s="15">
        <v>369</v>
      </c>
      <c r="J10" s="15">
        <v>789</v>
      </c>
      <c r="K10" s="15">
        <v>1514</v>
      </c>
      <c r="L10" s="15">
        <v>1528</v>
      </c>
      <c r="M10" s="15">
        <v>1146</v>
      </c>
      <c r="N10" s="15">
        <v>1114</v>
      </c>
      <c r="O10" s="301">
        <f>+O8-O9</f>
        <v>1100</v>
      </c>
      <c r="P10" s="301">
        <v>2750.0155579999991</v>
      </c>
      <c r="Q10" s="301">
        <f>+Q8-Q9</f>
        <v>1204.8317509999997</v>
      </c>
      <c r="R10" s="301">
        <v>1435.4356449999996</v>
      </c>
      <c r="S10" s="301">
        <v>805.40055400000347</v>
      </c>
      <c r="T10" s="301">
        <v>1120.5847659999927</v>
      </c>
      <c r="V10" s="132" t="s">
        <v>1293</v>
      </c>
      <c r="W10" s="301">
        <v>220.42172400000004</v>
      </c>
    </row>
    <row r="11" spans="1:23" ht="3.95" customHeight="1">
      <c r="B11" s="129"/>
      <c r="C11" s="13"/>
      <c r="D11" s="13"/>
      <c r="E11" s="13"/>
      <c r="F11" s="13"/>
      <c r="G11" s="13"/>
      <c r="H11" s="13"/>
      <c r="I11" s="13"/>
      <c r="J11" s="13"/>
      <c r="K11" s="13"/>
      <c r="L11" s="13"/>
      <c r="M11" s="13"/>
      <c r="N11" s="13"/>
      <c r="O11" s="285"/>
      <c r="P11" s="285"/>
      <c r="Q11" s="285"/>
      <c r="R11" s="285"/>
      <c r="S11" s="285">
        <v>0</v>
      </c>
      <c r="T11" s="285"/>
      <c r="W11" s="285"/>
    </row>
    <row r="12" spans="1:23" ht="15.75">
      <c r="B12" s="129" t="s">
        <v>519</v>
      </c>
      <c r="C12" s="13">
        <v>27482</v>
      </c>
      <c r="D12" s="13">
        <v>24698</v>
      </c>
      <c r="E12" s="13">
        <v>5872</v>
      </c>
      <c r="F12" s="13">
        <v>6511</v>
      </c>
      <c r="G12" s="13">
        <v>6485</v>
      </c>
      <c r="H12" s="13">
        <v>7536</v>
      </c>
      <c r="I12" s="13">
        <v>7138</v>
      </c>
      <c r="J12" s="13">
        <v>6972</v>
      </c>
      <c r="K12" s="13">
        <v>9154</v>
      </c>
      <c r="L12" s="13">
        <v>8685</v>
      </c>
      <c r="M12" s="13">
        <v>7003</v>
      </c>
      <c r="N12" s="13">
        <v>7692</v>
      </c>
      <c r="O12" s="285">
        <f>22905-M12-N12</f>
        <v>8210</v>
      </c>
      <c r="P12" s="285">
        <v>10163.71689</v>
      </c>
      <c r="Q12" s="285">
        <v>7240.9150203999998</v>
      </c>
      <c r="R12" s="285">
        <v>9038.3503875999995</v>
      </c>
      <c r="S12" s="285">
        <v>8925.0059079999992</v>
      </c>
      <c r="T12" s="285">
        <v>12363.043470000004</v>
      </c>
      <c r="V12" s="129" t="s">
        <v>475</v>
      </c>
      <c r="W12" s="285">
        <v>8808.4460060000001</v>
      </c>
    </row>
    <row r="13" spans="1:23" ht="15.75">
      <c r="B13" s="129" t="s">
        <v>520</v>
      </c>
      <c r="C13" s="13">
        <v>120243</v>
      </c>
      <c r="D13" s="13">
        <v>122503</v>
      </c>
      <c r="E13" s="13">
        <v>28847</v>
      </c>
      <c r="F13" s="13">
        <v>27761</v>
      </c>
      <c r="G13" s="13">
        <v>28251</v>
      </c>
      <c r="H13" s="13">
        <v>28505</v>
      </c>
      <c r="I13" s="13">
        <v>27818</v>
      </c>
      <c r="J13" s="13">
        <v>28258</v>
      </c>
      <c r="K13" s="13">
        <v>28668</v>
      </c>
      <c r="L13" s="13">
        <v>28882</v>
      </c>
      <c r="M13" s="13">
        <v>28223</v>
      </c>
      <c r="N13" s="13">
        <v>25540</v>
      </c>
      <c r="O13" s="285">
        <f>87232-M13-N13</f>
        <v>33469</v>
      </c>
      <c r="P13" s="285">
        <v>31730.264073000002</v>
      </c>
      <c r="Q13" s="285">
        <v>30988.951077000002</v>
      </c>
      <c r="R13" s="285">
        <v>32156.663703999995</v>
      </c>
      <c r="S13" s="285">
        <v>33125.433321000004</v>
      </c>
      <c r="T13" s="285">
        <v>37709.848901999998</v>
      </c>
      <c r="V13" s="129" t="s">
        <v>476</v>
      </c>
      <c r="W13" s="285">
        <v>33581.663785999997</v>
      </c>
    </row>
    <row r="14" spans="1:23" ht="15.75">
      <c r="B14" s="129" t="s">
        <v>521</v>
      </c>
      <c r="C14" s="13">
        <v>13</v>
      </c>
      <c r="D14" s="13">
        <v>102</v>
      </c>
      <c r="E14" s="13">
        <v>49</v>
      </c>
      <c r="F14" s="13">
        <v>96</v>
      </c>
      <c r="G14" s="13">
        <v>73</v>
      </c>
      <c r="H14" s="13">
        <v>87</v>
      </c>
      <c r="I14" s="13">
        <v>112</v>
      </c>
      <c r="J14" s="13">
        <v>82</v>
      </c>
      <c r="K14" s="13">
        <v>185</v>
      </c>
      <c r="L14" s="13">
        <v>1599</v>
      </c>
      <c r="M14" s="13">
        <v>176</v>
      </c>
      <c r="N14" s="13">
        <v>-108</v>
      </c>
      <c r="O14" s="285">
        <f>92-M14-N14</f>
        <v>24</v>
      </c>
      <c r="P14" s="285">
        <v>77.274477999999988</v>
      </c>
      <c r="Q14" s="285">
        <v>76.796128000000024</v>
      </c>
      <c r="R14" s="285">
        <v>53.594471999999982</v>
      </c>
      <c r="S14" s="285">
        <v>148.340373</v>
      </c>
      <c r="T14" s="285">
        <v>1300.397289</v>
      </c>
      <c r="V14" s="129" t="s">
        <v>22</v>
      </c>
      <c r="W14" s="285">
        <v>551.85353299999997</v>
      </c>
    </row>
    <row r="15" spans="1:23" ht="15.75">
      <c r="B15" s="129" t="s">
        <v>522</v>
      </c>
      <c r="C15" s="13">
        <v>26992</v>
      </c>
      <c r="D15" s="13">
        <v>24167</v>
      </c>
      <c r="E15" s="13">
        <v>5869</v>
      </c>
      <c r="F15" s="13">
        <v>6317</v>
      </c>
      <c r="G15" s="13">
        <v>6450</v>
      </c>
      <c r="H15" s="13">
        <v>6694</v>
      </c>
      <c r="I15" s="13">
        <v>6710</v>
      </c>
      <c r="J15" s="13">
        <v>6709</v>
      </c>
      <c r="K15" s="13">
        <v>8865</v>
      </c>
      <c r="L15" s="13">
        <v>8629</v>
      </c>
      <c r="M15" s="13">
        <v>6713</v>
      </c>
      <c r="N15" s="13">
        <v>6908</v>
      </c>
      <c r="O15" s="285">
        <f>24287-M15-N15</f>
        <v>10666</v>
      </c>
      <c r="P15" s="285">
        <v>9410.8489720000016</v>
      </c>
      <c r="Q15" s="285">
        <v>6704.550945</v>
      </c>
      <c r="R15" s="285">
        <v>8368.8429520000027</v>
      </c>
      <c r="S15" s="285">
        <v>8265.059162000005</v>
      </c>
      <c r="T15" s="285">
        <v>11446.127511999992</v>
      </c>
      <c r="V15" s="129" t="s">
        <v>23</v>
      </c>
      <c r="W15" s="285">
        <v>8155.9685239999999</v>
      </c>
    </row>
    <row r="16" spans="1:23" ht="15.75">
      <c r="B16" s="132" t="s">
        <v>523</v>
      </c>
      <c r="C16" s="15">
        <v>120746</v>
      </c>
      <c r="D16" s="15">
        <v>123136</v>
      </c>
      <c r="E16" s="15">
        <v>28899</v>
      </c>
      <c r="F16" s="15">
        <v>28051</v>
      </c>
      <c r="G16" s="15">
        <v>28359</v>
      </c>
      <c r="H16" s="15">
        <v>29434</v>
      </c>
      <c r="I16" s="15">
        <v>28358</v>
      </c>
      <c r="J16" s="15">
        <v>28603</v>
      </c>
      <c r="K16" s="15">
        <v>29142</v>
      </c>
      <c r="L16" s="15">
        <v>30537</v>
      </c>
      <c r="M16" s="15">
        <v>28689</v>
      </c>
      <c r="N16" s="15">
        <v>26216</v>
      </c>
      <c r="O16" s="301">
        <f>+SUM(O12:O14)-O15</f>
        <v>31037</v>
      </c>
      <c r="P16" s="301">
        <v>32560.406469000001</v>
      </c>
      <c r="Q16" s="301">
        <f>+Q12+Q13+Q14-Q15</f>
        <v>31602.111280400004</v>
      </c>
      <c r="R16" s="301">
        <v>32879.765611599985</v>
      </c>
      <c r="S16" s="301">
        <v>33933.720439999997</v>
      </c>
      <c r="T16" s="301">
        <v>39927.162149000011</v>
      </c>
      <c r="V16" s="129" t="s">
        <v>26</v>
      </c>
      <c r="W16" s="285">
        <v>176.06013300000001</v>
      </c>
    </row>
    <row r="17" spans="2:23" ht="15.75">
      <c r="B17" s="130" t="s">
        <v>524</v>
      </c>
      <c r="C17" s="17">
        <v>123748</v>
      </c>
      <c r="D17" s="17">
        <v>124451</v>
      </c>
      <c r="E17" s="17">
        <v>29258</v>
      </c>
      <c r="F17" s="17">
        <v>28518</v>
      </c>
      <c r="G17" s="17">
        <v>28977</v>
      </c>
      <c r="H17" s="17">
        <v>30149</v>
      </c>
      <c r="I17" s="17">
        <v>28727</v>
      </c>
      <c r="J17" s="17">
        <v>29392</v>
      </c>
      <c r="K17" s="17">
        <v>30656</v>
      </c>
      <c r="L17" s="17">
        <v>32065</v>
      </c>
      <c r="M17" s="17">
        <v>29835</v>
      </c>
      <c r="N17" s="17">
        <v>27330</v>
      </c>
      <c r="O17" s="286">
        <f>+O10+O16</f>
        <v>32137</v>
      </c>
      <c r="P17" s="286">
        <v>35310.422027000001</v>
      </c>
      <c r="Q17" s="286">
        <f>+Q10+Q16</f>
        <v>32806.943031400006</v>
      </c>
      <c r="R17" s="286">
        <v>34315.201256599983</v>
      </c>
      <c r="S17" s="286">
        <v>34739.120993999997</v>
      </c>
      <c r="T17" s="286">
        <v>41047.746915000003</v>
      </c>
      <c r="V17" s="130" t="s">
        <v>677</v>
      </c>
      <c r="W17" s="286">
        <v>34830.356391999994</v>
      </c>
    </row>
    <row r="18" spans="2:23" ht="15.75">
      <c r="B18" s="10"/>
      <c r="C18" s="131"/>
      <c r="D18" s="131"/>
      <c r="E18" s="131"/>
      <c r="F18" s="131"/>
      <c r="G18" s="131"/>
      <c r="H18" s="131"/>
      <c r="I18" s="131"/>
      <c r="J18" s="131"/>
      <c r="K18" s="131"/>
      <c r="L18" s="131"/>
      <c r="M18" s="131"/>
      <c r="N18" s="131"/>
      <c r="O18" s="9"/>
      <c r="P18" s="9"/>
      <c r="Q18" s="9"/>
      <c r="R18" s="9"/>
      <c r="S18" s="9"/>
      <c r="T18" s="745"/>
    </row>
    <row r="19" spans="2:23" ht="15.75">
      <c r="B19" s="129" t="s">
        <v>525</v>
      </c>
      <c r="C19" s="13">
        <v>143</v>
      </c>
      <c r="D19" s="13">
        <v>371</v>
      </c>
      <c r="E19" s="13">
        <v>101</v>
      </c>
      <c r="F19" s="13">
        <v>102</v>
      </c>
      <c r="G19" s="13">
        <v>106</v>
      </c>
      <c r="H19" s="13">
        <v>109</v>
      </c>
      <c r="I19" s="13">
        <v>151</v>
      </c>
      <c r="J19" s="13">
        <v>186</v>
      </c>
      <c r="K19" s="13">
        <v>204</v>
      </c>
      <c r="L19" s="13">
        <v>207</v>
      </c>
      <c r="M19" s="13">
        <v>791</v>
      </c>
      <c r="N19" s="13">
        <v>1747</v>
      </c>
      <c r="O19" s="285">
        <f>567-M19-N19</f>
        <v>-1971</v>
      </c>
      <c r="P19" s="285">
        <v>200.22452900000002</v>
      </c>
      <c r="Q19" s="285">
        <v>197.630076</v>
      </c>
      <c r="R19" s="285">
        <v>197.33965600000002</v>
      </c>
      <c r="S19" s="285">
        <v>197.77583300000003</v>
      </c>
      <c r="T19" s="285">
        <v>193.14679699999999</v>
      </c>
    </row>
    <row r="20" spans="2:23" ht="15.75">
      <c r="B20" s="129" t="s">
        <v>526</v>
      </c>
      <c r="C20" s="13">
        <v>0</v>
      </c>
      <c r="D20" s="13">
        <v>0</v>
      </c>
      <c r="E20" s="13">
        <v>0</v>
      </c>
      <c r="F20" s="13">
        <v>0</v>
      </c>
      <c r="G20" s="13">
        <v>0</v>
      </c>
      <c r="H20" s="13">
        <v>0</v>
      </c>
      <c r="I20" s="13">
        <v>0</v>
      </c>
      <c r="J20" s="13">
        <v>0</v>
      </c>
      <c r="K20" s="13">
        <v>0</v>
      </c>
      <c r="L20" s="13">
        <v>0</v>
      </c>
      <c r="M20" s="13">
        <v>0</v>
      </c>
      <c r="N20" s="13">
        <v>0</v>
      </c>
      <c r="O20" s="285">
        <v>0</v>
      </c>
      <c r="P20" s="285"/>
      <c r="Q20" s="285"/>
      <c r="R20" s="285"/>
      <c r="S20" s="285">
        <v>0</v>
      </c>
      <c r="T20" s="285">
        <v>0</v>
      </c>
      <c r="V20" s="129" t="s">
        <v>27</v>
      </c>
      <c r="W20" s="285">
        <v>0</v>
      </c>
    </row>
    <row r="21" spans="2:23" ht="15.75">
      <c r="B21" s="129" t="s">
        <v>527</v>
      </c>
      <c r="C21" s="13">
        <v>32</v>
      </c>
      <c r="D21" s="13">
        <v>93</v>
      </c>
      <c r="E21" s="13">
        <v>61</v>
      </c>
      <c r="F21" s="13">
        <v>51</v>
      </c>
      <c r="G21" s="13">
        <v>87</v>
      </c>
      <c r="H21" s="13">
        <v>80</v>
      </c>
      <c r="I21" s="13">
        <v>1405</v>
      </c>
      <c r="J21" s="13">
        <v>254</v>
      </c>
      <c r="K21" s="13">
        <v>501</v>
      </c>
      <c r="L21" s="13">
        <v>-544</v>
      </c>
      <c r="M21" s="13">
        <v>242</v>
      </c>
      <c r="N21" s="13">
        <v>-522</v>
      </c>
      <c r="O21" s="285">
        <f>1394-M21-N21</f>
        <v>1674</v>
      </c>
      <c r="P21" s="285">
        <v>-1091.6060549999997</v>
      </c>
      <c r="Q21" s="285">
        <v>593.74658700000009</v>
      </c>
      <c r="R21" s="285">
        <v>96.0867649999999</v>
      </c>
      <c r="S21" s="285">
        <v>-639.62353799999994</v>
      </c>
      <c r="T21" s="285">
        <v>-1494.9705960000001</v>
      </c>
      <c r="V21" s="129" t="s">
        <v>28</v>
      </c>
      <c r="W21" s="285">
        <v>-1197.7710119999999</v>
      </c>
    </row>
    <row r="22" spans="2:23" ht="15.75">
      <c r="B22" s="130" t="s">
        <v>528</v>
      </c>
      <c r="C22" s="18">
        <v>123637</v>
      </c>
      <c r="D22" s="18">
        <v>124173</v>
      </c>
      <c r="E22" s="18">
        <v>29218</v>
      </c>
      <c r="F22" s="18">
        <v>28467</v>
      </c>
      <c r="G22" s="18">
        <v>28958</v>
      </c>
      <c r="H22" s="18">
        <v>30120</v>
      </c>
      <c r="I22" s="18">
        <v>29981</v>
      </c>
      <c r="J22" s="18">
        <v>29460</v>
      </c>
      <c r="K22" s="18">
        <v>30953</v>
      </c>
      <c r="L22" s="18">
        <v>31314</v>
      </c>
      <c r="M22" s="18">
        <v>29286</v>
      </c>
      <c r="N22" s="18">
        <v>25061</v>
      </c>
      <c r="O22" s="287">
        <f>+O17-O19+O20+O21</f>
        <v>35782</v>
      </c>
      <c r="P22" s="287">
        <v>34018.591443000005</v>
      </c>
      <c r="Q22" s="287">
        <f>+Q17-Q19+Q21</f>
        <v>33203.059542400006</v>
      </c>
      <c r="R22" s="287">
        <v>34213.948365599987</v>
      </c>
      <c r="S22" s="287">
        <v>33901.721622999998</v>
      </c>
      <c r="T22" s="287">
        <v>39359.629522000003</v>
      </c>
      <c r="V22" s="130" t="s">
        <v>29</v>
      </c>
      <c r="W22" s="287">
        <v>33632.585379999997</v>
      </c>
    </row>
    <row r="23" spans="2:23" ht="15.75">
      <c r="B23" s="129"/>
      <c r="C23" s="13"/>
      <c r="D23" s="13"/>
      <c r="E23" s="13"/>
      <c r="F23" s="13"/>
      <c r="G23" s="13"/>
      <c r="H23" s="13"/>
      <c r="I23" s="13"/>
      <c r="J23" s="13"/>
      <c r="K23" s="13"/>
      <c r="L23" s="13"/>
      <c r="M23" s="13"/>
      <c r="N23" s="13"/>
      <c r="O23" s="285"/>
      <c r="P23" s="285"/>
      <c r="Q23" s="285"/>
      <c r="R23" s="285"/>
      <c r="S23" s="285"/>
      <c r="T23" s="285"/>
      <c r="V23" s="129"/>
      <c r="W23" s="285"/>
    </row>
    <row r="24" spans="2:23" ht="15.75">
      <c r="B24" s="129" t="s">
        <v>529</v>
      </c>
      <c r="C24" s="13">
        <v>-72222</v>
      </c>
      <c r="D24" s="13">
        <v>-66853</v>
      </c>
      <c r="E24" s="13">
        <v>-17675</v>
      </c>
      <c r="F24" s="13">
        <v>-16833</v>
      </c>
      <c r="G24" s="13">
        <v>-20151</v>
      </c>
      <c r="H24" s="13">
        <v>-14305</v>
      </c>
      <c r="I24" s="13">
        <v>-15276</v>
      </c>
      <c r="J24" s="13">
        <v>-20273</v>
      </c>
      <c r="K24" s="13">
        <v>-13119</v>
      </c>
      <c r="L24" s="13">
        <v>-17430</v>
      </c>
      <c r="M24" s="13">
        <v>-17234</v>
      </c>
      <c r="N24" s="13">
        <v>-15702</v>
      </c>
      <c r="O24" s="285">
        <f>-48586-M24-N24+1</f>
        <v>-15649</v>
      </c>
      <c r="P24" s="285">
        <v>-28470.678848999996</v>
      </c>
      <c r="Q24" s="285">
        <f>10712.467852-Q13</f>
        <v>-20276.483225000004</v>
      </c>
      <c r="R24" s="285">
        <v>-20245.185588999993</v>
      </c>
      <c r="S24" s="285">
        <v>-21523.228683000001</v>
      </c>
      <c r="T24" s="285">
        <v>-34939.328216000009</v>
      </c>
      <c r="V24" s="129" t="s">
        <v>30</v>
      </c>
      <c r="W24" s="285">
        <v>-29374.705303999996</v>
      </c>
    </row>
    <row r="25" spans="2:23" ht="15.75">
      <c r="B25" s="130" t="s">
        <v>530</v>
      </c>
      <c r="C25" s="18">
        <v>51415</v>
      </c>
      <c r="D25" s="18">
        <v>57320</v>
      </c>
      <c r="E25" s="18">
        <v>11543</v>
      </c>
      <c r="F25" s="18">
        <v>11634</v>
      </c>
      <c r="G25" s="18">
        <v>8807</v>
      </c>
      <c r="H25" s="18">
        <v>15815</v>
      </c>
      <c r="I25" s="18">
        <v>14705</v>
      </c>
      <c r="J25" s="18">
        <v>9187</v>
      </c>
      <c r="K25" s="18">
        <v>17834</v>
      </c>
      <c r="L25" s="18">
        <v>13884</v>
      </c>
      <c r="M25" s="18">
        <v>12052</v>
      </c>
      <c r="N25" s="18">
        <v>9359</v>
      </c>
      <c r="O25" s="287">
        <f>+O22+O24</f>
        <v>20133</v>
      </c>
      <c r="P25" s="287">
        <v>5547.9125940000085</v>
      </c>
      <c r="Q25" s="287">
        <f>+Q22+Q24</f>
        <v>12926.576317400002</v>
      </c>
      <c r="R25" s="287">
        <v>13968.762776599993</v>
      </c>
      <c r="S25" s="287">
        <v>12378.492939999996</v>
      </c>
      <c r="T25" s="287">
        <v>4420.3013059999939</v>
      </c>
      <c r="V25" s="130" t="s">
        <v>31</v>
      </c>
      <c r="W25" s="287">
        <v>4257.8800760000013</v>
      </c>
    </row>
    <row r="26" spans="2:23" ht="15.75">
      <c r="B26" s="10"/>
      <c r="C26" s="131"/>
      <c r="D26" s="131"/>
      <c r="E26" s="131"/>
      <c r="F26" s="131"/>
      <c r="G26" s="131"/>
      <c r="H26" s="131"/>
      <c r="I26" s="131"/>
      <c r="J26" s="131"/>
      <c r="K26" s="131"/>
      <c r="L26" s="131"/>
      <c r="M26" s="131"/>
      <c r="N26" s="131"/>
      <c r="O26" s="9"/>
      <c r="P26" s="9"/>
      <c r="Q26" s="9"/>
      <c r="R26" s="9"/>
      <c r="S26" s="9"/>
      <c r="T26" s="745"/>
      <c r="V26" s="10"/>
      <c r="W26" s="745"/>
    </row>
    <row r="27" spans="2:23" ht="15.75">
      <c r="B27" s="129" t="s">
        <v>531</v>
      </c>
      <c r="C27" s="13">
        <v>9109</v>
      </c>
      <c r="D27" s="13">
        <v>12227</v>
      </c>
      <c r="E27" s="13">
        <v>1978</v>
      </c>
      <c r="F27" s="13">
        <v>1777</v>
      </c>
      <c r="G27" s="13">
        <v>1329</v>
      </c>
      <c r="H27" s="13">
        <v>-254</v>
      </c>
      <c r="I27" s="13">
        <v>3898</v>
      </c>
      <c r="J27" s="13">
        <v>118</v>
      </c>
      <c r="K27" s="13">
        <v>3933</v>
      </c>
      <c r="L27" s="13">
        <v>2148</v>
      </c>
      <c r="M27" s="13">
        <v>1278</v>
      </c>
      <c r="N27" s="13">
        <v>1944</v>
      </c>
      <c r="O27" s="285">
        <f>8432-M27-N27</f>
        <v>5210</v>
      </c>
      <c r="P27" s="285">
        <v>-351.81883400000004</v>
      </c>
      <c r="Q27" s="285">
        <v>1400.2524350000001</v>
      </c>
      <c r="R27" s="285">
        <v>1922.642889</v>
      </c>
      <c r="S27" s="285">
        <v>2453.1864569999998</v>
      </c>
      <c r="T27" s="285">
        <v>-5559.9595209999998</v>
      </c>
      <c r="V27" s="129" t="s">
        <v>32</v>
      </c>
      <c r="W27" s="285">
        <v>859.85943799999995</v>
      </c>
    </row>
    <row r="28" spans="2:23" ht="15.75">
      <c r="B28" s="130" t="s">
        <v>532</v>
      </c>
      <c r="C28" s="18">
        <v>42306</v>
      </c>
      <c r="D28" s="18">
        <v>45093</v>
      </c>
      <c r="E28" s="18">
        <v>9565</v>
      </c>
      <c r="F28" s="18">
        <v>9857</v>
      </c>
      <c r="G28" s="18">
        <v>7478</v>
      </c>
      <c r="H28" s="18">
        <v>16069</v>
      </c>
      <c r="I28" s="18">
        <v>10807</v>
      </c>
      <c r="J28" s="18">
        <v>9069</v>
      </c>
      <c r="K28" s="18">
        <v>13901</v>
      </c>
      <c r="L28" s="18">
        <v>11736</v>
      </c>
      <c r="M28" s="18">
        <v>10774</v>
      </c>
      <c r="N28" s="18">
        <v>7415</v>
      </c>
      <c r="O28" s="287">
        <f>+O25-O27</f>
        <v>14923</v>
      </c>
      <c r="P28" s="287">
        <v>5899.7314280000082</v>
      </c>
      <c r="Q28" s="287">
        <f>+Q25-Q27</f>
        <v>11526.323882400002</v>
      </c>
      <c r="R28" s="287">
        <v>12046.119887599993</v>
      </c>
      <c r="S28" s="287">
        <v>9925.3064829999967</v>
      </c>
      <c r="T28" s="287">
        <v>9980.2608269999946</v>
      </c>
      <c r="V28" s="130" t="s">
        <v>35</v>
      </c>
      <c r="W28" s="287">
        <v>3398.0206380000013</v>
      </c>
    </row>
    <row r="29" spans="2:23" ht="15.75">
      <c r="O29" s="302"/>
      <c r="P29" s="135"/>
      <c r="Q29" s="135"/>
      <c r="R29" s="135"/>
      <c r="T29" s="744"/>
      <c r="W29" s="812"/>
    </row>
    <row r="30" spans="2:23" ht="15.75">
      <c r="B30" s="465" t="s">
        <v>1042</v>
      </c>
      <c r="C30" s="5"/>
      <c r="D30" s="5"/>
      <c r="E30" s="5"/>
      <c r="F30" s="5"/>
      <c r="G30" s="5"/>
      <c r="H30" s="20"/>
      <c r="I30" s="20"/>
      <c r="J30" s="20"/>
      <c r="K30" s="20"/>
      <c r="L30" s="20"/>
      <c r="M30" s="20"/>
      <c r="N30" s="20"/>
      <c r="O30" s="267"/>
      <c r="P30" s="135"/>
      <c r="Q30" s="135"/>
      <c r="R30" s="135"/>
      <c r="T30" s="744"/>
      <c r="V30" s="130" t="s">
        <v>1299</v>
      </c>
      <c r="W30" s="287">
        <v>33991</v>
      </c>
    </row>
    <row r="31" spans="2:23">
      <c r="B31" s="99" t="s">
        <v>515</v>
      </c>
      <c r="C31" s="5"/>
      <c r="D31" s="5"/>
      <c r="E31" s="5"/>
      <c r="F31" s="5"/>
      <c r="G31" s="5"/>
      <c r="H31" s="22"/>
      <c r="I31" s="22"/>
      <c r="J31" s="22"/>
      <c r="K31" s="22"/>
      <c r="L31" s="22"/>
      <c r="M31" s="22"/>
      <c r="N31" s="22"/>
      <c r="O31" s="268"/>
      <c r="P31" s="135"/>
      <c r="Q31" s="135"/>
      <c r="R31" s="135"/>
      <c r="T31" s="744"/>
    </row>
    <row r="32" spans="2:23" ht="15.75">
      <c r="B32" s="23"/>
      <c r="C32" s="5"/>
      <c r="D32" s="5"/>
      <c r="E32" s="5"/>
      <c r="F32" s="5"/>
      <c r="G32" s="5"/>
      <c r="H32" s="23"/>
      <c r="I32" s="23"/>
      <c r="J32" s="23"/>
      <c r="K32" s="23"/>
      <c r="L32" s="23"/>
      <c r="M32" s="23"/>
      <c r="N32" s="23"/>
      <c r="O32" s="269"/>
      <c r="P32" s="135"/>
      <c r="Q32" s="135"/>
      <c r="R32" s="135"/>
      <c r="T32" s="744"/>
    </row>
    <row r="33" spans="2:23" s="135" customFormat="1" ht="15.75" thickBot="1">
      <c r="B33" s="78"/>
      <c r="C33" s="79">
        <v>2016</v>
      </c>
      <c r="D33" s="79">
        <v>2017</v>
      </c>
      <c r="E33" s="79" t="s">
        <v>578</v>
      </c>
      <c r="F33" s="79" t="s">
        <v>579</v>
      </c>
      <c r="G33" s="79" t="s">
        <v>580</v>
      </c>
      <c r="H33" s="79" t="s">
        <v>581</v>
      </c>
      <c r="I33" s="79" t="s">
        <v>582</v>
      </c>
      <c r="J33" s="79" t="s">
        <v>583</v>
      </c>
      <c r="K33" s="79" t="s">
        <v>584</v>
      </c>
      <c r="L33" s="79" t="s">
        <v>585</v>
      </c>
      <c r="M33" s="79" t="s">
        <v>11</v>
      </c>
      <c r="N33" s="79" t="s">
        <v>12</v>
      </c>
      <c r="O33" s="208" t="s">
        <v>626</v>
      </c>
      <c r="P33" s="387" t="s">
        <v>958</v>
      </c>
      <c r="Q33" s="387" t="s">
        <v>1014</v>
      </c>
      <c r="R33" s="387" t="s">
        <v>1048</v>
      </c>
      <c r="S33" s="387" t="s">
        <v>1187</v>
      </c>
      <c r="T33" s="754" t="s">
        <v>1239</v>
      </c>
      <c r="U33" s="744"/>
      <c r="V33" s="78"/>
      <c r="W33" s="754" t="s">
        <v>1292</v>
      </c>
    </row>
    <row r="34" spans="2:23" s="135" customFormat="1">
      <c r="B34" s="168" t="s">
        <v>533</v>
      </c>
      <c r="C34" s="169"/>
      <c r="D34" s="169"/>
      <c r="E34" s="169"/>
      <c r="F34" s="169"/>
      <c r="G34" s="169"/>
      <c r="H34" s="169"/>
      <c r="I34" s="169"/>
      <c r="J34" s="169"/>
      <c r="K34" s="169"/>
      <c r="L34" s="169"/>
      <c r="M34" s="169"/>
      <c r="N34" s="168"/>
      <c r="O34" s="209"/>
      <c r="P34" s="388"/>
      <c r="Q34" s="388"/>
      <c r="R34" s="388"/>
      <c r="S34" s="388"/>
      <c r="T34" s="747"/>
      <c r="U34" s="744"/>
      <c r="V34" s="168" t="s">
        <v>37</v>
      </c>
      <c r="W34" s="747"/>
    </row>
    <row r="35" spans="2:23" ht="15.75" thickBot="1">
      <c r="B35" s="58" t="s">
        <v>534</v>
      </c>
      <c r="C35" s="59"/>
      <c r="D35" s="59"/>
      <c r="E35" s="59"/>
      <c r="F35" s="59"/>
      <c r="G35" s="59"/>
      <c r="H35" s="59"/>
      <c r="I35" s="59"/>
      <c r="J35" s="59"/>
      <c r="K35" s="59"/>
      <c r="L35" s="59"/>
      <c r="M35" s="59"/>
      <c r="N35" s="59"/>
      <c r="O35" s="292"/>
      <c r="P35" s="292"/>
      <c r="Q35" s="292"/>
      <c r="R35" s="292"/>
      <c r="S35" s="292"/>
      <c r="T35" s="746"/>
      <c r="V35" s="58" t="s">
        <v>38</v>
      </c>
      <c r="W35" s="746"/>
    </row>
    <row r="36" spans="2:23" s="119" customFormat="1" ht="16.5" thickBot="1">
      <c r="B36" s="182" t="s">
        <v>535</v>
      </c>
      <c r="C36" s="183">
        <v>23780</v>
      </c>
      <c r="D36" s="183">
        <v>58396</v>
      </c>
      <c r="E36" s="183">
        <v>71772</v>
      </c>
      <c r="F36" s="183">
        <v>69675</v>
      </c>
      <c r="G36" s="183">
        <v>84519</v>
      </c>
      <c r="H36" s="183">
        <v>14993</v>
      </c>
      <c r="I36" s="183">
        <v>88153</v>
      </c>
      <c r="J36" s="183">
        <v>32519</v>
      </c>
      <c r="K36" s="183">
        <v>28794</v>
      </c>
      <c r="L36" s="183">
        <v>107023</v>
      </c>
      <c r="M36" s="183">
        <v>63442</v>
      </c>
      <c r="N36" s="183">
        <v>73305</v>
      </c>
      <c r="O36" s="303">
        <v>66213</v>
      </c>
      <c r="P36" s="303">
        <v>78660.329572999995</v>
      </c>
      <c r="Q36" s="303">
        <v>80818.542000000001</v>
      </c>
      <c r="R36" s="303">
        <v>103157.99000400001</v>
      </c>
      <c r="S36" s="303">
        <v>104418.43581</v>
      </c>
      <c r="T36" s="303">
        <v>63329.842559999997</v>
      </c>
      <c r="U36" s="744"/>
      <c r="V36" s="182" t="s">
        <v>39</v>
      </c>
      <c r="W36" s="813">
        <v>86227.966939999998</v>
      </c>
    </row>
    <row r="37" spans="2:23" s="119" customFormat="1" ht="16.5" thickBot="1">
      <c r="B37" s="182" t="s">
        <v>536</v>
      </c>
      <c r="C37" s="183">
        <f>128874+21470</f>
        <v>150344</v>
      </c>
      <c r="D37" s="183">
        <v>129338</v>
      </c>
      <c r="E37" s="183">
        <v>150077</v>
      </c>
      <c r="F37" s="183">
        <v>152551</v>
      </c>
      <c r="G37" s="183">
        <v>150703</v>
      </c>
      <c r="H37" s="183">
        <v>207466</v>
      </c>
      <c r="I37" s="183">
        <v>161282</v>
      </c>
      <c r="J37" s="183">
        <v>358114</v>
      </c>
      <c r="K37" s="183">
        <v>377042</v>
      </c>
      <c r="L37" s="183">
        <v>276863</v>
      </c>
      <c r="M37" s="183">
        <v>296045</v>
      </c>
      <c r="N37" s="183">
        <v>260736</v>
      </c>
      <c r="O37" s="303">
        <v>252595</v>
      </c>
      <c r="P37" s="303">
        <v>219704.89140399999</v>
      </c>
      <c r="Q37" s="303">
        <f>210034.474+23257.443</f>
        <v>233291.91699999999</v>
      </c>
      <c r="R37" s="303">
        <v>207363.33536299999</v>
      </c>
      <c r="S37" s="303">
        <v>231482.68868699999</v>
      </c>
      <c r="T37" s="303">
        <v>212001.211587</v>
      </c>
      <c r="U37" s="221"/>
      <c r="V37" s="182" t="s">
        <v>40</v>
      </c>
      <c r="W37" s="813">
        <v>234284.73655900001</v>
      </c>
    </row>
    <row r="38" spans="2:23" s="119" customFormat="1" ht="16.5" thickBot="1">
      <c r="B38" s="182" t="s">
        <v>537</v>
      </c>
      <c r="C38" s="183">
        <v>59</v>
      </c>
      <c r="D38" s="183">
        <v>39</v>
      </c>
      <c r="E38" s="183">
        <v>39</v>
      </c>
      <c r="F38" s="183">
        <v>39</v>
      </c>
      <c r="G38" s="183">
        <v>39</v>
      </c>
      <c r="H38" s="183">
        <v>3163</v>
      </c>
      <c r="I38" s="183">
        <v>3178</v>
      </c>
      <c r="J38" s="183">
        <v>3178</v>
      </c>
      <c r="K38" s="183">
        <v>3178</v>
      </c>
      <c r="L38" s="183">
        <v>5275</v>
      </c>
      <c r="M38" s="183">
        <v>3178</v>
      </c>
      <c r="N38" s="183">
        <v>3178</v>
      </c>
      <c r="O38" s="303">
        <v>3178</v>
      </c>
      <c r="P38" s="303">
        <v>2628.049649</v>
      </c>
      <c r="Q38" s="303">
        <v>2628.05</v>
      </c>
      <c r="R38" s="303">
        <v>59.936132000000001</v>
      </c>
      <c r="S38" s="303">
        <v>59.936132000000001</v>
      </c>
      <c r="T38" s="303">
        <v>80.620692000000005</v>
      </c>
      <c r="U38" s="221"/>
      <c r="V38" s="182" t="s">
        <v>41</v>
      </c>
      <c r="W38" s="813">
        <v>80.620692000000005</v>
      </c>
    </row>
    <row r="39" spans="2:23" s="119" customFormat="1" ht="16.5" thickBot="1">
      <c r="B39" s="182" t="s">
        <v>538</v>
      </c>
      <c r="C39" s="183">
        <v>544</v>
      </c>
      <c r="D39" s="183">
        <v>654</v>
      </c>
      <c r="E39" s="183">
        <v>326</v>
      </c>
      <c r="F39" s="183">
        <v>1403</v>
      </c>
      <c r="G39" s="183">
        <v>1319</v>
      </c>
      <c r="H39" s="183">
        <v>1060</v>
      </c>
      <c r="I39" s="183">
        <v>910</v>
      </c>
      <c r="J39" s="183">
        <v>898</v>
      </c>
      <c r="K39" s="183">
        <v>619</v>
      </c>
      <c r="L39" s="183">
        <v>1266</v>
      </c>
      <c r="M39" s="183">
        <v>1270</v>
      </c>
      <c r="N39" s="183">
        <v>1244</v>
      </c>
      <c r="O39" s="303">
        <v>880</v>
      </c>
      <c r="P39" s="303">
        <v>1910.5675819999999</v>
      </c>
      <c r="Q39" s="303">
        <v>2474.4769999999999</v>
      </c>
      <c r="R39" s="303">
        <v>1998.913939</v>
      </c>
      <c r="S39" s="303">
        <v>1562.453659</v>
      </c>
      <c r="T39" s="303">
        <v>1146.156062</v>
      </c>
      <c r="U39" s="221"/>
      <c r="V39" s="182" t="s">
        <v>43</v>
      </c>
      <c r="W39" s="813">
        <v>889.90542300000004</v>
      </c>
    </row>
    <row r="40" spans="2:23" s="119" customFormat="1" ht="16.5" thickBot="1">
      <c r="B40" s="182" t="s">
        <v>539</v>
      </c>
      <c r="C40" s="183">
        <v>0</v>
      </c>
      <c r="D40" s="183">
        <v>468</v>
      </c>
      <c r="E40" s="183">
        <v>455</v>
      </c>
      <c r="F40" s="183">
        <v>487</v>
      </c>
      <c r="G40" s="183">
        <v>504</v>
      </c>
      <c r="H40" s="183">
        <v>557</v>
      </c>
      <c r="I40" s="183">
        <v>594</v>
      </c>
      <c r="J40" s="183">
        <v>775</v>
      </c>
      <c r="K40" s="183">
        <v>630</v>
      </c>
      <c r="L40" s="183">
        <v>574</v>
      </c>
      <c r="M40" s="183">
        <v>609</v>
      </c>
      <c r="N40" s="183">
        <v>522</v>
      </c>
      <c r="O40" s="303">
        <v>502</v>
      </c>
      <c r="P40" s="303">
        <v>438.84922799999998</v>
      </c>
      <c r="Q40" s="303">
        <v>639.976</v>
      </c>
      <c r="R40" s="303">
        <v>717.87996099999998</v>
      </c>
      <c r="S40" s="303">
        <v>655.07920100000001</v>
      </c>
      <c r="T40" s="303">
        <v>617.30825500000003</v>
      </c>
      <c r="U40" s="221"/>
      <c r="V40" s="182" t="s">
        <v>113</v>
      </c>
      <c r="W40" s="813">
        <v>607.08932900000002</v>
      </c>
    </row>
    <row r="41" spans="2:23" s="119" customFormat="1" ht="15.75">
      <c r="B41" s="186" t="s">
        <v>540</v>
      </c>
      <c r="C41" s="187">
        <v>0</v>
      </c>
      <c r="D41" s="187">
        <v>0</v>
      </c>
      <c r="E41" s="187">
        <v>0</v>
      </c>
      <c r="F41" s="187">
        <v>0</v>
      </c>
      <c r="G41" s="187">
        <v>0</v>
      </c>
      <c r="H41" s="187">
        <v>0</v>
      </c>
      <c r="I41" s="187">
        <v>0</v>
      </c>
      <c r="J41" s="187">
        <v>0</v>
      </c>
      <c r="K41" s="187">
        <v>0</v>
      </c>
      <c r="L41" s="187">
        <v>0</v>
      </c>
      <c r="M41" s="187">
        <v>0</v>
      </c>
      <c r="N41" s="187">
        <v>0</v>
      </c>
      <c r="O41" s="304">
        <v>0</v>
      </c>
      <c r="P41" s="304"/>
      <c r="Q41" s="304"/>
      <c r="R41" s="304"/>
      <c r="S41" s="304">
        <v>0</v>
      </c>
      <c r="T41" s="304"/>
      <c r="U41" s="221"/>
      <c r="V41" s="186" t="s">
        <v>44</v>
      </c>
      <c r="W41" s="814"/>
    </row>
    <row r="42" spans="2:23">
      <c r="B42" s="173" t="s">
        <v>541</v>
      </c>
      <c r="C42" s="174">
        <f t="shared" ref="C42:N42" si="0">SUM(C36:C41)</f>
        <v>174727</v>
      </c>
      <c r="D42" s="174">
        <f t="shared" si="0"/>
        <v>188895</v>
      </c>
      <c r="E42" s="174">
        <f t="shared" si="0"/>
        <v>222669</v>
      </c>
      <c r="F42" s="174">
        <f t="shared" si="0"/>
        <v>224155</v>
      </c>
      <c r="G42" s="174">
        <f t="shared" si="0"/>
        <v>237084</v>
      </c>
      <c r="H42" s="174">
        <f t="shared" si="0"/>
        <v>227239</v>
      </c>
      <c r="I42" s="174">
        <f t="shared" si="0"/>
        <v>254117</v>
      </c>
      <c r="J42" s="174">
        <f t="shared" si="0"/>
        <v>395484</v>
      </c>
      <c r="K42" s="174">
        <f t="shared" si="0"/>
        <v>410263</v>
      </c>
      <c r="L42" s="174">
        <f t="shared" si="0"/>
        <v>391001</v>
      </c>
      <c r="M42" s="174">
        <f t="shared" si="0"/>
        <v>364544</v>
      </c>
      <c r="N42" s="174">
        <f t="shared" si="0"/>
        <v>338985</v>
      </c>
      <c r="O42" s="212">
        <v>323368</v>
      </c>
      <c r="P42" s="212">
        <f>SUM(P36:P41)</f>
        <v>303342.68743599992</v>
      </c>
      <c r="Q42" s="212">
        <f>SUM(Q36:Q41)</f>
        <v>319852.962</v>
      </c>
      <c r="R42" s="212">
        <v>313298.055399</v>
      </c>
      <c r="S42" s="212">
        <v>338178.59348899999</v>
      </c>
      <c r="T42" s="212">
        <v>277175.13915600005</v>
      </c>
      <c r="U42" s="221"/>
      <c r="V42" s="173" t="s">
        <v>45</v>
      </c>
      <c r="W42" s="815">
        <v>322090.31894299999</v>
      </c>
    </row>
    <row r="43" spans="2:23">
      <c r="B43" s="170" t="s">
        <v>542</v>
      </c>
      <c r="C43" s="171"/>
      <c r="D43" s="171"/>
      <c r="E43" s="171"/>
      <c r="F43" s="171"/>
      <c r="G43" s="171"/>
      <c r="H43" s="171"/>
      <c r="I43" s="171"/>
      <c r="J43" s="171"/>
      <c r="K43" s="171"/>
      <c r="L43" s="171"/>
      <c r="M43" s="171"/>
      <c r="N43" s="171"/>
      <c r="O43" s="210"/>
      <c r="P43" s="210"/>
      <c r="Q43" s="210"/>
      <c r="R43" s="210"/>
      <c r="S43" s="210"/>
      <c r="T43" s="748"/>
      <c r="V43" s="170" t="s">
        <v>46</v>
      </c>
      <c r="W43" s="805"/>
    </row>
    <row r="44" spans="2:23" s="119" customFormat="1" ht="15.75">
      <c r="B44" s="181" t="s">
        <v>543</v>
      </c>
      <c r="C44" s="146">
        <v>0</v>
      </c>
      <c r="D44" s="146">
        <v>0</v>
      </c>
      <c r="E44" s="146">
        <v>0</v>
      </c>
      <c r="F44" s="146">
        <v>0</v>
      </c>
      <c r="G44" s="146">
        <v>0</v>
      </c>
      <c r="H44" s="146">
        <v>0</v>
      </c>
      <c r="I44" s="146">
        <v>0</v>
      </c>
      <c r="J44" s="146">
        <v>0</v>
      </c>
      <c r="K44" s="146">
        <v>0</v>
      </c>
      <c r="L44" s="146">
        <v>0</v>
      </c>
      <c r="M44" s="146">
        <v>0</v>
      </c>
      <c r="N44" s="146">
        <v>0</v>
      </c>
      <c r="O44" s="211">
        <v>0</v>
      </c>
      <c r="P44" s="211">
        <v>0</v>
      </c>
      <c r="Q44" s="211">
        <v>0</v>
      </c>
      <c r="R44" s="211">
        <v>0</v>
      </c>
      <c r="S44" s="211">
        <v>0</v>
      </c>
      <c r="T44" s="211">
        <v>0</v>
      </c>
      <c r="U44" s="744"/>
      <c r="V44" s="181" t="s">
        <v>47</v>
      </c>
      <c r="W44" s="816">
        <v>0</v>
      </c>
    </row>
    <row r="45" spans="2:23" s="119" customFormat="1" ht="15.75">
      <c r="B45" s="181" t="s">
        <v>544</v>
      </c>
      <c r="C45" s="146">
        <v>0</v>
      </c>
      <c r="D45" s="146">
        <v>0</v>
      </c>
      <c r="E45" s="146">
        <v>0</v>
      </c>
      <c r="F45" s="146">
        <v>0</v>
      </c>
      <c r="G45" s="146">
        <v>0</v>
      </c>
      <c r="H45" s="146">
        <v>0</v>
      </c>
      <c r="I45" s="146">
        <v>0</v>
      </c>
      <c r="J45" s="146">
        <v>0</v>
      </c>
      <c r="K45" s="146">
        <v>0</v>
      </c>
      <c r="L45" s="146">
        <v>0</v>
      </c>
      <c r="M45" s="146">
        <v>0</v>
      </c>
      <c r="N45" s="146">
        <v>0</v>
      </c>
      <c r="O45" s="211">
        <v>0</v>
      </c>
      <c r="P45" s="211">
        <v>0</v>
      </c>
      <c r="Q45" s="211">
        <v>0</v>
      </c>
      <c r="R45" s="211">
        <v>0</v>
      </c>
      <c r="S45" s="211">
        <v>0</v>
      </c>
      <c r="T45" s="211">
        <v>0</v>
      </c>
      <c r="U45" s="221"/>
      <c r="V45" s="181" t="s">
        <v>48</v>
      </c>
      <c r="W45" s="816">
        <v>0</v>
      </c>
    </row>
    <row r="46" spans="2:23" s="119" customFormat="1" ht="28.5">
      <c r="B46" s="181" t="s">
        <v>545</v>
      </c>
      <c r="C46" s="146">
        <v>0</v>
      </c>
      <c r="D46" s="146">
        <v>0</v>
      </c>
      <c r="E46" s="146">
        <v>0</v>
      </c>
      <c r="F46" s="146">
        <v>0</v>
      </c>
      <c r="G46" s="146">
        <v>0</v>
      </c>
      <c r="H46" s="146">
        <v>0</v>
      </c>
      <c r="I46" s="146">
        <v>0</v>
      </c>
      <c r="J46" s="146">
        <v>0</v>
      </c>
      <c r="K46" s="146">
        <v>0</v>
      </c>
      <c r="L46" s="146">
        <v>0</v>
      </c>
      <c r="M46" s="146">
        <v>0</v>
      </c>
      <c r="N46" s="146">
        <v>0</v>
      </c>
      <c r="O46" s="211">
        <v>0</v>
      </c>
      <c r="P46" s="211">
        <v>0</v>
      </c>
      <c r="Q46" s="211">
        <v>0</v>
      </c>
      <c r="R46" s="211">
        <v>0</v>
      </c>
      <c r="S46" s="211">
        <v>0</v>
      </c>
      <c r="T46" s="211">
        <v>0</v>
      </c>
      <c r="U46" s="221"/>
      <c r="V46" s="181" t="s">
        <v>94</v>
      </c>
      <c r="W46" s="816">
        <v>0</v>
      </c>
    </row>
    <row r="47" spans="2:23" s="119" customFormat="1" ht="15.75">
      <c r="B47" s="181" t="s">
        <v>546</v>
      </c>
      <c r="C47" s="146">
        <v>0</v>
      </c>
      <c r="D47" s="146">
        <v>0</v>
      </c>
      <c r="E47" s="146">
        <v>0</v>
      </c>
      <c r="F47" s="146">
        <v>0</v>
      </c>
      <c r="G47" s="146">
        <v>0</v>
      </c>
      <c r="H47" s="146">
        <v>0</v>
      </c>
      <c r="I47" s="146">
        <v>0</v>
      </c>
      <c r="J47" s="146">
        <v>0</v>
      </c>
      <c r="K47" s="146">
        <v>0</v>
      </c>
      <c r="L47" s="146">
        <v>0</v>
      </c>
      <c r="M47" s="146">
        <v>0</v>
      </c>
      <c r="N47" s="146">
        <v>0</v>
      </c>
      <c r="O47" s="211">
        <v>0</v>
      </c>
      <c r="P47" s="211">
        <v>0</v>
      </c>
      <c r="Q47" s="211">
        <v>0</v>
      </c>
      <c r="R47" s="211">
        <v>0</v>
      </c>
      <c r="S47" s="211">
        <v>0</v>
      </c>
      <c r="T47" s="211">
        <v>0</v>
      </c>
      <c r="U47" s="221"/>
      <c r="V47" s="181" t="s">
        <v>95</v>
      </c>
      <c r="W47" s="816">
        <v>0</v>
      </c>
    </row>
    <row r="48" spans="2:23" s="119" customFormat="1" ht="15.75">
      <c r="B48" s="181" t="s">
        <v>536</v>
      </c>
      <c r="C48" s="146">
        <v>949045</v>
      </c>
      <c r="D48" s="146">
        <v>975679</v>
      </c>
      <c r="E48" s="146">
        <v>947480</v>
      </c>
      <c r="F48" s="146">
        <v>949610</v>
      </c>
      <c r="G48" s="146">
        <v>959295</v>
      </c>
      <c r="H48" s="146">
        <v>972773</v>
      </c>
      <c r="I48" s="146">
        <v>968001</v>
      </c>
      <c r="J48" s="146">
        <v>973867</v>
      </c>
      <c r="K48" s="146">
        <v>988013</v>
      </c>
      <c r="L48" s="146">
        <v>1005560</v>
      </c>
      <c r="M48" s="146">
        <v>1003605</v>
      </c>
      <c r="N48" s="146">
        <v>1035417</v>
      </c>
      <c r="O48" s="211">
        <v>1082561</v>
      </c>
      <c r="P48" s="211">
        <v>1115065.613415</v>
      </c>
      <c r="Q48" s="211">
        <v>1119293.703</v>
      </c>
      <c r="R48" s="211">
        <v>1137433.649037</v>
      </c>
      <c r="S48" s="211">
        <v>1137483.2274730001</v>
      </c>
      <c r="T48" s="211">
        <v>1142596.1357730001</v>
      </c>
      <c r="U48" s="221"/>
      <c r="V48" s="181" t="s">
        <v>40</v>
      </c>
      <c r="W48" s="299">
        <v>1125524.3867490001</v>
      </c>
    </row>
    <row r="49" spans="2:23" s="119" customFormat="1" ht="15.75">
      <c r="B49" s="181" t="s">
        <v>547</v>
      </c>
      <c r="C49" s="146">
        <v>0</v>
      </c>
      <c r="D49" s="146">
        <v>0</v>
      </c>
      <c r="E49" s="146">
        <v>0</v>
      </c>
      <c r="F49" s="146">
        <v>0</v>
      </c>
      <c r="G49" s="146">
        <v>0</v>
      </c>
      <c r="H49" s="146">
        <v>0</v>
      </c>
      <c r="I49" s="146">
        <v>0</v>
      </c>
      <c r="J49" s="146">
        <v>0</v>
      </c>
      <c r="K49" s="146">
        <v>0</v>
      </c>
      <c r="L49" s="146">
        <v>0</v>
      </c>
      <c r="M49" s="146">
        <v>0</v>
      </c>
      <c r="N49" s="146">
        <v>0</v>
      </c>
      <c r="O49" s="211">
        <v>0</v>
      </c>
      <c r="P49" s="211">
        <v>0</v>
      </c>
      <c r="Q49" s="211">
        <v>0</v>
      </c>
      <c r="R49" s="211">
        <v>0</v>
      </c>
      <c r="S49" s="211">
        <v>0</v>
      </c>
      <c r="T49" s="211">
        <v>0</v>
      </c>
      <c r="U49" s="221"/>
      <c r="V49" s="181" t="s">
        <v>42</v>
      </c>
      <c r="W49" s="816">
        <v>0</v>
      </c>
    </row>
    <row r="50" spans="2:23" s="119" customFormat="1" ht="15.75">
      <c r="B50" s="181" t="s">
        <v>548</v>
      </c>
      <c r="C50" s="146">
        <v>385</v>
      </c>
      <c r="D50" s="146">
        <v>582</v>
      </c>
      <c r="E50" s="146">
        <v>569</v>
      </c>
      <c r="F50" s="146">
        <v>583</v>
      </c>
      <c r="G50" s="146">
        <v>593</v>
      </c>
      <c r="H50" s="146">
        <v>591</v>
      </c>
      <c r="I50" s="146">
        <v>1471</v>
      </c>
      <c r="J50" s="146">
        <v>554</v>
      </c>
      <c r="K50" s="146">
        <v>538</v>
      </c>
      <c r="L50" s="146">
        <v>227</v>
      </c>
      <c r="M50" s="146">
        <v>206</v>
      </c>
      <c r="N50" s="146">
        <v>181</v>
      </c>
      <c r="O50" s="211">
        <v>168</v>
      </c>
      <c r="P50" s="211">
        <v>151.289412</v>
      </c>
      <c r="Q50" s="211">
        <v>127.19152</v>
      </c>
      <c r="R50" s="211">
        <v>103.09362299999999</v>
      </c>
      <c r="S50" s="211">
        <v>79.039553999999995</v>
      </c>
      <c r="T50" s="211">
        <v>661.40132400000005</v>
      </c>
      <c r="U50" s="221"/>
      <c r="V50" s="181" t="s">
        <v>52</v>
      </c>
      <c r="W50" s="299">
        <v>82.262679000000006</v>
      </c>
    </row>
    <row r="51" spans="2:23" s="119" customFormat="1" ht="15.75">
      <c r="B51" s="181" t="s">
        <v>549</v>
      </c>
      <c r="C51" s="146">
        <v>0</v>
      </c>
      <c r="D51" s="146">
        <v>0</v>
      </c>
      <c r="E51" s="146">
        <v>0</v>
      </c>
      <c r="F51" s="146">
        <v>0</v>
      </c>
      <c r="G51" s="146">
        <v>0</v>
      </c>
      <c r="H51" s="146">
        <v>0</v>
      </c>
      <c r="I51" s="146">
        <v>0</v>
      </c>
      <c r="J51" s="146">
        <v>0</v>
      </c>
      <c r="K51" s="146">
        <v>0</v>
      </c>
      <c r="L51" s="146">
        <v>0</v>
      </c>
      <c r="M51" s="146">
        <v>0</v>
      </c>
      <c r="N51" s="146">
        <v>0</v>
      </c>
      <c r="O51" s="211">
        <v>0</v>
      </c>
      <c r="P51" s="211">
        <v>0</v>
      </c>
      <c r="Q51" s="211">
        <v>0</v>
      </c>
      <c r="R51" s="211">
        <v>0</v>
      </c>
      <c r="S51" s="211">
        <v>0</v>
      </c>
      <c r="T51" s="211">
        <v>0</v>
      </c>
      <c r="U51" s="221"/>
      <c r="V51" s="181" t="s">
        <v>53</v>
      </c>
      <c r="W51" s="816">
        <v>0</v>
      </c>
    </row>
    <row r="52" spans="2:23" s="119" customFormat="1" ht="15.75">
      <c r="B52" s="181" t="s">
        <v>550</v>
      </c>
      <c r="C52" s="146">
        <v>881</v>
      </c>
      <c r="D52" s="146">
        <v>1064</v>
      </c>
      <c r="E52" s="146">
        <v>1008</v>
      </c>
      <c r="F52" s="146">
        <v>972</v>
      </c>
      <c r="G52" s="146">
        <v>915</v>
      </c>
      <c r="H52" s="146">
        <v>908</v>
      </c>
      <c r="I52" s="146">
        <v>870</v>
      </c>
      <c r="J52" s="146">
        <v>810</v>
      </c>
      <c r="K52" s="146">
        <v>749</v>
      </c>
      <c r="L52" s="146">
        <v>689</v>
      </c>
      <c r="M52" s="146">
        <v>629</v>
      </c>
      <c r="N52" s="146">
        <v>569</v>
      </c>
      <c r="O52" s="211">
        <v>509</v>
      </c>
      <c r="P52" s="211">
        <v>472.66735399999999</v>
      </c>
      <c r="Q52" s="211">
        <v>411.61863399999999</v>
      </c>
      <c r="R52" s="211">
        <v>350.56991699999998</v>
      </c>
      <c r="S52" s="211">
        <v>289.52120200000002</v>
      </c>
      <c r="T52" s="211">
        <v>228.472487</v>
      </c>
      <c r="U52" s="221"/>
      <c r="V52" s="181" t="s">
        <v>55</v>
      </c>
      <c r="W52" s="299">
        <v>167.423768</v>
      </c>
    </row>
    <row r="53" spans="2:23" s="119" customFormat="1" ht="15.75">
      <c r="B53" s="181" t="s">
        <v>538</v>
      </c>
      <c r="C53" s="146">
        <v>0</v>
      </c>
      <c r="D53" s="146">
        <v>0</v>
      </c>
      <c r="E53" s="146">
        <v>0</v>
      </c>
      <c r="F53" s="146">
        <v>0</v>
      </c>
      <c r="G53" s="146">
        <v>0</v>
      </c>
      <c r="H53" s="146">
        <v>0</v>
      </c>
      <c r="I53" s="146">
        <v>0</v>
      </c>
      <c r="J53" s="146">
        <v>0</v>
      </c>
      <c r="K53" s="146">
        <v>0</v>
      </c>
      <c r="L53" s="146">
        <v>0</v>
      </c>
      <c r="M53" s="146">
        <v>0</v>
      </c>
      <c r="N53" s="146">
        <v>0</v>
      </c>
      <c r="O53" s="211">
        <v>0</v>
      </c>
      <c r="P53" s="211">
        <v>0</v>
      </c>
      <c r="Q53" s="211">
        <v>0</v>
      </c>
      <c r="R53" s="211">
        <v>0</v>
      </c>
      <c r="S53" s="211">
        <v>0</v>
      </c>
      <c r="T53" s="211">
        <v>0</v>
      </c>
      <c r="U53" s="221"/>
      <c r="V53" s="181" t="s">
        <v>43</v>
      </c>
      <c r="W53" s="816">
        <v>0</v>
      </c>
    </row>
    <row r="54" spans="2:23" s="119" customFormat="1" ht="15.75">
      <c r="B54" s="181" t="s">
        <v>551</v>
      </c>
      <c r="C54" s="146">
        <v>0</v>
      </c>
      <c r="D54" s="146">
        <v>0</v>
      </c>
      <c r="E54" s="146">
        <v>0</v>
      </c>
      <c r="F54" s="146">
        <v>0</v>
      </c>
      <c r="G54" s="146">
        <v>0</v>
      </c>
      <c r="H54" s="146">
        <v>0</v>
      </c>
      <c r="I54" s="146">
        <v>0</v>
      </c>
      <c r="J54" s="146">
        <v>0</v>
      </c>
      <c r="K54" s="146">
        <v>0</v>
      </c>
      <c r="L54" s="146">
        <v>0</v>
      </c>
      <c r="M54" s="146">
        <v>0</v>
      </c>
      <c r="N54" s="146">
        <v>0</v>
      </c>
      <c r="O54" s="211">
        <v>91</v>
      </c>
      <c r="P54" s="211">
        <v>0</v>
      </c>
      <c r="Q54" s="211">
        <v>0</v>
      </c>
      <c r="R54" s="211">
        <v>0</v>
      </c>
      <c r="S54" s="211">
        <v>0</v>
      </c>
      <c r="T54" s="211">
        <v>0</v>
      </c>
      <c r="U54" s="221"/>
      <c r="V54" s="181" t="s">
        <v>56</v>
      </c>
      <c r="W54" s="299">
        <v>0</v>
      </c>
    </row>
    <row r="55" spans="2:23" s="119" customFormat="1" ht="15.75">
      <c r="B55" s="181" t="s">
        <v>552</v>
      </c>
      <c r="C55" s="146">
        <v>0</v>
      </c>
      <c r="D55" s="146">
        <v>0</v>
      </c>
      <c r="E55" s="146">
        <v>0</v>
      </c>
      <c r="F55" s="146">
        <v>0</v>
      </c>
      <c r="G55" s="146">
        <v>0</v>
      </c>
      <c r="H55" s="146">
        <v>0</v>
      </c>
      <c r="I55" s="146">
        <v>-17</v>
      </c>
      <c r="J55" s="146">
        <v>1292</v>
      </c>
      <c r="K55" s="146">
        <v>1193</v>
      </c>
      <c r="L55" s="146">
        <v>1292</v>
      </c>
      <c r="M55" s="146">
        <v>1182</v>
      </c>
      <c r="N55" s="146">
        <v>1170</v>
      </c>
      <c r="O55" s="211">
        <v>1081</v>
      </c>
      <c r="P55" s="211">
        <v>1004.190327</v>
      </c>
      <c r="Q55" s="211">
        <v>891.706863</v>
      </c>
      <c r="R55" s="211">
        <v>810.76891599999999</v>
      </c>
      <c r="S55" s="211">
        <v>702.452001</v>
      </c>
      <c r="T55" s="211">
        <v>0</v>
      </c>
      <c r="U55" s="221"/>
      <c r="V55" s="181" t="s">
        <v>57</v>
      </c>
      <c r="W55" s="816">
        <v>486.605594</v>
      </c>
    </row>
    <row r="56" spans="2:23" s="119" customFormat="1" ht="15.75">
      <c r="B56" s="181" t="s">
        <v>540</v>
      </c>
      <c r="C56" s="146">
        <v>0</v>
      </c>
      <c r="D56" s="146">
        <v>0</v>
      </c>
      <c r="E56" s="146">
        <v>0</v>
      </c>
      <c r="F56" s="146">
        <v>0</v>
      </c>
      <c r="G56" s="146">
        <v>0</v>
      </c>
      <c r="H56" s="146">
        <v>0</v>
      </c>
      <c r="I56" s="146">
        <v>0</v>
      </c>
      <c r="J56" s="146">
        <v>0</v>
      </c>
      <c r="K56" s="146">
        <v>0</v>
      </c>
      <c r="L56" s="146">
        <v>0</v>
      </c>
      <c r="M56" s="146">
        <v>0</v>
      </c>
      <c r="N56" s="146">
        <v>0</v>
      </c>
      <c r="O56" s="211">
        <v>0</v>
      </c>
      <c r="P56" s="211"/>
      <c r="Q56" s="211"/>
      <c r="R56" s="211"/>
      <c r="S56" s="211">
        <v>0</v>
      </c>
      <c r="T56" s="211"/>
      <c r="U56" s="221"/>
      <c r="V56" s="181" t="s">
        <v>44</v>
      </c>
      <c r="W56" s="816"/>
    </row>
    <row r="57" spans="2:23">
      <c r="B57" s="170" t="s">
        <v>553</v>
      </c>
      <c r="C57" s="175">
        <f t="shared" ref="C57:N57" si="1">SUM(C44:C56)</f>
        <v>950311</v>
      </c>
      <c r="D57" s="175">
        <f t="shared" si="1"/>
        <v>977325</v>
      </c>
      <c r="E57" s="175">
        <f t="shared" si="1"/>
        <v>949057</v>
      </c>
      <c r="F57" s="175">
        <f t="shared" si="1"/>
        <v>951165</v>
      </c>
      <c r="G57" s="175">
        <f t="shared" si="1"/>
        <v>960803</v>
      </c>
      <c r="H57" s="175">
        <f t="shared" si="1"/>
        <v>974272</v>
      </c>
      <c r="I57" s="175">
        <f t="shared" si="1"/>
        <v>970325</v>
      </c>
      <c r="J57" s="175">
        <f t="shared" si="1"/>
        <v>976523</v>
      </c>
      <c r="K57" s="175">
        <f t="shared" si="1"/>
        <v>990493</v>
      </c>
      <c r="L57" s="175">
        <f t="shared" si="1"/>
        <v>1007768</v>
      </c>
      <c r="M57" s="175">
        <f t="shared" si="1"/>
        <v>1005622</v>
      </c>
      <c r="N57" s="175">
        <f t="shared" si="1"/>
        <v>1037337</v>
      </c>
      <c r="O57" s="213">
        <v>1084410</v>
      </c>
      <c r="P57" s="213">
        <f>SUM(P44:P56)</f>
        <v>1116693.7605080002</v>
      </c>
      <c r="Q57" s="213">
        <f>SUM(Q44:Q56)</f>
        <v>1120724.2200170001</v>
      </c>
      <c r="R57" s="213">
        <v>1138698.0814929998</v>
      </c>
      <c r="S57" s="213">
        <v>1138554.2402300001</v>
      </c>
      <c r="T57" s="213">
        <v>1143486.0095840001</v>
      </c>
      <c r="U57" s="221"/>
      <c r="V57" s="170" t="s">
        <v>59</v>
      </c>
      <c r="W57" s="817">
        <v>1126260.67879</v>
      </c>
    </row>
    <row r="58" spans="2:23">
      <c r="B58" s="173" t="s">
        <v>554</v>
      </c>
      <c r="C58" s="174">
        <f t="shared" ref="C58:N58" si="2">+C42+C57</f>
        <v>1125038</v>
      </c>
      <c r="D58" s="174">
        <f t="shared" si="2"/>
        <v>1166220</v>
      </c>
      <c r="E58" s="174">
        <f t="shared" si="2"/>
        <v>1171726</v>
      </c>
      <c r="F58" s="174">
        <f t="shared" si="2"/>
        <v>1175320</v>
      </c>
      <c r="G58" s="174">
        <f t="shared" si="2"/>
        <v>1197887</v>
      </c>
      <c r="H58" s="174">
        <f t="shared" si="2"/>
        <v>1201511</v>
      </c>
      <c r="I58" s="174">
        <f t="shared" si="2"/>
        <v>1224442</v>
      </c>
      <c r="J58" s="174">
        <f t="shared" si="2"/>
        <v>1372007</v>
      </c>
      <c r="K58" s="174">
        <f t="shared" si="2"/>
        <v>1400756</v>
      </c>
      <c r="L58" s="174">
        <f t="shared" si="2"/>
        <v>1398769</v>
      </c>
      <c r="M58" s="174">
        <f t="shared" si="2"/>
        <v>1370166</v>
      </c>
      <c r="N58" s="174">
        <f t="shared" si="2"/>
        <v>1376322</v>
      </c>
      <c r="O58" s="212">
        <v>1407778</v>
      </c>
      <c r="P58" s="212">
        <f>+P42+P57</f>
        <v>1420036.4479440001</v>
      </c>
      <c r="Q58" s="212">
        <f>+Q42+Q57</f>
        <v>1440577.1820170002</v>
      </c>
      <c r="R58" s="212">
        <v>1451996.1368919997</v>
      </c>
      <c r="S58" s="212">
        <v>1476732.8337190002</v>
      </c>
      <c r="T58" s="212">
        <v>1420661.1487400001</v>
      </c>
      <c r="V58" s="173" t="s">
        <v>60</v>
      </c>
      <c r="W58" s="815">
        <v>1448350.997733</v>
      </c>
    </row>
    <row r="59" spans="2:23" ht="15.75" thickBot="1">
      <c r="B59" s="145"/>
      <c r="C59" s="143"/>
      <c r="D59" s="143"/>
      <c r="E59" s="143"/>
      <c r="F59" s="143"/>
      <c r="G59" s="143"/>
      <c r="H59" s="143"/>
      <c r="I59" s="143"/>
      <c r="J59" s="143"/>
      <c r="K59" s="143"/>
      <c r="L59" s="143"/>
      <c r="M59" s="143"/>
      <c r="N59" s="143"/>
      <c r="O59" s="214"/>
      <c r="P59" s="135"/>
      <c r="Q59" s="135"/>
      <c r="R59" s="135"/>
      <c r="T59" s="744"/>
      <c r="V59" s="145"/>
      <c r="W59" s="812"/>
    </row>
    <row r="60" spans="2:23">
      <c r="B60" s="176" t="s">
        <v>555</v>
      </c>
      <c r="C60" s="177"/>
      <c r="D60" s="177"/>
      <c r="E60" s="177"/>
      <c r="F60" s="177"/>
      <c r="G60" s="177"/>
      <c r="H60" s="177"/>
      <c r="I60" s="177"/>
      <c r="J60" s="177"/>
      <c r="K60" s="177"/>
      <c r="L60" s="177"/>
      <c r="M60" s="177"/>
      <c r="N60" s="177"/>
      <c r="O60" s="215"/>
      <c r="P60" s="388"/>
      <c r="Q60" s="388"/>
      <c r="R60" s="388"/>
      <c r="S60" s="388"/>
      <c r="T60" s="747"/>
      <c r="V60" s="176" t="s">
        <v>61</v>
      </c>
      <c r="W60" s="818"/>
    </row>
    <row r="61" spans="2:23" ht="15.75" thickBot="1">
      <c r="B61" s="170" t="s">
        <v>556</v>
      </c>
      <c r="C61" s="178"/>
      <c r="D61" s="178"/>
      <c r="E61" s="178"/>
      <c r="F61" s="178"/>
      <c r="G61" s="178"/>
      <c r="H61" s="178"/>
      <c r="I61" s="178"/>
      <c r="J61" s="178"/>
      <c r="K61" s="178"/>
      <c r="L61" s="178"/>
      <c r="M61" s="178"/>
      <c r="N61" s="178"/>
      <c r="O61" s="216"/>
      <c r="P61" s="292"/>
      <c r="Q61" s="292"/>
      <c r="R61" s="292"/>
      <c r="S61" s="292"/>
      <c r="T61" s="746"/>
      <c r="V61" s="170" t="s">
        <v>62</v>
      </c>
      <c r="W61" s="819"/>
    </row>
    <row r="62" spans="2:23" s="119" customFormat="1" ht="15.75">
      <c r="B62" s="181" t="s">
        <v>557</v>
      </c>
      <c r="C62" s="146">
        <v>56294</v>
      </c>
      <c r="D62" s="146">
        <v>48260</v>
      </c>
      <c r="E62" s="146">
        <v>39776</v>
      </c>
      <c r="F62" s="146">
        <v>34831</v>
      </c>
      <c r="G62" s="146">
        <v>45192</v>
      </c>
      <c r="H62" s="146">
        <v>71718</v>
      </c>
      <c r="I62" s="146">
        <v>58956</v>
      </c>
      <c r="J62" s="146">
        <v>33815</v>
      </c>
      <c r="K62" s="146">
        <v>45990</v>
      </c>
      <c r="L62" s="146">
        <v>55333</v>
      </c>
      <c r="M62" s="146">
        <v>50226</v>
      </c>
      <c r="N62" s="146">
        <v>39903</v>
      </c>
      <c r="O62" s="211">
        <v>47256</v>
      </c>
      <c r="P62" s="211">
        <v>35318.455847999998</v>
      </c>
      <c r="Q62" s="211">
        <v>43320.639578000002</v>
      </c>
      <c r="R62" s="211">
        <v>32110.072753</v>
      </c>
      <c r="S62" s="211">
        <v>43219.475380000003</v>
      </c>
      <c r="T62" s="211">
        <v>27384.360008000003</v>
      </c>
      <c r="U62" s="744"/>
      <c r="V62" s="181" t="s">
        <v>63</v>
      </c>
      <c r="W62" s="816">
        <v>57728.033616000001</v>
      </c>
    </row>
    <row r="63" spans="2:23" s="119" customFormat="1" ht="15.75">
      <c r="B63" s="181" t="s">
        <v>558</v>
      </c>
      <c r="C63" s="146">
        <v>8692</v>
      </c>
      <c r="D63" s="146">
        <v>4638</v>
      </c>
      <c r="E63" s="146">
        <v>19863</v>
      </c>
      <c r="F63" s="146">
        <v>22688</v>
      </c>
      <c r="G63" s="146">
        <v>20923</v>
      </c>
      <c r="H63" s="146">
        <v>5349</v>
      </c>
      <c r="I63" s="146">
        <v>21520</v>
      </c>
      <c r="J63" s="146">
        <v>21740</v>
      </c>
      <c r="K63" s="146">
        <v>23163</v>
      </c>
      <c r="L63" s="146">
        <v>10043</v>
      </c>
      <c r="M63" s="146">
        <v>30342</v>
      </c>
      <c r="N63" s="146">
        <v>28901</v>
      </c>
      <c r="O63" s="211">
        <v>30819</v>
      </c>
      <c r="P63" s="211">
        <v>38663.811324000002</v>
      </c>
      <c r="Q63" s="211">
        <f>33510.959359-36.210137</f>
        <v>33474.749221999999</v>
      </c>
      <c r="R63" s="211">
        <v>33473.091207999998</v>
      </c>
      <c r="S63" s="211">
        <v>32845.959670999997</v>
      </c>
      <c r="T63" s="211">
        <v>33957.303997000003</v>
      </c>
      <c r="U63" s="221"/>
      <c r="V63" s="181" t="s">
        <v>64</v>
      </c>
      <c r="W63" s="816">
        <v>9215.9828880000005</v>
      </c>
    </row>
    <row r="64" spans="2:23" s="119" customFormat="1" ht="15.75">
      <c r="B64" s="181" t="s">
        <v>559</v>
      </c>
      <c r="C64" s="146">
        <v>0</v>
      </c>
      <c r="D64" s="146">
        <v>0</v>
      </c>
      <c r="E64" s="146">
        <v>163</v>
      </c>
      <c r="F64" s="146">
        <v>180</v>
      </c>
      <c r="G64" s="146">
        <v>162</v>
      </c>
      <c r="H64" s="146">
        <v>0</v>
      </c>
      <c r="I64" s="146">
        <v>167</v>
      </c>
      <c r="J64" s="146">
        <v>190</v>
      </c>
      <c r="K64" s="146">
        <v>211</v>
      </c>
      <c r="L64" s="146">
        <v>0</v>
      </c>
      <c r="M64" s="146">
        <v>191</v>
      </c>
      <c r="N64" s="146">
        <v>230</v>
      </c>
      <c r="O64" s="211">
        <v>266</v>
      </c>
      <c r="P64" s="211">
        <v>277.297101</v>
      </c>
      <c r="Q64" s="211">
        <v>213.516063</v>
      </c>
      <c r="R64" s="211">
        <v>243.48038600000001</v>
      </c>
      <c r="S64" s="211">
        <v>243.48038600000001</v>
      </c>
      <c r="T64" s="211">
        <v>240.27998099999999</v>
      </c>
      <c r="U64" s="221"/>
      <c r="V64" s="181" t="s">
        <v>66</v>
      </c>
      <c r="W64" s="816">
        <v>204.18880999999999</v>
      </c>
    </row>
    <row r="65" spans="2:23" s="119" customFormat="1" ht="15.75">
      <c r="B65" s="181" t="s">
        <v>537</v>
      </c>
      <c r="C65" s="146">
        <v>0</v>
      </c>
      <c r="D65" s="146">
        <v>1442</v>
      </c>
      <c r="E65" s="146">
        <v>1968</v>
      </c>
      <c r="F65" s="146">
        <v>1875</v>
      </c>
      <c r="G65" s="146">
        <v>1598</v>
      </c>
      <c r="H65" s="146">
        <v>1618</v>
      </c>
      <c r="I65" s="146">
        <v>1771</v>
      </c>
      <c r="J65" s="146">
        <v>1806</v>
      </c>
      <c r="K65" s="146">
        <v>6851</v>
      </c>
      <c r="L65" s="146">
        <v>0</v>
      </c>
      <c r="M65" s="146">
        <v>2505</v>
      </c>
      <c r="N65" s="146">
        <v>1137</v>
      </c>
      <c r="O65" s="211">
        <v>1240</v>
      </c>
      <c r="P65" s="211">
        <v>998.79442900000004</v>
      </c>
      <c r="Q65" s="211">
        <v>2101.3967630000002</v>
      </c>
      <c r="R65" s="211">
        <v>1820.3525979999999</v>
      </c>
      <c r="S65" s="211">
        <v>2076.0057630000001</v>
      </c>
      <c r="T65" s="211">
        <v>2272.4342660000002</v>
      </c>
      <c r="U65" s="221"/>
      <c r="V65" s="181" t="s">
        <v>41</v>
      </c>
      <c r="W65" s="816">
        <v>2629.2194720000002</v>
      </c>
    </row>
    <row r="66" spans="2:23" s="119" customFormat="1" ht="15.75">
      <c r="B66" s="181" t="s">
        <v>560</v>
      </c>
      <c r="C66" s="146">
        <v>0</v>
      </c>
      <c r="D66" s="146">
        <v>0</v>
      </c>
      <c r="E66" s="146">
        <v>0</v>
      </c>
      <c r="F66" s="146">
        <v>0</v>
      </c>
      <c r="G66" s="146">
        <v>922</v>
      </c>
      <c r="H66" s="146">
        <v>0</v>
      </c>
      <c r="I66" s="146">
        <v>694</v>
      </c>
      <c r="J66" s="146">
        <v>2975</v>
      </c>
      <c r="K66" s="146">
        <v>2947</v>
      </c>
      <c r="L66" s="146">
        <v>7007</v>
      </c>
      <c r="M66" s="146">
        <v>6071</v>
      </c>
      <c r="N66" s="146">
        <v>8092</v>
      </c>
      <c r="O66" s="211">
        <v>8095</v>
      </c>
      <c r="P66" s="211">
        <v>11436.014999999999</v>
      </c>
      <c r="Q66" s="211">
        <v>11351.347</v>
      </c>
      <c r="R66" s="211">
        <v>13647.532169</v>
      </c>
      <c r="S66" s="211">
        <v>15355.741</v>
      </c>
      <c r="T66" s="211">
        <v>12111.029498</v>
      </c>
      <c r="U66" s="221"/>
      <c r="V66" s="181" t="s">
        <v>67</v>
      </c>
      <c r="W66" s="816">
        <v>12408.512487</v>
      </c>
    </row>
    <row r="67" spans="2:23" s="119" customFormat="1" ht="15.75">
      <c r="B67" s="181" t="s">
        <v>561</v>
      </c>
      <c r="C67" s="146">
        <v>1292</v>
      </c>
      <c r="D67" s="146">
        <v>1120</v>
      </c>
      <c r="E67" s="146">
        <v>414</v>
      </c>
      <c r="F67" s="146">
        <v>739</v>
      </c>
      <c r="G67" s="146">
        <v>812</v>
      </c>
      <c r="H67" s="146">
        <v>1117</v>
      </c>
      <c r="I67" s="146">
        <v>550</v>
      </c>
      <c r="J67" s="146">
        <v>733</v>
      </c>
      <c r="K67" s="146">
        <v>1023</v>
      </c>
      <c r="L67" s="146">
        <v>1357</v>
      </c>
      <c r="M67" s="146">
        <v>481</v>
      </c>
      <c r="N67" s="146">
        <v>783</v>
      </c>
      <c r="O67" s="211">
        <v>836</v>
      </c>
      <c r="P67" s="211">
        <v>1163.2058919999999</v>
      </c>
      <c r="Q67" s="211">
        <v>473.45042699999999</v>
      </c>
      <c r="R67" s="211">
        <v>776.28130199999998</v>
      </c>
      <c r="S67" s="211">
        <v>880.65506900000003</v>
      </c>
      <c r="T67" s="211">
        <v>1276.1774789999999</v>
      </c>
      <c r="U67" s="221"/>
      <c r="V67" s="181" t="s">
        <v>65</v>
      </c>
      <c r="W67" s="816">
        <v>526.46674599999994</v>
      </c>
    </row>
    <row r="68" spans="2:23" s="119" customFormat="1" ht="15.75">
      <c r="B68" s="181" t="s">
        <v>562</v>
      </c>
      <c r="C68" s="146">
        <v>2838</v>
      </c>
      <c r="D68" s="146">
        <v>2</v>
      </c>
      <c r="E68" s="146">
        <v>0</v>
      </c>
      <c r="F68" s="146">
        <v>0</v>
      </c>
      <c r="G68" s="146">
        <v>0</v>
      </c>
      <c r="H68" s="146">
        <v>1</v>
      </c>
      <c r="I68" s="146">
        <v>0</v>
      </c>
      <c r="J68" s="146">
        <v>0</v>
      </c>
      <c r="K68" s="146">
        <v>0</v>
      </c>
      <c r="L68" s="146">
        <v>0</v>
      </c>
      <c r="M68" s="146">
        <v>0</v>
      </c>
      <c r="N68" s="146">
        <v>243</v>
      </c>
      <c r="O68" s="211">
        <v>254</v>
      </c>
      <c r="P68" s="211">
        <v>294.09186399999999</v>
      </c>
      <c r="Q68" s="211">
        <v>317.47848099999999</v>
      </c>
      <c r="R68" s="211">
        <v>364.50745000000001</v>
      </c>
      <c r="S68" s="211">
        <v>441.14176300000003</v>
      </c>
      <c r="T68" s="211">
        <v>420.423698</v>
      </c>
      <c r="U68" s="221"/>
      <c r="V68" s="181" t="s">
        <v>68</v>
      </c>
      <c r="W68" s="816">
        <v>6110.1125659999998</v>
      </c>
    </row>
    <row r="69" spans="2:23" s="119" customFormat="1" ht="15.75">
      <c r="B69" s="181" t="s">
        <v>625</v>
      </c>
      <c r="C69" s="146">
        <v>0</v>
      </c>
      <c r="D69" s="146">
        <v>0</v>
      </c>
      <c r="E69" s="146">
        <v>0</v>
      </c>
      <c r="F69" s="146">
        <v>0</v>
      </c>
      <c r="G69" s="146">
        <v>0</v>
      </c>
      <c r="H69" s="146">
        <v>0</v>
      </c>
      <c r="I69" s="146">
        <v>0</v>
      </c>
      <c r="J69" s="146">
        <v>0</v>
      </c>
      <c r="K69" s="146">
        <v>0</v>
      </c>
      <c r="L69" s="146">
        <v>0</v>
      </c>
      <c r="M69" s="146">
        <v>0</v>
      </c>
      <c r="N69" s="146">
        <v>0</v>
      </c>
      <c r="O69" s="211">
        <v>0</v>
      </c>
      <c r="P69" s="211">
        <v>0</v>
      </c>
      <c r="Q69" s="211">
        <v>0</v>
      </c>
      <c r="R69" s="211">
        <v>0</v>
      </c>
      <c r="S69" s="211">
        <v>0</v>
      </c>
      <c r="T69" s="211">
        <v>0</v>
      </c>
      <c r="U69" s="221"/>
      <c r="V69" s="181" t="s">
        <v>625</v>
      </c>
      <c r="W69" s="816"/>
    </row>
    <row r="70" spans="2:23">
      <c r="B70" s="170" t="s">
        <v>563</v>
      </c>
      <c r="C70" s="175">
        <f t="shared" ref="C70:N70" si="3">SUM(C62:C69)</f>
        <v>69116</v>
      </c>
      <c r="D70" s="175">
        <f t="shared" si="3"/>
        <v>55462</v>
      </c>
      <c r="E70" s="175">
        <f t="shared" si="3"/>
        <v>62184</v>
      </c>
      <c r="F70" s="175">
        <f t="shared" si="3"/>
        <v>60313</v>
      </c>
      <c r="G70" s="175">
        <f t="shared" si="3"/>
        <v>69609</v>
      </c>
      <c r="H70" s="175">
        <f t="shared" si="3"/>
        <v>79803</v>
      </c>
      <c r="I70" s="175">
        <f t="shared" si="3"/>
        <v>83658</v>
      </c>
      <c r="J70" s="175">
        <f t="shared" si="3"/>
        <v>61259</v>
      </c>
      <c r="K70" s="175">
        <f t="shared" si="3"/>
        <v>80185</v>
      </c>
      <c r="L70" s="175">
        <f t="shared" si="3"/>
        <v>73740</v>
      </c>
      <c r="M70" s="175">
        <f t="shared" si="3"/>
        <v>89816</v>
      </c>
      <c r="N70" s="175">
        <f t="shared" si="3"/>
        <v>79289</v>
      </c>
      <c r="O70" s="213">
        <v>88766</v>
      </c>
      <c r="P70" s="213">
        <f>SUM(P62:P69)</f>
        <v>88151.671457999997</v>
      </c>
      <c r="Q70" s="213">
        <f>SUM(Q62:Q69)</f>
        <v>91252.577533999996</v>
      </c>
      <c r="R70" s="213">
        <v>82435.317865999998</v>
      </c>
      <c r="S70" s="213">
        <v>95062.459031999999</v>
      </c>
      <c r="T70" s="213">
        <v>77662.008927000017</v>
      </c>
      <c r="U70" s="221"/>
      <c r="V70" s="170" t="s">
        <v>70</v>
      </c>
      <c r="W70" s="817">
        <v>88822.516585000005</v>
      </c>
    </row>
    <row r="71" spans="2:23">
      <c r="B71" s="179" t="s">
        <v>564</v>
      </c>
      <c r="C71" s="180"/>
      <c r="D71" s="180"/>
      <c r="E71" s="180"/>
      <c r="F71" s="180"/>
      <c r="G71" s="180"/>
      <c r="H71" s="180"/>
      <c r="I71" s="180"/>
      <c r="J71" s="180"/>
      <c r="K71" s="180"/>
      <c r="L71" s="180"/>
      <c r="M71" s="180"/>
      <c r="N71" s="180"/>
      <c r="O71" s="217"/>
      <c r="P71" s="217"/>
      <c r="Q71" s="217"/>
      <c r="R71" s="217"/>
      <c r="S71" s="217"/>
      <c r="T71" s="753"/>
      <c r="V71" s="179" t="s">
        <v>71</v>
      </c>
      <c r="W71" s="820"/>
    </row>
    <row r="72" spans="2:23" s="119" customFormat="1" ht="15.75">
      <c r="B72" s="181" t="s">
        <v>557</v>
      </c>
      <c r="C72" s="146">
        <v>496863</v>
      </c>
      <c r="D72" s="146">
        <v>493406</v>
      </c>
      <c r="E72" s="146">
        <v>497438</v>
      </c>
      <c r="F72" s="146">
        <v>487255</v>
      </c>
      <c r="G72" s="146">
        <v>495094</v>
      </c>
      <c r="H72" s="146">
        <v>619671</v>
      </c>
      <c r="I72" s="146">
        <v>474172</v>
      </c>
      <c r="J72" s="146">
        <v>626883</v>
      </c>
      <c r="K72" s="146">
        <v>627450</v>
      </c>
      <c r="L72" s="146">
        <v>765038</v>
      </c>
      <c r="M72" s="146">
        <v>608941</v>
      </c>
      <c r="N72" s="146">
        <v>605645</v>
      </c>
      <c r="O72" s="211">
        <v>610885</v>
      </c>
      <c r="P72" s="211">
        <v>605149.71300999995</v>
      </c>
      <c r="Q72" s="211">
        <v>611367.66704900004</v>
      </c>
      <c r="R72" s="211">
        <v>611836.56228900002</v>
      </c>
      <c r="S72" s="211">
        <v>616334.07324499998</v>
      </c>
      <c r="T72" s="211">
        <v>619998.59155200003</v>
      </c>
      <c r="U72" s="744"/>
      <c r="V72" s="181" t="s">
        <v>63</v>
      </c>
      <c r="W72" s="816">
        <v>810872.78162300005</v>
      </c>
    </row>
    <row r="73" spans="2:23" s="119" customFormat="1" ht="15.75">
      <c r="B73" s="181" t="s">
        <v>558</v>
      </c>
      <c r="C73" s="146">
        <v>161074</v>
      </c>
      <c r="D73" s="146">
        <v>164349</v>
      </c>
      <c r="E73" s="146">
        <v>148174</v>
      </c>
      <c r="F73" s="146">
        <v>152929</v>
      </c>
      <c r="G73" s="146">
        <v>149009</v>
      </c>
      <c r="H73" s="146">
        <v>0</v>
      </c>
      <c r="I73" s="146">
        <v>149735</v>
      </c>
      <c r="J73" s="146">
        <v>157749</v>
      </c>
      <c r="K73" s="146">
        <v>149073</v>
      </c>
      <c r="L73" s="146">
        <v>903</v>
      </c>
      <c r="M73" s="146">
        <v>149509</v>
      </c>
      <c r="N73" s="146">
        <v>159598</v>
      </c>
      <c r="O73" s="211">
        <v>156384</v>
      </c>
      <c r="P73" s="211">
        <v>169595.62221900001</v>
      </c>
      <c r="Q73" s="211">
        <v>167875.36014899999</v>
      </c>
      <c r="R73" s="211">
        <v>173715.642448</v>
      </c>
      <c r="S73" s="211">
        <v>169075.533807</v>
      </c>
      <c r="T73" s="211">
        <v>178394.27674299999</v>
      </c>
      <c r="U73" s="221"/>
      <c r="V73" s="181" t="s">
        <v>64</v>
      </c>
      <c r="W73" s="816">
        <v>166.016572</v>
      </c>
    </row>
    <row r="74" spans="2:23" s="119" customFormat="1" ht="15.75">
      <c r="B74" s="181" t="s">
        <v>565</v>
      </c>
      <c r="C74" s="146">
        <v>0</v>
      </c>
      <c r="D74" s="146">
        <v>0</v>
      </c>
      <c r="E74" s="146">
        <v>0</v>
      </c>
      <c r="F74" s="146">
        <v>0</v>
      </c>
      <c r="G74" s="146">
        <v>0</v>
      </c>
      <c r="H74" s="146">
        <v>0</v>
      </c>
      <c r="I74" s="146">
        <v>0</v>
      </c>
      <c r="J74" s="146">
        <v>0</v>
      </c>
      <c r="K74" s="146">
        <v>0</v>
      </c>
      <c r="L74" s="146">
        <v>0</v>
      </c>
      <c r="M74" s="146">
        <v>0</v>
      </c>
      <c r="N74" s="146">
        <v>0</v>
      </c>
      <c r="O74" s="211">
        <v>0</v>
      </c>
      <c r="P74" s="211">
        <v>0</v>
      </c>
      <c r="Q74" s="211">
        <v>0</v>
      </c>
      <c r="R74" s="211">
        <v>0</v>
      </c>
      <c r="S74" s="211">
        <v>0</v>
      </c>
      <c r="T74" s="211">
        <v>0</v>
      </c>
      <c r="U74" s="221"/>
      <c r="V74" s="181" t="s">
        <v>72</v>
      </c>
      <c r="W74" s="816">
        <v>0</v>
      </c>
    </row>
    <row r="75" spans="2:23" s="119" customFormat="1" ht="15.75">
      <c r="B75" s="181" t="s">
        <v>559</v>
      </c>
      <c r="C75" s="146">
        <v>0</v>
      </c>
      <c r="D75" s="146">
        <v>0</v>
      </c>
      <c r="E75" s="146">
        <v>0</v>
      </c>
      <c r="F75" s="146">
        <v>0</v>
      </c>
      <c r="G75" s="146">
        <v>0</v>
      </c>
      <c r="H75" s="146">
        <v>0</v>
      </c>
      <c r="I75" s="146">
        <v>0</v>
      </c>
      <c r="J75" s="146">
        <v>0</v>
      </c>
      <c r="K75" s="146">
        <v>0</v>
      </c>
      <c r="L75" s="146">
        <v>0</v>
      </c>
      <c r="M75" s="146">
        <v>0</v>
      </c>
      <c r="N75" s="146">
        <v>0</v>
      </c>
      <c r="O75" s="211">
        <v>0</v>
      </c>
      <c r="P75" s="211">
        <v>0</v>
      </c>
      <c r="Q75" s="211">
        <v>0</v>
      </c>
      <c r="R75" s="211">
        <v>0</v>
      </c>
      <c r="S75" s="211">
        <v>0</v>
      </c>
      <c r="T75" s="211">
        <v>0</v>
      </c>
      <c r="U75" s="221"/>
      <c r="V75" s="181" t="s">
        <v>66</v>
      </c>
      <c r="W75" s="816">
        <v>0</v>
      </c>
    </row>
    <row r="76" spans="2:23" s="119" customFormat="1" ht="15.75">
      <c r="B76" s="181" t="s">
        <v>560</v>
      </c>
      <c r="C76" s="146">
        <v>0</v>
      </c>
      <c r="D76" s="146">
        <v>0</v>
      </c>
      <c r="E76" s="146">
        <v>0</v>
      </c>
      <c r="F76" s="146">
        <v>0</v>
      </c>
      <c r="G76" s="146">
        <v>0</v>
      </c>
      <c r="H76" s="146">
        <v>0</v>
      </c>
      <c r="I76" s="146">
        <v>0</v>
      </c>
      <c r="J76" s="146">
        <v>0</v>
      </c>
      <c r="K76" s="146">
        <v>0</v>
      </c>
      <c r="L76" s="146">
        <v>0</v>
      </c>
      <c r="M76" s="146">
        <v>0</v>
      </c>
      <c r="N76" s="146">
        <v>0</v>
      </c>
      <c r="O76" s="211">
        <v>0</v>
      </c>
      <c r="P76" s="211">
        <v>0</v>
      </c>
      <c r="Q76" s="211">
        <v>0</v>
      </c>
      <c r="R76" s="211">
        <v>0</v>
      </c>
      <c r="S76" s="211">
        <v>0</v>
      </c>
      <c r="T76" s="211">
        <v>0</v>
      </c>
      <c r="U76" s="221"/>
      <c r="V76" s="181" t="s">
        <v>67</v>
      </c>
      <c r="W76" s="816">
        <v>0</v>
      </c>
    </row>
    <row r="77" spans="2:23" s="119" customFormat="1" ht="15.75">
      <c r="B77" s="181" t="s">
        <v>562</v>
      </c>
      <c r="C77" s="146">
        <v>0</v>
      </c>
      <c r="D77" s="146">
        <v>0</v>
      </c>
      <c r="E77" s="146">
        <v>0</v>
      </c>
      <c r="F77" s="146">
        <v>0</v>
      </c>
      <c r="G77" s="146">
        <v>0</v>
      </c>
      <c r="H77" s="146">
        <v>0</v>
      </c>
      <c r="I77" s="146">
        <v>0</v>
      </c>
      <c r="J77" s="146">
        <v>0</v>
      </c>
      <c r="K77" s="146">
        <v>0</v>
      </c>
      <c r="L77" s="146">
        <v>0</v>
      </c>
      <c r="M77" s="146">
        <v>0</v>
      </c>
      <c r="N77" s="146">
        <v>0</v>
      </c>
      <c r="O77" s="211">
        <v>0</v>
      </c>
      <c r="P77" s="211">
        <v>0</v>
      </c>
      <c r="Q77" s="211">
        <v>0</v>
      </c>
      <c r="R77" s="211">
        <v>0</v>
      </c>
      <c r="S77" s="211">
        <v>0</v>
      </c>
      <c r="T77" s="211">
        <v>0</v>
      </c>
      <c r="U77" s="221"/>
      <c r="V77" s="181" t="s">
        <v>68</v>
      </c>
      <c r="W77" s="816">
        <v>0</v>
      </c>
    </row>
    <row r="78" spans="2:23" s="119" customFormat="1" ht="15.75">
      <c r="B78" s="181" t="s">
        <v>566</v>
      </c>
      <c r="C78" s="146">
        <v>72183</v>
      </c>
      <c r="D78" s="146">
        <v>84171</v>
      </c>
      <c r="E78" s="146">
        <v>86079</v>
      </c>
      <c r="F78" s="146">
        <v>87753</v>
      </c>
      <c r="G78" s="146">
        <v>89323</v>
      </c>
      <c r="H78" s="146">
        <v>89746</v>
      </c>
      <c r="I78" s="146">
        <v>93777</v>
      </c>
      <c r="J78" s="146">
        <v>94007</v>
      </c>
      <c r="K78" s="146">
        <v>98062</v>
      </c>
      <c r="L78" s="146">
        <v>100617</v>
      </c>
      <c r="M78" s="146">
        <v>102471</v>
      </c>
      <c r="N78" s="146">
        <v>104655</v>
      </c>
      <c r="O78" s="211">
        <v>109979</v>
      </c>
      <c r="P78" s="211">
        <v>109616.095346</v>
      </c>
      <c r="Q78" s="211">
        <v>111117.06804699999</v>
      </c>
      <c r="R78" s="211">
        <v>113124.88226499999</v>
      </c>
      <c r="S78" s="211">
        <v>115640.40788100001</v>
      </c>
      <c r="T78" s="211">
        <v>110045.521048</v>
      </c>
      <c r="U78" s="221"/>
      <c r="V78" s="181" t="s">
        <v>97</v>
      </c>
      <c r="W78" s="816">
        <v>110900.750611</v>
      </c>
    </row>
    <row r="79" spans="2:23">
      <c r="B79" s="170" t="s">
        <v>567</v>
      </c>
      <c r="C79" s="175">
        <f t="shared" ref="C79:N79" si="4">SUM(C72:C78)</f>
        <v>730120</v>
      </c>
      <c r="D79" s="175">
        <f t="shared" si="4"/>
        <v>741926</v>
      </c>
      <c r="E79" s="175">
        <f t="shared" si="4"/>
        <v>731691</v>
      </c>
      <c r="F79" s="175">
        <f t="shared" si="4"/>
        <v>727937</v>
      </c>
      <c r="G79" s="175">
        <f t="shared" si="4"/>
        <v>733426</v>
      </c>
      <c r="H79" s="175">
        <f t="shared" si="4"/>
        <v>709417</v>
      </c>
      <c r="I79" s="175">
        <f t="shared" si="4"/>
        <v>717684</v>
      </c>
      <c r="J79" s="175">
        <f t="shared" si="4"/>
        <v>878639</v>
      </c>
      <c r="K79" s="175">
        <f t="shared" si="4"/>
        <v>874585</v>
      </c>
      <c r="L79" s="175">
        <f t="shared" si="4"/>
        <v>866558</v>
      </c>
      <c r="M79" s="175">
        <f t="shared" si="4"/>
        <v>860921</v>
      </c>
      <c r="N79" s="175">
        <f t="shared" si="4"/>
        <v>869898</v>
      </c>
      <c r="O79" s="213">
        <v>877248</v>
      </c>
      <c r="P79" s="213">
        <f>SUM(P72:P78)</f>
        <v>884361.43057500001</v>
      </c>
      <c r="Q79" s="213">
        <f>SUM(Q72:Q78)</f>
        <v>890360.09524499997</v>
      </c>
      <c r="R79" s="213">
        <v>898677.08700200007</v>
      </c>
      <c r="S79" s="213">
        <v>901050.01493299997</v>
      </c>
      <c r="T79" s="213">
        <v>908438.38934300002</v>
      </c>
      <c r="U79" s="221"/>
      <c r="V79" s="170" t="s">
        <v>73</v>
      </c>
      <c r="W79" s="817">
        <v>921939.54880600004</v>
      </c>
    </row>
    <row r="80" spans="2:23">
      <c r="B80" s="173" t="s">
        <v>568</v>
      </c>
      <c r="C80" s="174">
        <f t="shared" ref="C80:N80" si="5">+C70+C79</f>
        <v>799236</v>
      </c>
      <c r="D80" s="174">
        <f t="shared" si="5"/>
        <v>797388</v>
      </c>
      <c r="E80" s="174">
        <f t="shared" si="5"/>
        <v>793875</v>
      </c>
      <c r="F80" s="174">
        <f t="shared" si="5"/>
        <v>788250</v>
      </c>
      <c r="G80" s="174">
        <f t="shared" si="5"/>
        <v>803035</v>
      </c>
      <c r="H80" s="174">
        <f t="shared" si="5"/>
        <v>789220</v>
      </c>
      <c r="I80" s="174">
        <f t="shared" si="5"/>
        <v>801342</v>
      </c>
      <c r="J80" s="174">
        <f t="shared" si="5"/>
        <v>939898</v>
      </c>
      <c r="K80" s="174">
        <f t="shared" si="5"/>
        <v>954770</v>
      </c>
      <c r="L80" s="174">
        <f t="shared" si="5"/>
        <v>940298</v>
      </c>
      <c r="M80" s="174">
        <f t="shared" si="5"/>
        <v>950737</v>
      </c>
      <c r="N80" s="174">
        <f t="shared" si="5"/>
        <v>949187</v>
      </c>
      <c r="O80" s="212">
        <v>966014</v>
      </c>
      <c r="P80" s="212">
        <f>+P79+P70</f>
        <v>972513.10203299997</v>
      </c>
      <c r="Q80" s="212">
        <f>+Q79+Q70</f>
        <v>981612.67277900001</v>
      </c>
      <c r="R80" s="212">
        <v>981112.40486800007</v>
      </c>
      <c r="S80" s="212">
        <v>996112.47396500001</v>
      </c>
      <c r="T80" s="212">
        <v>986100.39827000001</v>
      </c>
      <c r="V80" s="173" t="s">
        <v>74</v>
      </c>
      <c r="W80" s="815">
        <v>1010762.065391</v>
      </c>
    </row>
    <row r="81" spans="2:23">
      <c r="B81" s="145"/>
      <c r="C81" s="143"/>
      <c r="D81" s="143"/>
      <c r="E81" s="143"/>
      <c r="F81" s="143"/>
      <c r="G81" s="143"/>
      <c r="H81" s="143"/>
      <c r="I81" s="143"/>
      <c r="J81" s="143"/>
      <c r="K81" s="143"/>
      <c r="L81" s="143"/>
      <c r="M81" s="143"/>
      <c r="N81" s="143"/>
      <c r="O81" s="214"/>
      <c r="P81" s="214"/>
      <c r="Q81" s="214"/>
      <c r="R81" s="214"/>
      <c r="S81" s="214">
        <v>0</v>
      </c>
      <c r="T81" s="749"/>
      <c r="V81" s="145"/>
      <c r="W81" s="821"/>
    </row>
    <row r="82" spans="2:23">
      <c r="B82" s="179" t="s">
        <v>569</v>
      </c>
      <c r="C82" s="180"/>
      <c r="D82" s="180"/>
      <c r="E82" s="180"/>
      <c r="F82" s="180"/>
      <c r="G82" s="180"/>
      <c r="H82" s="180"/>
      <c r="I82" s="180"/>
      <c r="J82" s="180"/>
      <c r="K82" s="180"/>
      <c r="L82" s="180"/>
      <c r="M82" s="180"/>
      <c r="N82" s="180"/>
      <c r="O82" s="217"/>
      <c r="P82" s="217"/>
      <c r="Q82" s="217"/>
      <c r="R82" s="217"/>
      <c r="S82" s="217"/>
      <c r="T82" s="753"/>
      <c r="V82" s="179" t="s">
        <v>75</v>
      </c>
      <c r="W82" s="820"/>
    </row>
    <row r="83" spans="2:23" s="119" customFormat="1" ht="15.75">
      <c r="B83" s="181" t="s">
        <v>570</v>
      </c>
      <c r="C83" s="146">
        <v>85214</v>
      </c>
      <c r="D83" s="146">
        <v>85214</v>
      </c>
      <c r="E83" s="146">
        <v>85214</v>
      </c>
      <c r="F83" s="146">
        <v>85214</v>
      </c>
      <c r="G83" s="146">
        <v>85214</v>
      </c>
      <c r="H83" s="146">
        <v>85214</v>
      </c>
      <c r="I83" s="146">
        <v>85214</v>
      </c>
      <c r="J83" s="146">
        <v>85214</v>
      </c>
      <c r="K83" s="146">
        <v>85214</v>
      </c>
      <c r="L83" s="146">
        <v>85214</v>
      </c>
      <c r="M83" s="146">
        <v>85214</v>
      </c>
      <c r="N83" s="146">
        <v>85214</v>
      </c>
      <c r="O83" s="211">
        <v>85214</v>
      </c>
      <c r="P83" s="211">
        <v>85214.499991000004</v>
      </c>
      <c r="Q83" s="211">
        <v>85214.499991000004</v>
      </c>
      <c r="R83" s="211">
        <v>85214.499991000004</v>
      </c>
      <c r="S83" s="211">
        <v>85214.499991000004</v>
      </c>
      <c r="T83" s="211">
        <v>85214.499991000004</v>
      </c>
      <c r="U83" s="744"/>
      <c r="V83" s="181" t="s">
        <v>76</v>
      </c>
      <c r="W83" s="816">
        <v>85214.499991000004</v>
      </c>
    </row>
    <row r="84" spans="2:23" s="119" customFormat="1" ht="15.75">
      <c r="B84" s="181" t="s">
        <v>571</v>
      </c>
      <c r="C84" s="146">
        <v>0</v>
      </c>
      <c r="D84" s="146">
        <v>0</v>
      </c>
      <c r="E84" s="146">
        <v>0</v>
      </c>
      <c r="F84" s="146">
        <v>0</v>
      </c>
      <c r="G84" s="146">
        <v>0</v>
      </c>
      <c r="H84" s="146">
        <v>0</v>
      </c>
      <c r="I84" s="146">
        <v>0</v>
      </c>
      <c r="J84" s="146">
        <v>0</v>
      </c>
      <c r="K84" s="146">
        <v>0</v>
      </c>
      <c r="L84" s="146">
        <v>0</v>
      </c>
      <c r="M84" s="146">
        <v>0</v>
      </c>
      <c r="N84" s="146">
        <v>0</v>
      </c>
      <c r="O84" s="211">
        <v>0</v>
      </c>
      <c r="P84" s="211">
        <v>0</v>
      </c>
      <c r="Q84" s="211">
        <v>0</v>
      </c>
      <c r="R84" s="211">
        <v>0</v>
      </c>
      <c r="S84" s="211">
        <v>0</v>
      </c>
      <c r="T84" s="211">
        <v>0</v>
      </c>
      <c r="U84" s="221"/>
      <c r="V84" s="181" t="s">
        <v>77</v>
      </c>
      <c r="W84" s="816">
        <v>0</v>
      </c>
    </row>
    <row r="85" spans="2:23" s="119" customFormat="1" ht="15.75">
      <c r="B85" s="181" t="s">
        <v>572</v>
      </c>
      <c r="C85" s="146">
        <v>0</v>
      </c>
      <c r="D85" s="146">
        <v>0</v>
      </c>
      <c r="E85" s="146">
        <v>0</v>
      </c>
      <c r="F85" s="146">
        <v>0</v>
      </c>
      <c r="G85" s="146">
        <v>0</v>
      </c>
      <c r="H85" s="146">
        <v>0</v>
      </c>
      <c r="I85" s="146">
        <v>0</v>
      </c>
      <c r="J85" s="146">
        <v>0</v>
      </c>
      <c r="K85" s="146">
        <v>0</v>
      </c>
      <c r="L85" s="146">
        <v>0</v>
      </c>
      <c r="M85" s="146">
        <v>0</v>
      </c>
      <c r="N85" s="146">
        <v>0</v>
      </c>
      <c r="O85" s="211">
        <v>0</v>
      </c>
      <c r="P85" s="211">
        <v>0</v>
      </c>
      <c r="Q85" s="211">
        <v>0</v>
      </c>
      <c r="R85" s="211">
        <v>0</v>
      </c>
      <c r="S85" s="211">
        <v>0</v>
      </c>
      <c r="T85" s="211">
        <v>0</v>
      </c>
      <c r="U85" s="221"/>
      <c r="V85" s="181" t="s">
        <v>78</v>
      </c>
      <c r="W85" s="816">
        <v>0</v>
      </c>
    </row>
    <row r="86" spans="2:23" s="119" customFormat="1" ht="15.75">
      <c r="B86" s="181" t="s">
        <v>573</v>
      </c>
      <c r="C86" s="146">
        <v>193927</v>
      </c>
      <c r="D86" s="146">
        <v>236233</v>
      </c>
      <c r="E86" s="146">
        <v>281327</v>
      </c>
      <c r="F86" s="146">
        <v>281327</v>
      </c>
      <c r="G86" s="146">
        <v>281327</v>
      </c>
      <c r="H86" s="146">
        <v>281225</v>
      </c>
      <c r="I86" s="146">
        <v>324193</v>
      </c>
      <c r="J86" s="146">
        <v>324193</v>
      </c>
      <c r="K86" s="146">
        <v>324193</v>
      </c>
      <c r="L86" s="146">
        <v>324193</v>
      </c>
      <c r="M86" s="146">
        <v>318693</v>
      </c>
      <c r="N86" s="146">
        <v>318693</v>
      </c>
      <c r="O86" s="211">
        <v>318693</v>
      </c>
      <c r="P86" s="211">
        <v>318693.229207</v>
      </c>
      <c r="Q86" s="211">
        <v>357704.89399499999</v>
      </c>
      <c r="R86" s="211">
        <v>357704.89399499999</v>
      </c>
      <c r="S86" s="211">
        <v>357704.89399499999</v>
      </c>
      <c r="T86" s="211">
        <v>302116.86199499998</v>
      </c>
      <c r="U86" s="221"/>
      <c r="V86" s="181" t="s">
        <v>79</v>
      </c>
      <c r="W86" s="816">
        <v>345594.87307600002</v>
      </c>
    </row>
    <row r="87" spans="2:23" s="119" customFormat="1" ht="15.75">
      <c r="B87" s="181" t="s">
        <v>574</v>
      </c>
      <c r="C87" s="146">
        <v>42306</v>
      </c>
      <c r="D87" s="146">
        <v>45093</v>
      </c>
      <c r="E87" s="146">
        <v>9565</v>
      </c>
      <c r="F87" s="146">
        <v>19422</v>
      </c>
      <c r="G87" s="146">
        <v>26900</v>
      </c>
      <c r="H87" s="146">
        <v>42969</v>
      </c>
      <c r="I87" s="146">
        <v>10807</v>
      </c>
      <c r="J87" s="146">
        <v>19876</v>
      </c>
      <c r="K87" s="146">
        <v>33777</v>
      </c>
      <c r="L87" s="146">
        <v>45514</v>
      </c>
      <c r="M87" s="146">
        <v>10774</v>
      </c>
      <c r="N87" s="146">
        <v>18189</v>
      </c>
      <c r="O87" s="211">
        <v>33112</v>
      </c>
      <c r="P87" s="211">
        <v>39011.664788000002</v>
      </c>
      <c r="Q87" s="211">
        <v>11526.165836</v>
      </c>
      <c r="R87" s="211">
        <v>23572.413223</v>
      </c>
      <c r="S87" s="211">
        <v>33497.750252999991</v>
      </c>
      <c r="T87" s="211">
        <v>43478.011079999997</v>
      </c>
      <c r="U87" s="221"/>
      <c r="V87" s="181" t="s">
        <v>80</v>
      </c>
      <c r="W87" s="816">
        <v>3398.020638</v>
      </c>
    </row>
    <row r="88" spans="2:23" s="119" customFormat="1" ht="15.75">
      <c r="B88" s="181" t="s">
        <v>575</v>
      </c>
      <c r="C88" s="146">
        <v>4355</v>
      </c>
      <c r="D88" s="146">
        <v>2292</v>
      </c>
      <c r="E88" s="146">
        <v>1745</v>
      </c>
      <c r="F88" s="146">
        <v>1107</v>
      </c>
      <c r="G88" s="146">
        <v>1411</v>
      </c>
      <c r="H88" s="146">
        <v>2883</v>
      </c>
      <c r="I88" s="146">
        <v>2886</v>
      </c>
      <c r="J88" s="146">
        <v>2826</v>
      </c>
      <c r="K88" s="146">
        <v>2802</v>
      </c>
      <c r="L88" s="146">
        <v>3550</v>
      </c>
      <c r="M88" s="146">
        <v>4748</v>
      </c>
      <c r="N88" s="146">
        <v>5039</v>
      </c>
      <c r="O88" s="211">
        <v>4745</v>
      </c>
      <c r="P88" s="211">
        <v>4603.9519250000003</v>
      </c>
      <c r="Q88" s="211">
        <v>4518.948727</v>
      </c>
      <c r="R88" s="211">
        <v>4391.9058059999998</v>
      </c>
      <c r="S88" s="211">
        <v>4203.1314650000004</v>
      </c>
      <c r="T88" s="211">
        <v>3751.3774039999998</v>
      </c>
      <c r="U88" s="221"/>
      <c r="V88" s="181" t="s">
        <v>81</v>
      </c>
      <c r="W88" s="816">
        <v>3381.538638</v>
      </c>
    </row>
    <row r="89" spans="2:23">
      <c r="B89" s="170" t="s">
        <v>576</v>
      </c>
      <c r="C89" s="175">
        <f t="shared" ref="C89:N89" si="6">SUM(C83:C88)</f>
        <v>325802</v>
      </c>
      <c r="D89" s="175">
        <f t="shared" si="6"/>
        <v>368832</v>
      </c>
      <c r="E89" s="175">
        <f t="shared" si="6"/>
        <v>377851</v>
      </c>
      <c r="F89" s="175">
        <f t="shared" si="6"/>
        <v>387070</v>
      </c>
      <c r="G89" s="175">
        <f t="shared" si="6"/>
        <v>394852</v>
      </c>
      <c r="H89" s="175">
        <f t="shared" si="6"/>
        <v>412291</v>
      </c>
      <c r="I89" s="175">
        <f t="shared" si="6"/>
        <v>423100</v>
      </c>
      <c r="J89" s="175">
        <f t="shared" si="6"/>
        <v>432109</v>
      </c>
      <c r="K89" s="175">
        <f t="shared" si="6"/>
        <v>445986</v>
      </c>
      <c r="L89" s="175">
        <f t="shared" si="6"/>
        <v>458471</v>
      </c>
      <c r="M89" s="175">
        <f t="shared" si="6"/>
        <v>419429</v>
      </c>
      <c r="N89" s="175">
        <f t="shared" si="6"/>
        <v>427135</v>
      </c>
      <c r="O89" s="213">
        <v>441764</v>
      </c>
      <c r="P89" s="213">
        <f>SUM(P83:P88)</f>
        <v>447523.34591099998</v>
      </c>
      <c r="Q89" s="213">
        <f>SUM(Q83:Q88)</f>
        <v>458964.50854899996</v>
      </c>
      <c r="R89" s="213">
        <v>470883.71301499999</v>
      </c>
      <c r="S89" s="213">
        <v>480620.27570399997</v>
      </c>
      <c r="T89" s="213">
        <v>434560.75046999997</v>
      </c>
      <c r="U89" s="221"/>
      <c r="V89" s="170" t="s">
        <v>84</v>
      </c>
      <c r="W89" s="817">
        <v>437588.93234300002</v>
      </c>
    </row>
    <row r="90" spans="2:23">
      <c r="B90" s="173" t="s">
        <v>577</v>
      </c>
      <c r="C90" s="174">
        <f t="shared" ref="C90:N90" si="7">+C80+C89</f>
        <v>1125038</v>
      </c>
      <c r="D90" s="174">
        <f t="shared" si="7"/>
        <v>1166220</v>
      </c>
      <c r="E90" s="174">
        <f t="shared" si="7"/>
        <v>1171726</v>
      </c>
      <c r="F90" s="174">
        <f t="shared" si="7"/>
        <v>1175320</v>
      </c>
      <c r="G90" s="174">
        <f t="shared" si="7"/>
        <v>1197887</v>
      </c>
      <c r="H90" s="174">
        <f t="shared" si="7"/>
        <v>1201511</v>
      </c>
      <c r="I90" s="174">
        <f t="shared" si="7"/>
        <v>1224442</v>
      </c>
      <c r="J90" s="174">
        <f t="shared" si="7"/>
        <v>1372007</v>
      </c>
      <c r="K90" s="174">
        <f t="shared" si="7"/>
        <v>1400756</v>
      </c>
      <c r="L90" s="174">
        <f t="shared" si="7"/>
        <v>1398769</v>
      </c>
      <c r="M90" s="174">
        <f t="shared" si="7"/>
        <v>1370166</v>
      </c>
      <c r="N90" s="174">
        <f t="shared" si="7"/>
        <v>1376322</v>
      </c>
      <c r="O90" s="212">
        <v>1407778</v>
      </c>
      <c r="P90" s="212">
        <f>+P89+P80</f>
        <v>1420036.4479439999</v>
      </c>
      <c r="Q90" s="212">
        <f>+Q89+Q80</f>
        <v>1440577.181328</v>
      </c>
      <c r="R90" s="212">
        <v>1451996.1178830001</v>
      </c>
      <c r="S90" s="212">
        <v>1476732.749669</v>
      </c>
      <c r="T90" s="212">
        <v>1420661.1487400001</v>
      </c>
      <c r="V90" s="173" t="s">
        <v>85</v>
      </c>
      <c r="W90" s="815">
        <v>1448350.997734</v>
      </c>
    </row>
    <row r="91" spans="2:23" ht="15.75">
      <c r="B91" s="184"/>
      <c r="C91" s="185"/>
      <c r="D91" s="185"/>
      <c r="E91" s="185"/>
      <c r="F91" s="185"/>
      <c r="G91" s="185"/>
      <c r="H91" s="184"/>
      <c r="I91" s="184"/>
      <c r="J91" s="184"/>
      <c r="K91" s="184"/>
      <c r="L91" s="184"/>
      <c r="M91" s="142"/>
      <c r="N91" s="142"/>
      <c r="O91" s="302"/>
      <c r="P91" s="135"/>
      <c r="Q91" s="135"/>
      <c r="R91" s="135"/>
      <c r="T91" s="744">
        <v>0</v>
      </c>
    </row>
    <row r="92" spans="2:23" ht="15.75">
      <c r="O92" s="302"/>
      <c r="P92" s="135"/>
      <c r="Q92" s="135"/>
      <c r="R92" s="135"/>
      <c r="T92" s="744"/>
    </row>
    <row r="93" spans="2:23" ht="15.75">
      <c r="B93" s="165" t="s">
        <v>477</v>
      </c>
      <c r="C93" s="75"/>
      <c r="D93" s="75"/>
      <c r="E93" s="76"/>
      <c r="F93" s="75"/>
      <c r="G93" s="75"/>
      <c r="H93" s="75"/>
      <c r="I93" s="76"/>
      <c r="J93" s="75"/>
      <c r="K93" s="75"/>
      <c r="L93" s="75"/>
      <c r="M93" s="76"/>
      <c r="N93" s="75"/>
      <c r="O93" s="75"/>
      <c r="P93" s="135"/>
      <c r="Q93" s="135"/>
      <c r="R93" s="135"/>
      <c r="T93" s="744"/>
    </row>
    <row r="94" spans="2:23" ht="15.75">
      <c r="B94" s="99" t="s">
        <v>515</v>
      </c>
      <c r="C94" s="5"/>
      <c r="D94" s="5"/>
      <c r="E94" s="5"/>
      <c r="F94" s="5"/>
      <c r="G94" s="5"/>
      <c r="H94" s="5"/>
      <c r="I94" s="5"/>
      <c r="J94" s="5"/>
      <c r="K94" s="5"/>
      <c r="L94" s="5"/>
      <c r="M94" s="5"/>
      <c r="N94" s="5"/>
      <c r="O94" s="302"/>
      <c r="P94" s="135"/>
      <c r="Q94" s="135"/>
      <c r="R94" s="135"/>
      <c r="T94" s="744"/>
    </row>
    <row r="95" spans="2:23" ht="6" customHeight="1">
      <c r="B95" s="77"/>
      <c r="C95" s="77"/>
      <c r="D95" s="77"/>
      <c r="E95" s="77"/>
      <c r="F95" s="77"/>
      <c r="G95" s="77"/>
      <c r="H95" s="77"/>
      <c r="I95" s="77"/>
      <c r="J95" s="77"/>
      <c r="K95" s="77"/>
      <c r="L95" s="77"/>
      <c r="M95" s="77"/>
      <c r="N95" s="77"/>
      <c r="O95" s="77"/>
      <c r="P95" s="135"/>
      <c r="Q95" s="135"/>
      <c r="R95" s="135"/>
      <c r="T95" s="744"/>
    </row>
    <row r="96" spans="2:23">
      <c r="B96" s="78"/>
      <c r="C96" s="79">
        <v>2016</v>
      </c>
      <c r="D96" s="79">
        <v>2017</v>
      </c>
      <c r="E96" s="79" t="s">
        <v>578</v>
      </c>
      <c r="F96" s="79" t="s">
        <v>579</v>
      </c>
      <c r="G96" s="79" t="s">
        <v>580</v>
      </c>
      <c r="H96" s="79" t="s">
        <v>581</v>
      </c>
      <c r="I96" s="79" t="s">
        <v>582</v>
      </c>
      <c r="J96" s="79" t="s">
        <v>583</v>
      </c>
      <c r="K96" s="79" t="s">
        <v>584</v>
      </c>
      <c r="L96" s="79" t="s">
        <v>585</v>
      </c>
      <c r="M96" s="79" t="s">
        <v>11</v>
      </c>
      <c r="N96" s="79" t="s">
        <v>12</v>
      </c>
      <c r="O96" s="208" t="s">
        <v>626</v>
      </c>
      <c r="P96" s="387" t="s">
        <v>958</v>
      </c>
      <c r="Q96" s="387" t="s">
        <v>1014</v>
      </c>
      <c r="R96" s="387" t="s">
        <v>1048</v>
      </c>
      <c r="S96" s="387" t="s">
        <v>1187</v>
      </c>
      <c r="T96" s="754" t="s">
        <v>1239</v>
      </c>
      <c r="V96" s="78"/>
      <c r="W96" s="754" t="s">
        <v>1292</v>
      </c>
    </row>
    <row r="97" spans="2:23" ht="6.95" customHeight="1">
      <c r="B97" s="128"/>
      <c r="C97" s="81"/>
      <c r="D97" s="81"/>
      <c r="E97" s="81"/>
      <c r="F97" s="81"/>
      <c r="G97" s="81"/>
      <c r="H97" s="81"/>
      <c r="I97" s="81"/>
      <c r="J97" s="81"/>
      <c r="K97" s="81"/>
      <c r="L97" s="81"/>
      <c r="M97" s="81"/>
      <c r="N97" s="81"/>
      <c r="O97" s="77"/>
      <c r="P97" s="135"/>
      <c r="Q97" s="135"/>
      <c r="R97" s="135"/>
      <c r="T97" s="744"/>
    </row>
    <row r="98" spans="2:23" ht="15.75">
      <c r="B98" s="129" t="s">
        <v>516</v>
      </c>
      <c r="C98" s="13">
        <v>3404</v>
      </c>
      <c r="D98" s="13">
        <v>1850</v>
      </c>
      <c r="E98" s="13">
        <v>582</v>
      </c>
      <c r="F98" s="13">
        <v>152</v>
      </c>
      <c r="G98" s="13">
        <v>669</v>
      </c>
      <c r="H98" s="13">
        <v>394</v>
      </c>
      <c r="I98" s="13">
        <v>2114</v>
      </c>
      <c r="J98" s="13">
        <v>2166</v>
      </c>
      <c r="K98" s="13">
        <v>263</v>
      </c>
      <c r="L98" s="13">
        <v>2065</v>
      </c>
      <c r="M98" s="13">
        <v>-65</v>
      </c>
      <c r="N98" s="13">
        <v>151</v>
      </c>
      <c r="O98" s="285">
        <v>549</v>
      </c>
      <c r="P98" s="285">
        <v>3092.7752770000002</v>
      </c>
      <c r="Q98" s="285">
        <v>-1482.9165980999999</v>
      </c>
      <c r="R98" s="285">
        <v>2514.9165980999996</v>
      </c>
      <c r="S98" s="285">
        <v>1024</v>
      </c>
      <c r="T98" s="285">
        <v>2258.5704969999997</v>
      </c>
      <c r="V98" s="129" t="s">
        <v>13</v>
      </c>
      <c r="W98" s="285">
        <v>3575.812312</v>
      </c>
    </row>
    <row r="99" spans="2:23" ht="15.75">
      <c r="B99" s="129" t="s">
        <v>517</v>
      </c>
      <c r="C99" s="13">
        <v>3013</v>
      </c>
      <c r="D99" s="13">
        <v>1637</v>
      </c>
      <c r="E99" s="13">
        <v>515</v>
      </c>
      <c r="F99" s="13">
        <v>135</v>
      </c>
      <c r="G99" s="13">
        <v>592</v>
      </c>
      <c r="H99" s="13">
        <v>349</v>
      </c>
      <c r="I99" s="13">
        <v>1870</v>
      </c>
      <c r="J99" s="13">
        <v>1918</v>
      </c>
      <c r="K99" s="13">
        <v>232</v>
      </c>
      <c r="L99" s="13">
        <v>1828</v>
      </c>
      <c r="M99" s="13">
        <v>-56</v>
      </c>
      <c r="N99" s="13">
        <v>131</v>
      </c>
      <c r="O99" s="285">
        <v>477</v>
      </c>
      <c r="P99" s="285">
        <v>2689.3698060000002</v>
      </c>
      <c r="Q99" s="285">
        <v>1289.492694</v>
      </c>
      <c r="R99" s="285">
        <v>-392.49269400000003</v>
      </c>
      <c r="S99" s="285">
        <v>891</v>
      </c>
      <c r="T99" s="285">
        <v>1963.800432</v>
      </c>
      <c r="V99" s="129" t="s">
        <v>14</v>
      </c>
      <c r="W99" s="285">
        <v>3109.4020110000001</v>
      </c>
    </row>
    <row r="100" spans="2:23" ht="15.75">
      <c r="B100" s="132" t="s">
        <v>518</v>
      </c>
      <c r="C100" s="15">
        <f t="shared" ref="C100:M100" si="8">+C98-C99</f>
        <v>391</v>
      </c>
      <c r="D100" s="15">
        <f t="shared" si="8"/>
        <v>213</v>
      </c>
      <c r="E100" s="15">
        <f t="shared" si="8"/>
        <v>67</v>
      </c>
      <c r="F100" s="15">
        <f t="shared" si="8"/>
        <v>17</v>
      </c>
      <c r="G100" s="15">
        <f t="shared" si="8"/>
        <v>77</v>
      </c>
      <c r="H100" s="15">
        <f t="shared" si="8"/>
        <v>45</v>
      </c>
      <c r="I100" s="15">
        <f t="shared" si="8"/>
        <v>244</v>
      </c>
      <c r="J100" s="15">
        <f t="shared" si="8"/>
        <v>248</v>
      </c>
      <c r="K100" s="15">
        <f t="shared" si="8"/>
        <v>31</v>
      </c>
      <c r="L100" s="15">
        <f t="shared" si="8"/>
        <v>237</v>
      </c>
      <c r="M100" s="15">
        <f t="shared" si="8"/>
        <v>-9</v>
      </c>
      <c r="N100" s="15">
        <v>20</v>
      </c>
      <c r="O100" s="301">
        <v>72</v>
      </c>
      <c r="P100" s="301">
        <v>403.40547100000003</v>
      </c>
      <c r="Q100" s="301">
        <f>+Q98+Q99</f>
        <v>-193.42390409999985</v>
      </c>
      <c r="R100" s="301">
        <v>2122.4239040999996</v>
      </c>
      <c r="S100" s="301">
        <v>133</v>
      </c>
      <c r="T100" s="301">
        <v>294.7700649999997</v>
      </c>
      <c r="V100" s="132" t="s">
        <v>1293</v>
      </c>
      <c r="W100" s="301">
        <v>466.41030099999989</v>
      </c>
    </row>
    <row r="101" spans="2:23" ht="15.75">
      <c r="B101" s="129"/>
      <c r="C101" s="13"/>
      <c r="D101" s="13"/>
      <c r="E101" s="13"/>
      <c r="F101" s="13"/>
      <c r="G101" s="13"/>
      <c r="H101" s="13"/>
      <c r="I101" s="13"/>
      <c r="J101" s="13"/>
      <c r="K101" s="13"/>
      <c r="L101" s="13"/>
      <c r="M101" s="13"/>
      <c r="N101" s="13"/>
      <c r="O101" s="285"/>
      <c r="P101" s="285"/>
      <c r="Q101" s="285"/>
      <c r="R101" s="285"/>
      <c r="S101" s="285">
        <v>0</v>
      </c>
      <c r="T101" s="285">
        <v>0</v>
      </c>
      <c r="V101" s="744"/>
      <c r="W101" s="285"/>
    </row>
    <row r="102" spans="2:23" ht="15.75">
      <c r="B102" s="129" t="s">
        <v>519</v>
      </c>
      <c r="C102" s="13">
        <v>9856</v>
      </c>
      <c r="D102" s="13">
        <v>10456</v>
      </c>
      <c r="E102" s="13">
        <v>3151</v>
      </c>
      <c r="F102" s="13">
        <v>2372</v>
      </c>
      <c r="G102" s="13">
        <v>1962</v>
      </c>
      <c r="H102" s="13">
        <v>2944</v>
      </c>
      <c r="I102" s="13">
        <v>3391</v>
      </c>
      <c r="J102" s="13">
        <v>3214</v>
      </c>
      <c r="K102" s="13">
        <v>2034</v>
      </c>
      <c r="L102" s="13">
        <v>2200</v>
      </c>
      <c r="M102" s="13">
        <v>3403</v>
      </c>
      <c r="N102" s="13">
        <v>3646</v>
      </c>
      <c r="O102" s="285">
        <v>2234</v>
      </c>
      <c r="P102" s="285">
        <v>2771.4469170000002</v>
      </c>
      <c r="Q102" s="285">
        <v>3631.6147111</v>
      </c>
      <c r="R102" s="285">
        <v>3607.3852889</v>
      </c>
      <c r="S102" s="285">
        <v>3039</v>
      </c>
      <c r="T102" s="285">
        <v>3764.1872879999992</v>
      </c>
      <c r="V102" s="129" t="s">
        <v>475</v>
      </c>
      <c r="W102" s="285">
        <v>2988.0338710000001</v>
      </c>
    </row>
    <row r="103" spans="2:23" ht="15.75">
      <c r="B103" s="129" t="s">
        <v>520</v>
      </c>
      <c r="C103" s="13">
        <v>19971</v>
      </c>
      <c r="D103" s="13">
        <v>18953</v>
      </c>
      <c r="E103" s="13">
        <v>4356</v>
      </c>
      <c r="F103" s="13">
        <v>3903</v>
      </c>
      <c r="G103" s="13">
        <v>3848</v>
      </c>
      <c r="H103" s="13">
        <v>3723</v>
      </c>
      <c r="I103" s="13">
        <v>3760</v>
      </c>
      <c r="J103" s="13">
        <v>3693</v>
      </c>
      <c r="K103" s="13">
        <v>3555</v>
      </c>
      <c r="L103" s="13">
        <v>3410</v>
      </c>
      <c r="M103" s="13">
        <v>3296</v>
      </c>
      <c r="N103" s="13">
        <v>2741</v>
      </c>
      <c r="O103" s="285">
        <v>2019</v>
      </c>
      <c r="P103" s="285">
        <v>2397.4204569999997</v>
      </c>
      <c r="Q103" s="285">
        <v>2281.2303179999999</v>
      </c>
      <c r="R103" s="285">
        <v>2761.7696820000001</v>
      </c>
      <c r="S103" s="285">
        <v>2819</v>
      </c>
      <c r="T103" s="285">
        <v>4438.8197839999993</v>
      </c>
      <c r="V103" s="129" t="s">
        <v>476</v>
      </c>
      <c r="W103" s="285">
        <v>2514.1301749999998</v>
      </c>
    </row>
    <row r="104" spans="2:23" ht="15.75">
      <c r="B104" s="129" t="s">
        <v>521</v>
      </c>
      <c r="C104" s="13">
        <v>0</v>
      </c>
      <c r="D104" s="13">
        <v>0</v>
      </c>
      <c r="E104" s="13">
        <v>0</v>
      </c>
      <c r="F104" s="13">
        <v>0</v>
      </c>
      <c r="G104" s="13">
        <v>0</v>
      </c>
      <c r="H104" s="13">
        <v>0</v>
      </c>
      <c r="I104" s="13">
        <v>0</v>
      </c>
      <c r="J104" s="13">
        <v>0</v>
      </c>
      <c r="K104" s="13">
        <v>0</v>
      </c>
      <c r="L104" s="13">
        <v>0</v>
      </c>
      <c r="M104" s="13">
        <v>0</v>
      </c>
      <c r="N104" s="13">
        <v>0</v>
      </c>
      <c r="O104" s="285">
        <v>0</v>
      </c>
      <c r="P104" s="285">
        <v>0</v>
      </c>
      <c r="Q104" s="285">
        <v>0</v>
      </c>
      <c r="R104" s="285">
        <v>0</v>
      </c>
      <c r="S104" s="285">
        <v>0</v>
      </c>
      <c r="T104" s="285">
        <v>0</v>
      </c>
      <c r="V104" s="129" t="s">
        <v>22</v>
      </c>
      <c r="W104" s="285">
        <v>0</v>
      </c>
    </row>
    <row r="105" spans="2:23" ht="15.75">
      <c r="B105" s="129" t="s">
        <v>522</v>
      </c>
      <c r="C105" s="13">
        <v>9297</v>
      </c>
      <c r="D105" s="13">
        <v>9868</v>
      </c>
      <c r="E105" s="13">
        <v>2976</v>
      </c>
      <c r="F105" s="13">
        <v>2236</v>
      </c>
      <c r="G105" s="13">
        <v>1852</v>
      </c>
      <c r="H105" s="13">
        <v>2778</v>
      </c>
      <c r="I105" s="13">
        <v>3200</v>
      </c>
      <c r="J105" s="13">
        <v>3030</v>
      </c>
      <c r="K105" s="13">
        <v>1920</v>
      </c>
      <c r="L105" s="13">
        <v>2076</v>
      </c>
      <c r="M105" s="13">
        <v>3151</v>
      </c>
      <c r="N105" s="13">
        <v>3376</v>
      </c>
      <c r="O105" s="285">
        <v>2068</v>
      </c>
      <c r="P105" s="285">
        <v>2566.154552</v>
      </c>
      <c r="Q105" s="285">
        <v>3362.6062139999999</v>
      </c>
      <c r="R105" s="285">
        <v>5134.3937860000005</v>
      </c>
      <c r="S105" s="285">
        <v>1019</v>
      </c>
      <c r="T105" s="285">
        <v>3486.0252670000009</v>
      </c>
      <c r="V105" s="129" t="s">
        <v>23</v>
      </c>
      <c r="W105" s="285">
        <v>2766.6980279999998</v>
      </c>
    </row>
    <row r="106" spans="2:23" ht="15.75">
      <c r="B106" s="132" t="s">
        <v>523</v>
      </c>
      <c r="C106" s="15">
        <f t="shared" ref="C106:M106" si="9">+SUM(C102:C104)-C105</f>
        <v>20530</v>
      </c>
      <c r="D106" s="15">
        <f t="shared" si="9"/>
        <v>19541</v>
      </c>
      <c r="E106" s="15">
        <f t="shared" si="9"/>
        <v>4531</v>
      </c>
      <c r="F106" s="15">
        <f t="shared" si="9"/>
        <v>4039</v>
      </c>
      <c r="G106" s="15">
        <f t="shared" si="9"/>
        <v>3958</v>
      </c>
      <c r="H106" s="15">
        <f t="shared" si="9"/>
        <v>3889</v>
      </c>
      <c r="I106" s="15">
        <f t="shared" si="9"/>
        <v>3951</v>
      </c>
      <c r="J106" s="15">
        <f t="shared" si="9"/>
        <v>3877</v>
      </c>
      <c r="K106" s="15">
        <f t="shared" si="9"/>
        <v>3669</v>
      </c>
      <c r="L106" s="15">
        <f t="shared" si="9"/>
        <v>3534</v>
      </c>
      <c r="M106" s="15">
        <f t="shared" si="9"/>
        <v>3548</v>
      </c>
      <c r="N106" s="15">
        <v>3011</v>
      </c>
      <c r="O106" s="301">
        <v>2185</v>
      </c>
      <c r="P106" s="301">
        <v>2602.7128219999995</v>
      </c>
      <c r="Q106" s="301">
        <f>+Q102+Q103+Q104-Q105</f>
        <v>2550.2388151</v>
      </c>
      <c r="R106" s="301">
        <v>1234.7611848999995</v>
      </c>
      <c r="S106" s="301">
        <v>4839</v>
      </c>
      <c r="T106" s="301">
        <v>4716.9818049999976</v>
      </c>
      <c r="V106" s="129" t="s">
        <v>26</v>
      </c>
      <c r="W106" s="285">
        <v>31.159631999999998</v>
      </c>
    </row>
    <row r="107" spans="2:23" ht="15.75">
      <c r="B107" s="130" t="s">
        <v>524</v>
      </c>
      <c r="C107" s="17">
        <f t="shared" ref="C107:M107" si="10">+C106+C100</f>
        <v>20921</v>
      </c>
      <c r="D107" s="17">
        <f t="shared" si="10"/>
        <v>19754</v>
      </c>
      <c r="E107" s="17">
        <f t="shared" si="10"/>
        <v>4598</v>
      </c>
      <c r="F107" s="17">
        <f t="shared" si="10"/>
        <v>4056</v>
      </c>
      <c r="G107" s="17">
        <f t="shared" si="10"/>
        <v>4035</v>
      </c>
      <c r="H107" s="17">
        <f t="shared" si="10"/>
        <v>3934</v>
      </c>
      <c r="I107" s="17">
        <f t="shared" si="10"/>
        <v>4195</v>
      </c>
      <c r="J107" s="17">
        <f t="shared" si="10"/>
        <v>4125</v>
      </c>
      <c r="K107" s="17">
        <f t="shared" si="10"/>
        <v>3700</v>
      </c>
      <c r="L107" s="17">
        <f t="shared" si="10"/>
        <v>3771</v>
      </c>
      <c r="M107" s="17">
        <f t="shared" si="10"/>
        <v>3539</v>
      </c>
      <c r="N107" s="17">
        <v>3031</v>
      </c>
      <c r="O107" s="286">
        <v>2257</v>
      </c>
      <c r="P107" s="286">
        <v>3006.1182929999995</v>
      </c>
      <c r="Q107" s="286">
        <f>+Q100+Q106</f>
        <v>2356.8149110000004</v>
      </c>
      <c r="R107" s="286">
        <v>3357.1850889999992</v>
      </c>
      <c r="S107" s="286">
        <v>4972</v>
      </c>
      <c r="T107" s="286">
        <v>5011.7518699999973</v>
      </c>
      <c r="V107" s="130" t="s">
        <v>677</v>
      </c>
      <c r="W107" s="286">
        <v>3170.7166870000001</v>
      </c>
    </row>
    <row r="108" spans="2:23" ht="15.75">
      <c r="B108" s="10"/>
      <c r="C108" s="131"/>
      <c r="D108" s="131"/>
      <c r="E108" s="131"/>
      <c r="F108" s="166"/>
      <c r="G108" s="131"/>
      <c r="H108" s="131"/>
      <c r="I108" s="131"/>
      <c r="J108" s="131"/>
      <c r="K108" s="131"/>
      <c r="L108" s="131"/>
      <c r="M108" s="131"/>
      <c r="N108" s="131"/>
      <c r="O108" s="9"/>
      <c r="P108" s="9"/>
      <c r="Q108" s="9"/>
      <c r="R108" s="9"/>
      <c r="S108" s="9"/>
      <c r="T108" s="745"/>
      <c r="V108" s="744"/>
      <c r="W108" s="745"/>
    </row>
    <row r="109" spans="2:23" ht="15.75">
      <c r="B109" s="129" t="s">
        <v>525</v>
      </c>
      <c r="C109" s="13">
        <f>12366-C105-C99</f>
        <v>56</v>
      </c>
      <c r="D109" s="13">
        <f>11577-D105-D99</f>
        <v>72</v>
      </c>
      <c r="E109" s="13">
        <f>3518-E105-E99</f>
        <v>27</v>
      </c>
      <c r="F109" s="13">
        <f>+F107-4041</f>
        <v>15</v>
      </c>
      <c r="G109" s="13">
        <f>+G107-(12627-F112-E112)+G111</f>
        <v>21</v>
      </c>
      <c r="H109" s="13">
        <f>+H107-3917+H111</f>
        <v>21</v>
      </c>
      <c r="I109" s="13">
        <f>5092-I105-I99-1</f>
        <v>21</v>
      </c>
      <c r="J109" s="13">
        <f>J107-4102+J111</f>
        <v>30</v>
      </c>
      <c r="K109" s="13">
        <f>K107-3671+K111+1</f>
        <v>33</v>
      </c>
      <c r="L109" s="13">
        <f>L107-(15696-K112-J112-I112)+L111</f>
        <v>33</v>
      </c>
      <c r="M109" s="13">
        <f>3129-M105-M99-1</f>
        <v>33</v>
      </c>
      <c r="N109" s="13">
        <v>35</v>
      </c>
      <c r="O109" s="285">
        <v>34</v>
      </c>
      <c r="P109" s="285">
        <v>35.991820000000004</v>
      </c>
      <c r="Q109" s="285">
        <v>33.367283</v>
      </c>
      <c r="R109" s="285">
        <v>33.632717</v>
      </c>
      <c r="S109" s="285">
        <v>30</v>
      </c>
      <c r="T109" s="285">
        <v>29.471971999999994</v>
      </c>
      <c r="V109" s="744"/>
      <c r="W109" s="285"/>
    </row>
    <row r="110" spans="2:23" ht="15.75">
      <c r="B110" s="129" t="s">
        <v>526</v>
      </c>
      <c r="C110" s="13">
        <v>0</v>
      </c>
      <c r="D110" s="13">
        <v>0</v>
      </c>
      <c r="E110" s="13">
        <v>0</v>
      </c>
      <c r="F110" s="13">
        <v>0</v>
      </c>
      <c r="G110" s="13">
        <v>0</v>
      </c>
      <c r="H110" s="13">
        <v>0</v>
      </c>
      <c r="I110" s="13">
        <v>0</v>
      </c>
      <c r="J110" s="13">
        <v>0</v>
      </c>
      <c r="K110" s="13">
        <v>0</v>
      </c>
      <c r="L110" s="13">
        <v>0</v>
      </c>
      <c r="M110" s="13">
        <v>0</v>
      </c>
      <c r="N110" s="13">
        <v>0</v>
      </c>
      <c r="O110" s="285">
        <v>0</v>
      </c>
      <c r="P110" s="285"/>
      <c r="Q110" s="285"/>
      <c r="R110" s="285">
        <v>0</v>
      </c>
      <c r="S110" s="285">
        <v>0</v>
      </c>
      <c r="T110" s="285">
        <v>0</v>
      </c>
      <c r="V110" s="129" t="s">
        <v>27</v>
      </c>
      <c r="W110" s="285">
        <v>0</v>
      </c>
    </row>
    <row r="111" spans="2:23" ht="15.75">
      <c r="B111" s="129" t="s">
        <v>527</v>
      </c>
      <c r="C111" s="13">
        <v>-229</v>
      </c>
      <c r="D111" s="13">
        <v>45</v>
      </c>
      <c r="E111" s="13">
        <v>0</v>
      </c>
      <c r="F111" s="13">
        <v>0</v>
      </c>
      <c r="G111" s="13">
        <v>1</v>
      </c>
      <c r="H111" s="13">
        <v>4</v>
      </c>
      <c r="I111" s="13">
        <v>13</v>
      </c>
      <c r="J111" s="13">
        <v>7</v>
      </c>
      <c r="K111" s="13">
        <v>3</v>
      </c>
      <c r="L111" s="13">
        <v>-1</v>
      </c>
      <c r="M111" s="13">
        <v>2</v>
      </c>
      <c r="N111" s="13">
        <v>-117</v>
      </c>
      <c r="O111" s="285">
        <v>97</v>
      </c>
      <c r="P111" s="285">
        <v>-11.393132000000005</v>
      </c>
      <c r="Q111" s="285">
        <v>5.1912770000000004</v>
      </c>
      <c r="R111" s="285">
        <v>-2.1912770000000004</v>
      </c>
      <c r="S111" s="285">
        <v>-3</v>
      </c>
      <c r="T111" s="285">
        <v>1.583027</v>
      </c>
      <c r="V111" s="129" t="s">
        <v>28</v>
      </c>
      <c r="W111" s="285">
        <v>-21.190287999999999</v>
      </c>
    </row>
    <row r="112" spans="2:23" ht="15.75">
      <c r="B112" s="130" t="s">
        <v>528</v>
      </c>
      <c r="C112" s="18">
        <f t="shared" ref="C112:M112" si="11">+C107-C109+C110+C111</f>
        <v>20636</v>
      </c>
      <c r="D112" s="18">
        <f t="shared" si="11"/>
        <v>19727</v>
      </c>
      <c r="E112" s="18">
        <f t="shared" si="11"/>
        <v>4571</v>
      </c>
      <c r="F112" s="18">
        <f t="shared" si="11"/>
        <v>4041</v>
      </c>
      <c r="G112" s="18">
        <f t="shared" si="11"/>
        <v>4015</v>
      </c>
      <c r="H112" s="18">
        <f t="shared" si="11"/>
        <v>3917</v>
      </c>
      <c r="I112" s="18">
        <f t="shared" si="11"/>
        <v>4187</v>
      </c>
      <c r="J112" s="18">
        <f t="shared" si="11"/>
        <v>4102</v>
      </c>
      <c r="K112" s="18">
        <f t="shared" si="11"/>
        <v>3670</v>
      </c>
      <c r="L112" s="18">
        <f t="shared" si="11"/>
        <v>3737</v>
      </c>
      <c r="M112" s="18">
        <f t="shared" si="11"/>
        <v>3508</v>
      </c>
      <c r="N112" s="18">
        <v>2879</v>
      </c>
      <c r="O112" s="287">
        <v>2320</v>
      </c>
      <c r="P112" s="287">
        <v>2958.7333409999992</v>
      </c>
      <c r="Q112" s="287">
        <f>+Q107-Q109+Q111</f>
        <v>2328.6389050000002</v>
      </c>
      <c r="R112" s="287">
        <v>3321.3610949999993</v>
      </c>
      <c r="S112" s="287">
        <v>4939</v>
      </c>
      <c r="T112" s="287">
        <v>4983.8629249999967</v>
      </c>
      <c r="V112" s="130" t="s">
        <v>29</v>
      </c>
      <c r="W112" s="287">
        <v>3149.5263990000003</v>
      </c>
    </row>
    <row r="113" spans="2:23" ht="15.75">
      <c r="B113" s="129"/>
      <c r="C113" s="13"/>
      <c r="D113" s="13"/>
      <c r="E113" s="13"/>
      <c r="F113" s="13"/>
      <c r="G113" s="13"/>
      <c r="H113" s="13"/>
      <c r="I113" s="13"/>
      <c r="J113" s="13"/>
      <c r="K113" s="13"/>
      <c r="L113" s="13"/>
      <c r="M113" s="13"/>
      <c r="N113" s="13"/>
      <c r="O113" s="285"/>
      <c r="P113" s="285"/>
      <c r="Q113" s="285"/>
      <c r="R113" s="285"/>
      <c r="S113" s="285">
        <v>0</v>
      </c>
      <c r="T113" s="285"/>
      <c r="V113" s="129"/>
      <c r="W113" s="285"/>
    </row>
    <row r="114" spans="2:23" ht="15.75">
      <c r="B114" s="129" t="s">
        <v>529</v>
      </c>
      <c r="C114" s="13">
        <v>-13312</v>
      </c>
      <c r="D114" s="13">
        <v>-12664</v>
      </c>
      <c r="E114" s="13">
        <v>-2781</v>
      </c>
      <c r="F114" s="13">
        <v>-2679</v>
      </c>
      <c r="G114" s="13">
        <v>-2561</v>
      </c>
      <c r="H114" s="13">
        <v>-2311</v>
      </c>
      <c r="I114" s="13">
        <f>2120-I112</f>
        <v>-2067</v>
      </c>
      <c r="J114" s="13">
        <v>-2087</v>
      </c>
      <c r="K114" s="13">
        <v>-1681</v>
      </c>
      <c r="L114" s="13">
        <f>-7866-K114-J114-I114</f>
        <v>-2031</v>
      </c>
      <c r="M114" s="13">
        <v>-2012</v>
      </c>
      <c r="N114" s="13">
        <v>-1682</v>
      </c>
      <c r="O114" s="285">
        <v>-1510</v>
      </c>
      <c r="P114" s="285">
        <v>-1881.9900979999993</v>
      </c>
      <c r="Q114" s="285">
        <f>749.064905-Q103</f>
        <v>-1532.1654129999999</v>
      </c>
      <c r="R114" s="285">
        <v>-1408.8345870000001</v>
      </c>
      <c r="S114" s="285">
        <v>-1631</v>
      </c>
      <c r="T114" s="285">
        <v>-2384.8872499999998</v>
      </c>
      <c r="V114" s="129" t="s">
        <v>30</v>
      </c>
      <c r="W114" s="285">
        <v>-1833.2984979999997</v>
      </c>
    </row>
    <row r="115" spans="2:23" ht="15.75">
      <c r="B115" s="130" t="s">
        <v>530</v>
      </c>
      <c r="C115" s="18">
        <f t="shared" ref="C115:M115" si="12">+C112+C114</f>
        <v>7324</v>
      </c>
      <c r="D115" s="18">
        <f t="shared" si="12"/>
        <v>7063</v>
      </c>
      <c r="E115" s="18">
        <f t="shared" si="12"/>
        <v>1790</v>
      </c>
      <c r="F115" s="18">
        <f t="shared" si="12"/>
        <v>1362</v>
      </c>
      <c r="G115" s="18">
        <f t="shared" si="12"/>
        <v>1454</v>
      </c>
      <c r="H115" s="18">
        <f t="shared" si="12"/>
        <v>1606</v>
      </c>
      <c r="I115" s="18">
        <f t="shared" si="12"/>
        <v>2120</v>
      </c>
      <c r="J115" s="18">
        <f t="shared" si="12"/>
        <v>2015</v>
      </c>
      <c r="K115" s="18">
        <f t="shared" si="12"/>
        <v>1989</v>
      </c>
      <c r="L115" s="18">
        <f t="shared" si="12"/>
        <v>1706</v>
      </c>
      <c r="M115" s="18">
        <f t="shared" si="12"/>
        <v>1496</v>
      </c>
      <c r="N115" s="18">
        <v>1197</v>
      </c>
      <c r="O115" s="287">
        <v>810</v>
      </c>
      <c r="P115" s="287">
        <v>1076.7432429999999</v>
      </c>
      <c r="Q115" s="287">
        <f>+Q112+Q114</f>
        <v>796.47349200000031</v>
      </c>
      <c r="R115" s="287">
        <v>1912.5265079999992</v>
      </c>
      <c r="S115" s="287">
        <v>3308</v>
      </c>
      <c r="T115" s="287">
        <v>2598.975674999997</v>
      </c>
      <c r="V115" s="130" t="s">
        <v>31</v>
      </c>
      <c r="W115" s="287">
        <v>1316.2279010000007</v>
      </c>
    </row>
    <row r="116" spans="2:23" ht="15.75">
      <c r="B116" s="10"/>
      <c r="C116" s="131"/>
      <c r="D116" s="131"/>
      <c r="E116" s="131"/>
      <c r="F116" s="131"/>
      <c r="G116" s="131"/>
      <c r="H116" s="131"/>
      <c r="I116" s="131"/>
      <c r="J116" s="131"/>
      <c r="K116" s="131"/>
      <c r="L116" s="131"/>
      <c r="M116" s="131"/>
      <c r="N116" s="131"/>
      <c r="O116" s="9"/>
      <c r="P116" s="9"/>
      <c r="Q116" s="9"/>
      <c r="R116" s="9"/>
      <c r="S116" s="9"/>
      <c r="T116" s="745"/>
      <c r="V116" s="10"/>
      <c r="W116" s="745"/>
    </row>
    <row r="117" spans="2:23" ht="15.75">
      <c r="B117" s="129" t="s">
        <v>531</v>
      </c>
      <c r="C117" s="13">
        <v>196</v>
      </c>
      <c r="D117" s="13">
        <v>588</v>
      </c>
      <c r="E117" s="13">
        <v>111</v>
      </c>
      <c r="F117" s="13">
        <v>-68</v>
      </c>
      <c r="G117" s="13">
        <v>66</v>
      </c>
      <c r="H117" s="13">
        <v>54</v>
      </c>
      <c r="I117" s="13">
        <v>572</v>
      </c>
      <c r="J117" s="13">
        <v>-197</v>
      </c>
      <c r="K117" s="13">
        <v>294</v>
      </c>
      <c r="L117" s="13">
        <v>75</v>
      </c>
      <c r="M117" s="13">
        <v>-54</v>
      </c>
      <c r="N117" s="13">
        <v>198</v>
      </c>
      <c r="O117" s="285">
        <v>154</v>
      </c>
      <c r="P117" s="285">
        <v>-203.27058799999998</v>
      </c>
      <c r="Q117" s="285">
        <v>226.07336900000001</v>
      </c>
      <c r="R117" s="285">
        <v>-112.07336900000001</v>
      </c>
      <c r="S117" s="285">
        <v>691</v>
      </c>
      <c r="T117" s="285">
        <v>-769.22453099999996</v>
      </c>
      <c r="V117" s="129" t="s">
        <v>32</v>
      </c>
      <c r="W117" s="285">
        <v>264.200399</v>
      </c>
    </row>
    <row r="118" spans="2:23" ht="15.75">
      <c r="B118" s="130" t="s">
        <v>532</v>
      </c>
      <c r="C118" s="18">
        <f t="shared" ref="C118:M118" si="13">+C115-C117</f>
        <v>7128</v>
      </c>
      <c r="D118" s="18">
        <f t="shared" si="13"/>
        <v>6475</v>
      </c>
      <c r="E118" s="18">
        <f t="shared" si="13"/>
        <v>1679</v>
      </c>
      <c r="F118" s="18">
        <f t="shared" si="13"/>
        <v>1430</v>
      </c>
      <c r="G118" s="18">
        <f t="shared" si="13"/>
        <v>1388</v>
      </c>
      <c r="H118" s="18">
        <f t="shared" si="13"/>
        <v>1552</v>
      </c>
      <c r="I118" s="18">
        <f t="shared" si="13"/>
        <v>1548</v>
      </c>
      <c r="J118" s="18">
        <f t="shared" si="13"/>
        <v>2212</v>
      </c>
      <c r="K118" s="18">
        <f t="shared" si="13"/>
        <v>1695</v>
      </c>
      <c r="L118" s="18">
        <f t="shared" si="13"/>
        <v>1631</v>
      </c>
      <c r="M118" s="18">
        <f t="shared" si="13"/>
        <v>1550</v>
      </c>
      <c r="N118" s="18">
        <v>999</v>
      </c>
      <c r="O118" s="287">
        <v>656</v>
      </c>
      <c r="P118" s="287">
        <v>1280.0138309999998</v>
      </c>
      <c r="Q118" s="287">
        <f>+Q115+Q117</f>
        <v>1022.5468610000003</v>
      </c>
      <c r="R118" s="287">
        <v>1800.4531389999993</v>
      </c>
      <c r="S118" s="287">
        <v>3999</v>
      </c>
      <c r="T118" s="287">
        <v>1829.7511439999971</v>
      </c>
      <c r="V118" s="130" t="s">
        <v>35</v>
      </c>
      <c r="W118" s="287">
        <v>1052.0275020000006</v>
      </c>
    </row>
    <row r="119" spans="2:23" ht="15.75">
      <c r="O119" s="302"/>
      <c r="P119" s="135"/>
      <c r="Q119" s="135"/>
      <c r="R119" s="135"/>
      <c r="T119" s="744"/>
      <c r="V119" s="744"/>
      <c r="W119" s="812"/>
    </row>
    <row r="120" spans="2:23" ht="15.75">
      <c r="B120" s="165" t="s">
        <v>478</v>
      </c>
      <c r="C120" s="5"/>
      <c r="D120" s="5"/>
      <c r="E120" s="5"/>
      <c r="F120" s="5"/>
      <c r="G120" s="5"/>
      <c r="H120" s="20"/>
      <c r="I120" s="20"/>
      <c r="J120" s="20"/>
      <c r="K120" s="20"/>
      <c r="L120" s="20"/>
      <c r="M120" s="20"/>
      <c r="N120" s="20"/>
      <c r="O120" s="267"/>
      <c r="P120" s="135"/>
      <c r="Q120" s="135"/>
      <c r="R120" s="135"/>
      <c r="T120" s="744"/>
      <c r="V120" s="130" t="s">
        <v>1299</v>
      </c>
      <c r="W120" s="287">
        <v>3275</v>
      </c>
    </row>
    <row r="121" spans="2:23">
      <c r="B121" s="99" t="s">
        <v>515</v>
      </c>
      <c r="C121" s="5"/>
      <c r="D121" s="5"/>
      <c r="E121" s="5"/>
      <c r="F121" s="5"/>
      <c r="G121" s="5"/>
      <c r="H121" s="22"/>
      <c r="I121" s="22"/>
      <c r="J121" s="22"/>
      <c r="K121" s="22"/>
      <c r="L121" s="22"/>
      <c r="M121" s="22"/>
      <c r="N121" s="22"/>
      <c r="O121" s="268"/>
      <c r="P121" s="135"/>
      <c r="Q121" s="135"/>
      <c r="R121" s="135"/>
      <c r="T121" s="744"/>
    </row>
    <row r="122" spans="2:23" ht="9.9499999999999993" customHeight="1">
      <c r="B122" s="23"/>
      <c r="C122" s="5"/>
      <c r="D122" s="5"/>
      <c r="E122" s="5"/>
      <c r="F122" s="5"/>
      <c r="G122" s="5"/>
      <c r="H122" s="23"/>
      <c r="I122" s="23"/>
      <c r="J122" s="23"/>
      <c r="K122" s="23"/>
      <c r="L122" s="23"/>
      <c r="M122" s="23"/>
      <c r="N122" s="23"/>
      <c r="O122" s="269"/>
      <c r="P122" s="135"/>
      <c r="Q122" s="135"/>
      <c r="R122" s="135"/>
      <c r="T122" s="744"/>
    </row>
    <row r="123" spans="2:23" s="135" customFormat="1" ht="15.75" thickBot="1">
      <c r="B123" s="78"/>
      <c r="C123" s="79">
        <v>2016</v>
      </c>
      <c r="D123" s="79">
        <v>2017</v>
      </c>
      <c r="E123" s="79" t="s">
        <v>578</v>
      </c>
      <c r="F123" s="79" t="s">
        <v>579</v>
      </c>
      <c r="G123" s="79" t="s">
        <v>580</v>
      </c>
      <c r="H123" s="79" t="s">
        <v>581</v>
      </c>
      <c r="I123" s="79" t="s">
        <v>582</v>
      </c>
      <c r="J123" s="79" t="s">
        <v>583</v>
      </c>
      <c r="K123" s="79" t="s">
        <v>584</v>
      </c>
      <c r="L123" s="79" t="s">
        <v>585</v>
      </c>
      <c r="M123" s="79" t="s">
        <v>11</v>
      </c>
      <c r="N123" s="79" t="s">
        <v>12</v>
      </c>
      <c r="O123" s="208" t="s">
        <v>626</v>
      </c>
      <c r="P123" s="387" t="s">
        <v>958</v>
      </c>
      <c r="Q123" s="387" t="s">
        <v>1014</v>
      </c>
      <c r="R123" s="387" t="s">
        <v>1048</v>
      </c>
      <c r="S123" s="387" t="s">
        <v>1187</v>
      </c>
      <c r="T123" s="754" t="s">
        <v>1239</v>
      </c>
      <c r="U123" s="744"/>
      <c r="V123" s="78"/>
      <c r="W123" s="822" t="s">
        <v>1297</v>
      </c>
    </row>
    <row r="124" spans="2:23" s="135" customFormat="1">
      <c r="B124" s="168" t="s">
        <v>533</v>
      </c>
      <c r="C124" s="169"/>
      <c r="D124" s="169"/>
      <c r="E124" s="169"/>
      <c r="F124" s="169"/>
      <c r="G124" s="169"/>
      <c r="H124" s="169"/>
      <c r="I124" s="169"/>
      <c r="J124" s="169"/>
      <c r="K124" s="169"/>
      <c r="L124" s="169"/>
      <c r="M124" s="169"/>
      <c r="N124" s="168"/>
      <c r="O124" s="209"/>
      <c r="P124" s="388"/>
      <c r="Q124" s="388"/>
      <c r="R124" s="388"/>
      <c r="S124" s="388"/>
      <c r="T124" s="747"/>
      <c r="U124" s="744"/>
      <c r="V124" s="168" t="s">
        <v>37</v>
      </c>
      <c r="W124" s="818"/>
    </row>
    <row r="125" spans="2:23" ht="15.75" thickBot="1">
      <c r="B125" s="170" t="s">
        <v>534</v>
      </c>
      <c r="C125" s="171"/>
      <c r="D125" s="171"/>
      <c r="E125" s="171"/>
      <c r="F125" s="171"/>
      <c r="G125" s="171"/>
      <c r="H125" s="171"/>
      <c r="I125" s="171"/>
      <c r="J125" s="171"/>
      <c r="K125" s="171"/>
      <c r="L125" s="171"/>
      <c r="M125" s="171"/>
      <c r="N125" s="171"/>
      <c r="O125" s="210"/>
      <c r="P125" s="292"/>
      <c r="Q125" s="292"/>
      <c r="R125" s="292"/>
      <c r="S125" s="292"/>
      <c r="T125" s="746"/>
      <c r="V125" s="170" t="s">
        <v>38</v>
      </c>
      <c r="W125" s="819"/>
    </row>
    <row r="126" spans="2:23" ht="15.75">
      <c r="B126" s="172" t="s">
        <v>535</v>
      </c>
      <c r="C126" s="50">
        <v>17994</v>
      </c>
      <c r="D126" s="50">
        <v>15903</v>
      </c>
      <c r="E126" s="50">
        <v>21306</v>
      </c>
      <c r="F126" s="50">
        <v>32668</v>
      </c>
      <c r="G126" s="50">
        <v>19631</v>
      </c>
      <c r="H126" s="50">
        <v>25310</v>
      </c>
      <c r="I126" s="50">
        <v>25644</v>
      </c>
      <c r="J126" s="50">
        <v>20738</v>
      </c>
      <c r="K126" s="50">
        <v>16854</v>
      </c>
      <c r="L126" s="50">
        <v>22114</v>
      </c>
      <c r="M126" s="50">
        <v>19856</v>
      </c>
      <c r="N126" s="50">
        <v>18379</v>
      </c>
      <c r="O126" s="299">
        <v>12458</v>
      </c>
      <c r="P126" s="299">
        <v>15233.452464</v>
      </c>
      <c r="Q126" s="299">
        <v>23912.079430999998</v>
      </c>
      <c r="R126" s="299">
        <v>19790</v>
      </c>
      <c r="S126" s="299">
        <v>23376</v>
      </c>
      <c r="T126" s="299">
        <v>35463.253642000003</v>
      </c>
      <c r="V126" s="172" t="s">
        <v>39</v>
      </c>
      <c r="W126" s="299">
        <v>20272.018373999999</v>
      </c>
    </row>
    <row r="127" spans="2:23" ht="15.75">
      <c r="B127" s="172" t="s">
        <v>536</v>
      </c>
      <c r="C127" s="50">
        <v>58149</v>
      </c>
      <c r="D127" s="50">
        <v>65224</v>
      </c>
      <c r="E127" s="50">
        <v>61291</v>
      </c>
      <c r="F127" s="50">
        <v>55916</v>
      </c>
      <c r="G127" s="50">
        <v>58298</v>
      </c>
      <c r="H127" s="50">
        <v>64078</v>
      </c>
      <c r="I127" s="50">
        <v>62728</v>
      </c>
      <c r="J127" s="50">
        <v>68968</v>
      </c>
      <c r="K127" s="50">
        <v>63013</v>
      </c>
      <c r="L127" s="50">
        <v>68405</v>
      </c>
      <c r="M127" s="50">
        <v>67734</v>
      </c>
      <c r="N127" s="50">
        <v>72350</v>
      </c>
      <c r="O127" s="299">
        <v>58162</v>
      </c>
      <c r="P127" s="299">
        <v>67877.837167999998</v>
      </c>
      <c r="Q127" s="299">
        <f>56818.716581+4629.024334</f>
        <v>61447.740915000002</v>
      </c>
      <c r="R127" s="299">
        <v>65175</v>
      </c>
      <c r="S127" s="299">
        <v>66614</v>
      </c>
      <c r="T127" s="299">
        <v>75766.846728999997</v>
      </c>
      <c r="V127" s="172" t="s">
        <v>40</v>
      </c>
      <c r="W127" s="299">
        <v>75544.006196000002</v>
      </c>
    </row>
    <row r="128" spans="2:23" ht="15.75">
      <c r="B128" s="172" t="s">
        <v>537</v>
      </c>
      <c r="C128" s="50">
        <v>4</v>
      </c>
      <c r="D128" s="50">
        <v>6</v>
      </c>
      <c r="E128" s="50">
        <v>6</v>
      </c>
      <c r="F128" s="50">
        <v>6</v>
      </c>
      <c r="G128" s="50">
        <v>6</v>
      </c>
      <c r="H128" s="50">
        <v>6</v>
      </c>
      <c r="I128" s="50">
        <v>9</v>
      </c>
      <c r="J128" s="50">
        <v>9</v>
      </c>
      <c r="K128" s="50">
        <v>10</v>
      </c>
      <c r="L128" s="50">
        <v>10</v>
      </c>
      <c r="M128" s="50">
        <v>9</v>
      </c>
      <c r="N128" s="50">
        <v>577</v>
      </c>
      <c r="O128" s="299">
        <v>577</v>
      </c>
      <c r="P128" s="299">
        <v>580.93899899999997</v>
      </c>
      <c r="Q128" s="299">
        <v>580.93899899999997</v>
      </c>
      <c r="R128" s="299">
        <v>9</v>
      </c>
      <c r="S128" s="299">
        <v>9</v>
      </c>
      <c r="T128" s="299">
        <v>11.729425000000001</v>
      </c>
      <c r="V128" s="172" t="s">
        <v>41</v>
      </c>
      <c r="W128" s="299">
        <v>11.729425000000001</v>
      </c>
    </row>
    <row r="129" spans="2:23" ht="15.75">
      <c r="B129" s="172" t="s">
        <v>538</v>
      </c>
      <c r="C129" s="50">
        <v>315</v>
      </c>
      <c r="D129" s="50">
        <v>264</v>
      </c>
      <c r="E129" s="50">
        <v>163</v>
      </c>
      <c r="F129" s="50">
        <v>613</v>
      </c>
      <c r="G129" s="50">
        <v>544</v>
      </c>
      <c r="H129" s="50">
        <v>422</v>
      </c>
      <c r="I129" s="50">
        <v>330</v>
      </c>
      <c r="J129" s="50">
        <v>275</v>
      </c>
      <c r="K129" s="50">
        <v>163</v>
      </c>
      <c r="L129" s="50">
        <v>455</v>
      </c>
      <c r="M129" s="50">
        <v>3956</v>
      </c>
      <c r="N129" s="50">
        <v>439</v>
      </c>
      <c r="O129" s="299">
        <v>271</v>
      </c>
      <c r="P129" s="299">
        <v>666.55438800000002</v>
      </c>
      <c r="Q129" s="299">
        <v>4659.0673079999997</v>
      </c>
      <c r="R129" s="299">
        <v>815</v>
      </c>
      <c r="S129" s="299">
        <v>614</v>
      </c>
      <c r="T129" s="299">
        <v>412.86484400000001</v>
      </c>
      <c r="V129" s="172" t="s">
        <v>43</v>
      </c>
      <c r="W129" s="299">
        <v>4457.9676479999998</v>
      </c>
    </row>
    <row r="130" spans="2:23" ht="15.75">
      <c r="B130" s="172" t="s">
        <v>539</v>
      </c>
      <c r="C130" s="50">
        <v>0</v>
      </c>
      <c r="D130" s="50">
        <v>0</v>
      </c>
      <c r="E130" s="50">
        <v>0</v>
      </c>
      <c r="F130" s="50">
        <v>0</v>
      </c>
      <c r="G130" s="50">
        <v>0</v>
      </c>
      <c r="H130" s="50">
        <v>0</v>
      </c>
      <c r="I130" s="50">
        <v>0</v>
      </c>
      <c r="J130" s="50">
        <v>0</v>
      </c>
      <c r="K130" s="50">
        <v>0</v>
      </c>
      <c r="L130" s="50">
        <v>0</v>
      </c>
      <c r="M130" s="50">
        <v>0</v>
      </c>
      <c r="N130" s="50">
        <v>0</v>
      </c>
      <c r="O130" s="299">
        <v>0</v>
      </c>
      <c r="P130" s="299">
        <v>0</v>
      </c>
      <c r="Q130" s="299">
        <v>0</v>
      </c>
      <c r="R130" s="299">
        <v>0</v>
      </c>
      <c r="S130" s="299">
        <v>0</v>
      </c>
      <c r="T130" s="299">
        <v>0</v>
      </c>
      <c r="V130" s="172" t="s">
        <v>113</v>
      </c>
      <c r="W130" s="299">
        <v>0</v>
      </c>
    </row>
    <row r="131" spans="2:23" ht="15.75">
      <c r="B131" s="172" t="s">
        <v>540</v>
      </c>
      <c r="C131" s="50">
        <v>0</v>
      </c>
      <c r="D131" s="50">
        <v>0</v>
      </c>
      <c r="E131" s="50">
        <v>0</v>
      </c>
      <c r="F131" s="50">
        <v>0</v>
      </c>
      <c r="G131" s="50">
        <v>0</v>
      </c>
      <c r="H131" s="50">
        <v>0</v>
      </c>
      <c r="I131" s="50">
        <v>0</v>
      </c>
      <c r="J131" s="50">
        <v>0</v>
      </c>
      <c r="K131" s="50">
        <v>0</v>
      </c>
      <c r="L131" s="50">
        <v>0</v>
      </c>
      <c r="M131" s="50">
        <v>0</v>
      </c>
      <c r="N131" s="50">
        <v>0</v>
      </c>
      <c r="O131" s="299">
        <v>0</v>
      </c>
      <c r="P131" s="299">
        <v>0</v>
      </c>
      <c r="Q131" s="299">
        <v>0</v>
      </c>
      <c r="R131" s="299">
        <v>0</v>
      </c>
      <c r="S131" s="299">
        <v>0</v>
      </c>
      <c r="T131" s="299">
        <v>0</v>
      </c>
      <c r="V131" s="172" t="s">
        <v>44</v>
      </c>
      <c r="W131" s="299">
        <v>0</v>
      </c>
    </row>
    <row r="132" spans="2:23">
      <c r="B132" s="173" t="s">
        <v>541</v>
      </c>
      <c r="C132" s="174">
        <f t="shared" ref="C132:N132" si="14">SUM(C126:C131)</f>
        <v>76462</v>
      </c>
      <c r="D132" s="174">
        <f t="shared" si="14"/>
        <v>81397</v>
      </c>
      <c r="E132" s="174">
        <f t="shared" si="14"/>
        <v>82766</v>
      </c>
      <c r="F132" s="174">
        <f t="shared" si="14"/>
        <v>89203</v>
      </c>
      <c r="G132" s="174">
        <f t="shared" si="14"/>
        <v>78479</v>
      </c>
      <c r="H132" s="174">
        <f t="shared" si="14"/>
        <v>89816</v>
      </c>
      <c r="I132" s="174">
        <f t="shared" si="14"/>
        <v>88711</v>
      </c>
      <c r="J132" s="174">
        <f t="shared" si="14"/>
        <v>89990</v>
      </c>
      <c r="K132" s="174">
        <f t="shared" si="14"/>
        <v>80040</v>
      </c>
      <c r="L132" s="174">
        <f t="shared" si="14"/>
        <v>90984</v>
      </c>
      <c r="M132" s="174">
        <f t="shared" si="14"/>
        <v>91555</v>
      </c>
      <c r="N132" s="174">
        <f t="shared" si="14"/>
        <v>91745</v>
      </c>
      <c r="O132" s="212">
        <v>71468</v>
      </c>
      <c r="P132" s="212">
        <f>SUM(P126:P131)</f>
        <v>84358.78301900001</v>
      </c>
      <c r="Q132" s="212">
        <f>SUM(Q126:Q131)</f>
        <v>90599.826652999996</v>
      </c>
      <c r="R132" s="212">
        <v>85789</v>
      </c>
      <c r="S132" s="212">
        <v>90613</v>
      </c>
      <c r="T132" s="212">
        <v>111654.69464</v>
      </c>
      <c r="V132" s="173" t="s">
        <v>45</v>
      </c>
      <c r="W132" s="815">
        <v>100285.72164300001</v>
      </c>
    </row>
    <row r="133" spans="2:23">
      <c r="B133" s="170" t="s">
        <v>542</v>
      </c>
      <c r="C133" s="171"/>
      <c r="D133" s="171"/>
      <c r="E133" s="171"/>
      <c r="F133" s="171"/>
      <c r="G133" s="171"/>
      <c r="H133" s="171"/>
      <c r="I133" s="171"/>
      <c r="J133" s="171"/>
      <c r="K133" s="171"/>
      <c r="L133" s="171"/>
      <c r="M133" s="171"/>
      <c r="N133" s="171"/>
      <c r="O133" s="210"/>
      <c r="P133" s="210"/>
      <c r="Q133" s="210"/>
      <c r="R133" s="210"/>
      <c r="S133" s="210"/>
      <c r="T133" s="748"/>
      <c r="V133" s="170" t="s">
        <v>46</v>
      </c>
      <c r="W133" s="805"/>
    </row>
    <row r="134" spans="2:23" ht="15.75">
      <c r="B134" s="172" t="s">
        <v>543</v>
      </c>
      <c r="C134" s="50">
        <v>0</v>
      </c>
      <c r="D134" s="50">
        <v>0</v>
      </c>
      <c r="E134" s="50">
        <v>0</v>
      </c>
      <c r="F134" s="50">
        <v>0</v>
      </c>
      <c r="G134" s="50">
        <v>0</v>
      </c>
      <c r="H134" s="50">
        <v>0</v>
      </c>
      <c r="I134" s="50">
        <v>0</v>
      </c>
      <c r="J134" s="50">
        <v>0</v>
      </c>
      <c r="K134" s="50">
        <v>0</v>
      </c>
      <c r="L134" s="50">
        <v>0</v>
      </c>
      <c r="M134" s="50">
        <v>0</v>
      </c>
      <c r="N134" s="50">
        <v>0</v>
      </c>
      <c r="O134" s="299">
        <v>0</v>
      </c>
      <c r="P134" s="299">
        <v>0</v>
      </c>
      <c r="Q134" s="299">
        <v>0</v>
      </c>
      <c r="R134" s="299">
        <v>0</v>
      </c>
      <c r="S134" s="299">
        <v>0</v>
      </c>
      <c r="T134" s="299">
        <v>0</v>
      </c>
      <c r="V134" s="172" t="s">
        <v>47</v>
      </c>
      <c r="W134" s="299">
        <v>0</v>
      </c>
    </row>
    <row r="135" spans="2:23" ht="15.75">
      <c r="B135" s="172" t="s">
        <v>544</v>
      </c>
      <c r="C135" s="50">
        <v>0</v>
      </c>
      <c r="D135" s="50">
        <v>0</v>
      </c>
      <c r="E135" s="50">
        <v>0</v>
      </c>
      <c r="F135" s="50">
        <v>0</v>
      </c>
      <c r="G135" s="50">
        <v>0</v>
      </c>
      <c r="H135" s="50">
        <v>0</v>
      </c>
      <c r="I135" s="50">
        <v>0</v>
      </c>
      <c r="J135" s="50">
        <v>0</v>
      </c>
      <c r="K135" s="50">
        <v>0</v>
      </c>
      <c r="L135" s="50">
        <v>0</v>
      </c>
      <c r="M135" s="50">
        <v>0</v>
      </c>
      <c r="N135" s="50">
        <v>0</v>
      </c>
      <c r="O135" s="299">
        <v>0</v>
      </c>
      <c r="P135" s="299">
        <v>0</v>
      </c>
      <c r="Q135" s="299">
        <v>0</v>
      </c>
      <c r="R135" s="299">
        <v>0</v>
      </c>
      <c r="S135" s="299">
        <v>0</v>
      </c>
      <c r="T135" s="299">
        <v>0</v>
      </c>
      <c r="V135" s="172" t="s">
        <v>48</v>
      </c>
      <c r="W135" s="299">
        <v>0</v>
      </c>
    </row>
    <row r="136" spans="2:23" ht="28.5">
      <c r="B136" s="172" t="s">
        <v>545</v>
      </c>
      <c r="C136" s="50">
        <v>0</v>
      </c>
      <c r="D136" s="50">
        <v>0</v>
      </c>
      <c r="E136" s="50">
        <v>0</v>
      </c>
      <c r="F136" s="50">
        <v>0</v>
      </c>
      <c r="G136" s="50">
        <v>0</v>
      </c>
      <c r="H136" s="50">
        <v>0</v>
      </c>
      <c r="I136" s="50">
        <v>0</v>
      </c>
      <c r="J136" s="50">
        <v>0</v>
      </c>
      <c r="K136" s="50">
        <v>0</v>
      </c>
      <c r="L136" s="50">
        <v>0</v>
      </c>
      <c r="M136" s="50">
        <v>0</v>
      </c>
      <c r="N136" s="50">
        <v>0</v>
      </c>
      <c r="O136" s="299">
        <v>0</v>
      </c>
      <c r="P136" s="299">
        <v>0</v>
      </c>
      <c r="Q136" s="299">
        <v>0</v>
      </c>
      <c r="R136" s="299">
        <v>0</v>
      </c>
      <c r="S136" s="299">
        <v>0</v>
      </c>
      <c r="T136" s="299">
        <v>0</v>
      </c>
      <c r="V136" s="172" t="s">
        <v>94</v>
      </c>
      <c r="W136" s="299">
        <v>0</v>
      </c>
    </row>
    <row r="137" spans="2:23" ht="15.75">
      <c r="B137" s="172" t="s">
        <v>546</v>
      </c>
      <c r="C137" s="50">
        <v>0</v>
      </c>
      <c r="D137" s="50">
        <v>0</v>
      </c>
      <c r="E137" s="50">
        <v>0</v>
      </c>
      <c r="F137" s="50">
        <v>0</v>
      </c>
      <c r="G137" s="50">
        <v>0</v>
      </c>
      <c r="H137" s="50">
        <v>0</v>
      </c>
      <c r="I137" s="50">
        <v>0</v>
      </c>
      <c r="J137" s="50">
        <v>0</v>
      </c>
      <c r="K137" s="50">
        <v>0</v>
      </c>
      <c r="L137" s="50">
        <v>0</v>
      </c>
      <c r="M137" s="50">
        <v>0</v>
      </c>
      <c r="N137" s="50">
        <v>0</v>
      </c>
      <c r="O137" s="299">
        <v>0</v>
      </c>
      <c r="P137" s="299">
        <v>0</v>
      </c>
      <c r="Q137" s="299">
        <v>0</v>
      </c>
      <c r="R137" s="299">
        <v>0</v>
      </c>
      <c r="S137" s="299">
        <v>0</v>
      </c>
      <c r="T137" s="299">
        <v>0</v>
      </c>
      <c r="V137" s="172" t="s">
        <v>95</v>
      </c>
      <c r="W137" s="299">
        <v>0</v>
      </c>
    </row>
    <row r="138" spans="2:23" ht="15.75">
      <c r="B138" s="172" t="s">
        <v>536</v>
      </c>
      <c r="C138" s="50">
        <v>182000</v>
      </c>
      <c r="D138" s="50">
        <v>162376</v>
      </c>
      <c r="E138" s="50">
        <v>150789</v>
      </c>
      <c r="F138" s="50">
        <v>145668</v>
      </c>
      <c r="G138" s="50">
        <v>141484</v>
      </c>
      <c r="H138" s="50">
        <v>132927</v>
      </c>
      <c r="I138" s="50">
        <v>123926</v>
      </c>
      <c r="J138" s="50">
        <v>119778</v>
      </c>
      <c r="K138" s="50">
        <v>112822</v>
      </c>
      <c r="L138" s="50">
        <v>107777</v>
      </c>
      <c r="M138" s="50">
        <v>94637</v>
      </c>
      <c r="N138" s="50">
        <v>93251</v>
      </c>
      <c r="O138" s="299">
        <v>94262</v>
      </c>
      <c r="P138" s="299">
        <v>87898.453836000001</v>
      </c>
      <c r="Q138" s="299">
        <v>76170.717174000005</v>
      </c>
      <c r="R138" s="299">
        <v>70484</v>
      </c>
      <c r="S138" s="299">
        <v>58514</v>
      </c>
      <c r="T138" s="299">
        <v>44882.193113000001</v>
      </c>
      <c r="V138" s="172" t="s">
        <v>40</v>
      </c>
      <c r="W138" s="299">
        <v>29227.476072000001</v>
      </c>
    </row>
    <row r="139" spans="2:23" ht="15.75">
      <c r="B139" s="172" t="s">
        <v>547</v>
      </c>
      <c r="C139" s="50">
        <v>0</v>
      </c>
      <c r="D139" s="50">
        <v>0</v>
      </c>
      <c r="E139" s="50">
        <v>0</v>
      </c>
      <c r="F139" s="50">
        <v>0</v>
      </c>
      <c r="G139" s="50">
        <v>0</v>
      </c>
      <c r="H139" s="50">
        <v>0</v>
      </c>
      <c r="I139" s="50">
        <v>0</v>
      </c>
      <c r="J139" s="50">
        <v>0</v>
      </c>
      <c r="K139" s="50">
        <v>0</v>
      </c>
      <c r="L139" s="50">
        <v>0</v>
      </c>
      <c r="M139" s="50">
        <v>0</v>
      </c>
      <c r="N139" s="50">
        <v>0</v>
      </c>
      <c r="O139" s="299">
        <v>0</v>
      </c>
      <c r="P139" s="299">
        <v>0</v>
      </c>
      <c r="Q139" s="299">
        <v>0</v>
      </c>
      <c r="R139" s="299">
        <v>0</v>
      </c>
      <c r="S139" s="299">
        <v>0</v>
      </c>
      <c r="T139" s="299">
        <v>0</v>
      </c>
      <c r="V139" s="172" t="s">
        <v>42</v>
      </c>
      <c r="W139" s="299">
        <v>0</v>
      </c>
    </row>
    <row r="140" spans="2:23" ht="15.75">
      <c r="B140" s="172" t="s">
        <v>548</v>
      </c>
      <c r="C140" s="50">
        <v>80</v>
      </c>
      <c r="D140" s="50">
        <v>117</v>
      </c>
      <c r="E140" s="50">
        <v>105</v>
      </c>
      <c r="F140" s="50">
        <v>94</v>
      </c>
      <c r="G140" s="50">
        <v>84</v>
      </c>
      <c r="H140" s="50">
        <v>90</v>
      </c>
      <c r="I140" s="50">
        <v>158</v>
      </c>
      <c r="J140" s="50">
        <v>80</v>
      </c>
      <c r="K140" s="50">
        <v>91</v>
      </c>
      <c r="L140" s="50">
        <v>86</v>
      </c>
      <c r="M140" s="50">
        <v>84</v>
      </c>
      <c r="N140" s="50">
        <v>78</v>
      </c>
      <c r="O140" s="299">
        <v>71</v>
      </c>
      <c r="P140" s="299">
        <v>69.724816000000004</v>
      </c>
      <c r="Q140" s="299">
        <v>63.521501000000001</v>
      </c>
      <c r="R140" s="299">
        <v>61</v>
      </c>
      <c r="S140" s="299">
        <v>55</v>
      </c>
      <c r="T140" s="299">
        <v>78.431941000000009</v>
      </c>
      <c r="V140" s="172" t="s">
        <v>52</v>
      </c>
      <c r="W140" s="299">
        <v>75.114807999999996</v>
      </c>
    </row>
    <row r="141" spans="2:23" ht="15.75">
      <c r="B141" s="172" t="s">
        <v>549</v>
      </c>
      <c r="C141" s="50">
        <v>0</v>
      </c>
      <c r="D141" s="50">
        <v>0</v>
      </c>
      <c r="E141" s="50">
        <v>0</v>
      </c>
      <c r="F141" s="50">
        <v>0</v>
      </c>
      <c r="G141" s="50">
        <v>0</v>
      </c>
      <c r="H141" s="50">
        <v>0</v>
      </c>
      <c r="I141" s="50">
        <v>0</v>
      </c>
      <c r="J141" s="50">
        <v>0</v>
      </c>
      <c r="K141" s="50">
        <v>0</v>
      </c>
      <c r="L141" s="50">
        <v>0</v>
      </c>
      <c r="M141" s="50">
        <v>0</v>
      </c>
      <c r="N141" s="50">
        <v>0</v>
      </c>
      <c r="O141" s="299">
        <v>0</v>
      </c>
      <c r="P141" s="299">
        <v>0</v>
      </c>
      <c r="Q141" s="299">
        <v>0</v>
      </c>
      <c r="R141" s="299">
        <v>0</v>
      </c>
      <c r="S141" s="299">
        <v>0</v>
      </c>
      <c r="T141" s="299">
        <v>0</v>
      </c>
      <c r="V141" s="172" t="s">
        <v>53</v>
      </c>
      <c r="W141" s="299">
        <v>0</v>
      </c>
    </row>
    <row r="142" spans="2:23" ht="15.75">
      <c r="B142" s="172" t="s">
        <v>550</v>
      </c>
      <c r="C142" s="50">
        <v>115</v>
      </c>
      <c r="D142" s="50">
        <v>219</v>
      </c>
      <c r="E142" s="50">
        <v>209</v>
      </c>
      <c r="F142" s="50">
        <v>199</v>
      </c>
      <c r="G142" s="50">
        <v>197</v>
      </c>
      <c r="H142" s="50">
        <v>186</v>
      </c>
      <c r="I142" s="50">
        <v>199</v>
      </c>
      <c r="J142" s="50">
        <v>188</v>
      </c>
      <c r="K142" s="50">
        <v>177</v>
      </c>
      <c r="L142" s="50">
        <v>166</v>
      </c>
      <c r="M142" s="50">
        <v>167</v>
      </c>
      <c r="N142" s="50">
        <v>153</v>
      </c>
      <c r="O142" s="299">
        <v>138</v>
      </c>
      <c r="P142" s="299">
        <v>123.46214999999999</v>
      </c>
      <c r="Q142" s="299">
        <v>110.052351</v>
      </c>
      <c r="R142" s="299">
        <v>99</v>
      </c>
      <c r="S142" s="299">
        <v>88</v>
      </c>
      <c r="T142" s="299">
        <v>76.529155000000003</v>
      </c>
      <c r="V142" s="172" t="s">
        <v>55</v>
      </c>
      <c r="W142" s="299">
        <v>67.134772999999996</v>
      </c>
    </row>
    <row r="143" spans="2:23" ht="15.75">
      <c r="B143" s="172" t="s">
        <v>538</v>
      </c>
      <c r="C143" s="50">
        <v>0</v>
      </c>
      <c r="D143" s="50">
        <v>0</v>
      </c>
      <c r="E143" s="50">
        <v>0</v>
      </c>
      <c r="F143" s="50">
        <v>0</v>
      </c>
      <c r="G143" s="50">
        <v>0</v>
      </c>
      <c r="H143" s="50">
        <v>0</v>
      </c>
      <c r="I143" s="50">
        <v>0</v>
      </c>
      <c r="J143" s="50">
        <v>0</v>
      </c>
      <c r="K143" s="50">
        <v>0</v>
      </c>
      <c r="L143" s="50">
        <v>0</v>
      </c>
      <c r="M143" s="50">
        <v>0</v>
      </c>
      <c r="N143" s="50">
        <v>0</v>
      </c>
      <c r="O143" s="299">
        <v>0</v>
      </c>
      <c r="P143" s="299">
        <v>0</v>
      </c>
      <c r="Q143" s="299">
        <v>0</v>
      </c>
      <c r="R143" s="299">
        <v>0</v>
      </c>
      <c r="S143" s="299">
        <v>0</v>
      </c>
      <c r="T143" s="299">
        <v>0</v>
      </c>
      <c r="V143" s="172" t="s">
        <v>43</v>
      </c>
      <c r="W143" s="299">
        <v>0</v>
      </c>
    </row>
    <row r="144" spans="2:23" ht="15.75">
      <c r="B144" s="172" t="s">
        <v>551</v>
      </c>
      <c r="C144" s="50">
        <v>6464</v>
      </c>
      <c r="D144" s="50">
        <v>5876</v>
      </c>
      <c r="E144" s="50">
        <v>5765</v>
      </c>
      <c r="F144" s="50">
        <v>5833</v>
      </c>
      <c r="G144" s="50">
        <v>5766</v>
      </c>
      <c r="H144" s="50">
        <v>5713</v>
      </c>
      <c r="I144" s="50">
        <v>5140</v>
      </c>
      <c r="J144" s="50">
        <v>5338</v>
      </c>
      <c r="K144" s="50">
        <v>5044</v>
      </c>
      <c r="L144" s="50">
        <v>4969</v>
      </c>
      <c r="M144" s="50">
        <v>5023</v>
      </c>
      <c r="N144" s="50">
        <v>4825</v>
      </c>
      <c r="O144" s="299">
        <v>4670</v>
      </c>
      <c r="P144" s="299">
        <v>4873.5888189999996</v>
      </c>
      <c r="Q144" s="299">
        <v>5099.6621880000002</v>
      </c>
      <c r="R144" s="299">
        <v>4988</v>
      </c>
      <c r="S144" s="299">
        <v>5678</v>
      </c>
      <c r="T144" s="299">
        <v>5489.4782880000002</v>
      </c>
      <c r="V144" s="172" t="s">
        <v>56</v>
      </c>
      <c r="W144" s="299">
        <v>4645.1638890000004</v>
      </c>
    </row>
    <row r="145" spans="2:23" ht="15.75">
      <c r="B145" s="172" t="s">
        <v>552</v>
      </c>
      <c r="C145" s="50">
        <v>0</v>
      </c>
      <c r="D145" s="50">
        <v>0</v>
      </c>
      <c r="E145" s="50">
        <v>0</v>
      </c>
      <c r="F145" s="50">
        <v>0</v>
      </c>
      <c r="G145" s="50">
        <v>0</v>
      </c>
      <c r="H145" s="50">
        <v>0</v>
      </c>
      <c r="I145" s="50">
        <v>-5</v>
      </c>
      <c r="J145" s="50">
        <v>171</v>
      </c>
      <c r="K145" s="50">
        <v>156</v>
      </c>
      <c r="L145" s="50">
        <v>141</v>
      </c>
      <c r="M145" s="50">
        <v>125</v>
      </c>
      <c r="N145" s="50">
        <v>112</v>
      </c>
      <c r="O145" s="299">
        <v>99</v>
      </c>
      <c r="P145" s="299">
        <v>86.242311999999998</v>
      </c>
      <c r="Q145" s="299">
        <v>98.383752000000001</v>
      </c>
      <c r="R145" s="299">
        <v>86</v>
      </c>
      <c r="S145" s="299">
        <v>74</v>
      </c>
      <c r="T145" s="299">
        <v>81.846199999999996</v>
      </c>
      <c r="V145" s="172" t="s">
        <v>57</v>
      </c>
      <c r="W145" s="299">
        <v>76.443016</v>
      </c>
    </row>
    <row r="146" spans="2:23" ht="15.75">
      <c r="B146" s="172" t="s">
        <v>540</v>
      </c>
      <c r="C146" s="50">
        <v>0</v>
      </c>
      <c r="D146" s="50">
        <v>0</v>
      </c>
      <c r="E146" s="50">
        <v>0</v>
      </c>
      <c r="F146" s="50">
        <v>0</v>
      </c>
      <c r="G146" s="50">
        <v>0</v>
      </c>
      <c r="H146" s="50">
        <v>0</v>
      </c>
      <c r="I146" s="50">
        <v>0</v>
      </c>
      <c r="J146" s="50">
        <v>0</v>
      </c>
      <c r="K146" s="50">
        <v>0</v>
      </c>
      <c r="L146" s="50">
        <v>0</v>
      </c>
      <c r="M146" s="50">
        <v>0</v>
      </c>
      <c r="N146" s="50">
        <v>0</v>
      </c>
      <c r="O146" s="299">
        <v>0</v>
      </c>
      <c r="P146" s="299">
        <v>0</v>
      </c>
      <c r="Q146" s="299">
        <v>0</v>
      </c>
      <c r="R146" s="299">
        <v>0</v>
      </c>
      <c r="S146" s="299">
        <v>0</v>
      </c>
      <c r="T146" s="299">
        <v>0</v>
      </c>
      <c r="V146" s="172" t="s">
        <v>44</v>
      </c>
      <c r="W146" s="299">
        <v>0</v>
      </c>
    </row>
    <row r="147" spans="2:23">
      <c r="B147" s="170" t="s">
        <v>553</v>
      </c>
      <c r="C147" s="175">
        <f t="shared" ref="C147:N147" si="15">SUM(C134:C146)</f>
        <v>188659</v>
      </c>
      <c r="D147" s="175">
        <f t="shared" si="15"/>
        <v>168588</v>
      </c>
      <c r="E147" s="175">
        <f t="shared" si="15"/>
        <v>156868</v>
      </c>
      <c r="F147" s="175">
        <f t="shared" si="15"/>
        <v>151794</v>
      </c>
      <c r="G147" s="175">
        <f t="shared" si="15"/>
        <v>147531</v>
      </c>
      <c r="H147" s="175">
        <f t="shared" si="15"/>
        <v>138916</v>
      </c>
      <c r="I147" s="175">
        <f t="shared" si="15"/>
        <v>129418</v>
      </c>
      <c r="J147" s="175">
        <f t="shared" si="15"/>
        <v>125555</v>
      </c>
      <c r="K147" s="175">
        <f t="shared" si="15"/>
        <v>118290</v>
      </c>
      <c r="L147" s="175">
        <f t="shared" si="15"/>
        <v>113139</v>
      </c>
      <c r="M147" s="175">
        <f t="shared" si="15"/>
        <v>100036</v>
      </c>
      <c r="N147" s="175">
        <f t="shared" si="15"/>
        <v>98419</v>
      </c>
      <c r="O147" s="213">
        <v>99240</v>
      </c>
      <c r="P147" s="213">
        <f>SUM(P134:P146)</f>
        <v>93051.471933000008</v>
      </c>
      <c r="Q147" s="213">
        <f>SUM(Q134:Q146)</f>
        <v>81542.336966000003</v>
      </c>
      <c r="R147" s="213">
        <v>75718</v>
      </c>
      <c r="S147" s="213">
        <v>64409</v>
      </c>
      <c r="T147" s="213">
        <v>50608.478696999999</v>
      </c>
      <c r="V147" s="170" t="s">
        <v>59</v>
      </c>
      <c r="W147" s="817">
        <v>34091.332558000002</v>
      </c>
    </row>
    <row r="148" spans="2:23">
      <c r="B148" s="173" t="s">
        <v>554</v>
      </c>
      <c r="C148" s="174">
        <f t="shared" ref="C148:N148" si="16">+C132+C147</f>
        <v>265121</v>
      </c>
      <c r="D148" s="174">
        <f t="shared" si="16"/>
        <v>249985</v>
      </c>
      <c r="E148" s="174">
        <f t="shared" si="16"/>
        <v>239634</v>
      </c>
      <c r="F148" s="174">
        <f t="shared" si="16"/>
        <v>240997</v>
      </c>
      <c r="G148" s="174">
        <f t="shared" si="16"/>
        <v>226010</v>
      </c>
      <c r="H148" s="174">
        <f t="shared" si="16"/>
        <v>228732</v>
      </c>
      <c r="I148" s="174">
        <f t="shared" si="16"/>
        <v>218129</v>
      </c>
      <c r="J148" s="174">
        <f t="shared" si="16"/>
        <v>215545</v>
      </c>
      <c r="K148" s="174">
        <f t="shared" si="16"/>
        <v>198330</v>
      </c>
      <c r="L148" s="174">
        <f t="shared" si="16"/>
        <v>204123</v>
      </c>
      <c r="M148" s="174">
        <f t="shared" si="16"/>
        <v>191591</v>
      </c>
      <c r="N148" s="174">
        <f t="shared" si="16"/>
        <v>190164</v>
      </c>
      <c r="O148" s="212">
        <v>170708</v>
      </c>
      <c r="P148" s="212">
        <f>+P132+P147</f>
        <v>177410.25495200002</v>
      </c>
      <c r="Q148" s="212">
        <f>+Q132+Q147</f>
        <v>172142.163619</v>
      </c>
      <c r="R148" s="212">
        <v>161507</v>
      </c>
      <c r="S148" s="212">
        <v>155022</v>
      </c>
      <c r="T148" s="212">
        <v>162263.17333700001</v>
      </c>
      <c r="V148" s="173" t="s">
        <v>60</v>
      </c>
      <c r="W148" s="815">
        <v>134377.05420100002</v>
      </c>
    </row>
    <row r="149" spans="2:23">
      <c r="B149" s="145"/>
      <c r="C149" s="143"/>
      <c r="D149" s="143"/>
      <c r="E149" s="143"/>
      <c r="F149" s="143"/>
      <c r="G149" s="143"/>
      <c r="H149" s="143"/>
      <c r="I149" s="143"/>
      <c r="J149" s="143"/>
      <c r="K149" s="143"/>
      <c r="L149" s="143"/>
      <c r="M149" s="143"/>
      <c r="N149" s="143"/>
      <c r="O149" s="214"/>
      <c r="P149" s="214"/>
      <c r="Q149" s="214"/>
      <c r="R149" s="214"/>
      <c r="S149" s="214">
        <v>0</v>
      </c>
      <c r="T149" s="749"/>
      <c r="V149" s="145"/>
      <c r="W149" s="821"/>
    </row>
    <row r="150" spans="2:23">
      <c r="B150" s="176" t="s">
        <v>555</v>
      </c>
      <c r="C150" s="177"/>
      <c r="D150" s="177"/>
      <c r="E150" s="177"/>
      <c r="F150" s="177"/>
      <c r="G150" s="177"/>
      <c r="H150" s="177"/>
      <c r="I150" s="177"/>
      <c r="J150" s="177"/>
      <c r="K150" s="177"/>
      <c r="L150" s="177"/>
      <c r="M150" s="177"/>
      <c r="N150" s="177"/>
      <c r="O150" s="215"/>
      <c r="P150" s="215"/>
      <c r="Q150" s="215"/>
      <c r="R150" s="215"/>
      <c r="S150" s="215"/>
      <c r="T150" s="751"/>
      <c r="V150" s="176" t="s">
        <v>61</v>
      </c>
      <c r="W150" s="823"/>
    </row>
    <row r="151" spans="2:23">
      <c r="B151" s="170" t="s">
        <v>556</v>
      </c>
      <c r="C151" s="178"/>
      <c r="D151" s="178"/>
      <c r="E151" s="178"/>
      <c r="F151" s="178"/>
      <c r="G151" s="178"/>
      <c r="H151" s="178"/>
      <c r="I151" s="178"/>
      <c r="J151" s="178"/>
      <c r="K151" s="178"/>
      <c r="L151" s="178"/>
      <c r="M151" s="178"/>
      <c r="N151" s="178"/>
      <c r="O151" s="216"/>
      <c r="P151" s="216"/>
      <c r="Q151" s="216"/>
      <c r="R151" s="216"/>
      <c r="S151" s="216"/>
      <c r="T151" s="752"/>
      <c r="V151" s="170" t="s">
        <v>62</v>
      </c>
      <c r="W151" s="824"/>
    </row>
    <row r="152" spans="2:23" ht="15.75">
      <c r="B152" s="172" t="s">
        <v>557</v>
      </c>
      <c r="C152" s="50">
        <v>25310</v>
      </c>
      <c r="D152" s="50">
        <v>31122</v>
      </c>
      <c r="E152" s="50">
        <v>27246</v>
      </c>
      <c r="F152" s="50">
        <v>28638</v>
      </c>
      <c r="G152" s="50">
        <v>29062</v>
      </c>
      <c r="H152" s="50">
        <v>30196</v>
      </c>
      <c r="I152" s="50">
        <v>30700</v>
      </c>
      <c r="J152" s="50">
        <v>32021</v>
      </c>
      <c r="K152" s="50">
        <v>33127</v>
      </c>
      <c r="L152" s="50">
        <v>34180</v>
      </c>
      <c r="M152" s="50">
        <v>35165</v>
      </c>
      <c r="N152" s="50">
        <v>35836</v>
      </c>
      <c r="O152" s="299">
        <v>37358</v>
      </c>
      <c r="P152" s="299">
        <v>37334.165015999999</v>
      </c>
      <c r="Q152" s="299">
        <v>14668.65756</v>
      </c>
      <c r="R152" s="299">
        <v>18049</v>
      </c>
      <c r="S152" s="299">
        <v>21928</v>
      </c>
      <c r="T152" s="299">
        <v>22855.740037</v>
      </c>
      <c r="V152" s="172" t="s">
        <v>63</v>
      </c>
      <c r="W152" s="299">
        <v>35697.430889000003</v>
      </c>
    </row>
    <row r="153" spans="2:23" ht="15.75">
      <c r="B153" s="172" t="s">
        <v>558</v>
      </c>
      <c r="C153" s="50">
        <v>7165</v>
      </c>
      <c r="D153" s="50">
        <v>8339</v>
      </c>
      <c r="E153" s="50">
        <v>7033</v>
      </c>
      <c r="F153" s="50">
        <v>7498</v>
      </c>
      <c r="G153" s="50">
        <v>7246</v>
      </c>
      <c r="H153" s="50">
        <v>8112</v>
      </c>
      <c r="I153" s="50">
        <v>4463</v>
      </c>
      <c r="J153" s="50">
        <v>7923</v>
      </c>
      <c r="K153" s="50">
        <v>7551</v>
      </c>
      <c r="L153" s="50">
        <v>8251</v>
      </c>
      <c r="M153" s="50">
        <v>9108</v>
      </c>
      <c r="N153" s="50">
        <v>7958</v>
      </c>
      <c r="O153" s="299">
        <v>8728</v>
      </c>
      <c r="P153" s="299">
        <v>11769.729023</v>
      </c>
      <c r="Q153" s="299">
        <f>10018.433679-3.646257</f>
        <v>10014.787421999999</v>
      </c>
      <c r="R153" s="299">
        <v>9757</v>
      </c>
      <c r="S153" s="299">
        <v>9729</v>
      </c>
      <c r="T153" s="299">
        <v>10614.525377</v>
      </c>
      <c r="V153" s="172" t="s">
        <v>64</v>
      </c>
      <c r="W153" s="299">
        <v>3820.9416449999999</v>
      </c>
    </row>
    <row r="154" spans="2:23" ht="15.75">
      <c r="B154" s="172" t="s">
        <v>559</v>
      </c>
      <c r="C154" s="50">
        <v>18</v>
      </c>
      <c r="D154" s="50">
        <v>16</v>
      </c>
      <c r="E154" s="50">
        <v>44</v>
      </c>
      <c r="F154" s="50">
        <v>14</v>
      </c>
      <c r="G154" s="50">
        <v>18</v>
      </c>
      <c r="H154" s="50">
        <v>21</v>
      </c>
      <c r="I154" s="50">
        <v>16</v>
      </c>
      <c r="J154" s="50">
        <v>17</v>
      </c>
      <c r="K154" s="50">
        <v>19</v>
      </c>
      <c r="L154" s="50">
        <v>22</v>
      </c>
      <c r="M154" s="50">
        <v>22</v>
      </c>
      <c r="N154" s="50">
        <v>28</v>
      </c>
      <c r="O154" s="299">
        <v>30</v>
      </c>
      <c r="P154" s="299">
        <v>29.352350999999999</v>
      </c>
      <c r="Q154" s="299">
        <v>22.584427999999999</v>
      </c>
      <c r="R154" s="299">
        <v>24</v>
      </c>
      <c r="S154" s="299">
        <v>27</v>
      </c>
      <c r="T154" s="299">
        <v>27.868293000000001</v>
      </c>
      <c r="V154" s="172" t="s">
        <v>66</v>
      </c>
      <c r="W154" s="299">
        <v>22.851267</v>
      </c>
    </row>
    <row r="155" spans="2:23" ht="15.75">
      <c r="B155" s="172" t="s">
        <v>537</v>
      </c>
      <c r="C155" s="50">
        <v>878</v>
      </c>
      <c r="D155" s="50">
        <v>1030</v>
      </c>
      <c r="E155" s="50">
        <v>827</v>
      </c>
      <c r="F155" s="50">
        <v>616</v>
      </c>
      <c r="G155" s="50">
        <v>582</v>
      </c>
      <c r="H155" s="50">
        <v>583</v>
      </c>
      <c r="I155" s="50">
        <v>647</v>
      </c>
      <c r="J155" s="50">
        <v>581</v>
      </c>
      <c r="K155" s="50">
        <v>643</v>
      </c>
      <c r="L155" s="50">
        <v>1491</v>
      </c>
      <c r="M155" s="50">
        <v>121</v>
      </c>
      <c r="N155" s="50">
        <v>403</v>
      </c>
      <c r="O155" s="299">
        <v>644</v>
      </c>
      <c r="P155" s="299">
        <v>723.85848599999997</v>
      </c>
      <c r="Q155" s="299">
        <f>928.771405+3.646257</f>
        <v>932.41766199999995</v>
      </c>
      <c r="R155" s="299">
        <v>969</v>
      </c>
      <c r="S155" s="299">
        <v>730</v>
      </c>
      <c r="T155" s="299">
        <v>805.13452099999995</v>
      </c>
      <c r="V155" s="172" t="s">
        <v>41</v>
      </c>
      <c r="W155" s="299">
        <v>1234.8453420000001</v>
      </c>
    </row>
    <row r="156" spans="2:23" ht="15.75">
      <c r="B156" s="172" t="s">
        <v>560</v>
      </c>
      <c r="C156" s="50">
        <v>772</v>
      </c>
      <c r="D156" s="50">
        <v>858</v>
      </c>
      <c r="E156" s="50">
        <v>0</v>
      </c>
      <c r="F156" s="50">
        <v>0</v>
      </c>
      <c r="G156" s="50">
        <v>125</v>
      </c>
      <c r="H156" s="50">
        <v>0</v>
      </c>
      <c r="I156" s="50">
        <v>1408</v>
      </c>
      <c r="J156" s="50">
        <v>467</v>
      </c>
      <c r="K156" s="50">
        <v>229</v>
      </c>
      <c r="L156" s="50">
        <v>559</v>
      </c>
      <c r="M156" s="50">
        <v>138</v>
      </c>
      <c r="N156" s="50">
        <v>138</v>
      </c>
      <c r="O156" s="299">
        <v>138</v>
      </c>
      <c r="P156" s="299">
        <v>577.29338900000005</v>
      </c>
      <c r="Q156" s="299">
        <v>219.78016</v>
      </c>
      <c r="R156" s="299">
        <v>16</v>
      </c>
      <c r="S156" s="299">
        <v>17</v>
      </c>
      <c r="T156" s="299">
        <v>837.01104099999998</v>
      </c>
      <c r="V156" s="172" t="s">
        <v>67</v>
      </c>
      <c r="W156" s="299">
        <v>1255.492641</v>
      </c>
    </row>
    <row r="157" spans="2:23" ht="15.75">
      <c r="B157" s="172" t="s">
        <v>561</v>
      </c>
      <c r="C157" s="50">
        <v>152</v>
      </c>
      <c r="D157" s="50">
        <v>161</v>
      </c>
      <c r="E157" s="50">
        <v>128</v>
      </c>
      <c r="F157" s="50">
        <v>141</v>
      </c>
      <c r="G157" s="50">
        <v>156</v>
      </c>
      <c r="H157" s="50">
        <v>165</v>
      </c>
      <c r="I157" s="50">
        <v>131</v>
      </c>
      <c r="J157" s="50">
        <v>140</v>
      </c>
      <c r="K157" s="50">
        <v>149</v>
      </c>
      <c r="L157" s="50">
        <v>165</v>
      </c>
      <c r="M157" s="50">
        <v>135</v>
      </c>
      <c r="N157" s="50">
        <v>144</v>
      </c>
      <c r="O157" s="299">
        <v>152</v>
      </c>
      <c r="P157" s="299">
        <v>168.10815199999999</v>
      </c>
      <c r="Q157" s="299">
        <v>141.70902899999999</v>
      </c>
      <c r="R157" s="299">
        <v>149</v>
      </c>
      <c r="S157" s="299">
        <v>171</v>
      </c>
      <c r="T157" s="299">
        <v>198.28232499999999</v>
      </c>
      <c r="V157" s="172" t="s">
        <v>65</v>
      </c>
      <c r="W157" s="299">
        <v>155.05321000000001</v>
      </c>
    </row>
    <row r="158" spans="2:23" ht="15.75">
      <c r="B158" s="172" t="s">
        <v>562</v>
      </c>
      <c r="C158" s="50">
        <v>0</v>
      </c>
      <c r="D158" s="50">
        <v>0</v>
      </c>
      <c r="E158" s="50">
        <v>0</v>
      </c>
      <c r="F158" s="50">
        <v>0</v>
      </c>
      <c r="G158" s="50">
        <v>0</v>
      </c>
      <c r="H158" s="50">
        <v>0</v>
      </c>
      <c r="I158" s="50">
        <v>0</v>
      </c>
      <c r="J158" s="50">
        <v>0</v>
      </c>
      <c r="K158" s="50">
        <v>0</v>
      </c>
      <c r="L158" s="50">
        <v>0</v>
      </c>
      <c r="M158" s="50">
        <v>0</v>
      </c>
      <c r="N158" s="50">
        <v>0</v>
      </c>
      <c r="O158" s="299">
        <v>0</v>
      </c>
      <c r="P158" s="299">
        <v>0</v>
      </c>
      <c r="Q158" s="299">
        <v>0</v>
      </c>
      <c r="R158" s="299">
        <v>0</v>
      </c>
      <c r="S158" s="299">
        <v>0</v>
      </c>
      <c r="T158" s="299">
        <v>56.267878000000003</v>
      </c>
      <c r="V158" s="172" t="s">
        <v>68</v>
      </c>
      <c r="W158" s="299">
        <v>0</v>
      </c>
    </row>
    <row r="159" spans="2:23" ht="15.75">
      <c r="B159" s="172" t="s">
        <v>625</v>
      </c>
      <c r="C159" s="50">
        <v>0</v>
      </c>
      <c r="D159" s="50">
        <v>0</v>
      </c>
      <c r="E159" s="50">
        <v>0</v>
      </c>
      <c r="F159" s="50">
        <v>0</v>
      </c>
      <c r="G159" s="50">
        <v>0</v>
      </c>
      <c r="H159" s="50">
        <v>0</v>
      </c>
      <c r="I159" s="50">
        <v>0</v>
      </c>
      <c r="J159" s="50">
        <v>0</v>
      </c>
      <c r="K159" s="50">
        <v>0</v>
      </c>
      <c r="L159" s="50">
        <v>0</v>
      </c>
      <c r="M159" s="50">
        <v>0</v>
      </c>
      <c r="N159" s="50">
        <v>0</v>
      </c>
      <c r="O159" s="299">
        <v>0</v>
      </c>
      <c r="P159" s="299">
        <v>0</v>
      </c>
      <c r="Q159" s="299">
        <v>0</v>
      </c>
      <c r="R159" s="299">
        <v>0</v>
      </c>
      <c r="S159" s="299">
        <v>0</v>
      </c>
      <c r="T159" s="299">
        <v>0</v>
      </c>
      <c r="V159" s="172" t="s">
        <v>625</v>
      </c>
      <c r="W159" s="299">
        <v>0</v>
      </c>
    </row>
    <row r="160" spans="2:23">
      <c r="B160" s="170" t="s">
        <v>563</v>
      </c>
      <c r="C160" s="175">
        <f t="shared" ref="C160:N160" si="17">SUM(C152:C159)</f>
        <v>34295</v>
      </c>
      <c r="D160" s="175">
        <f t="shared" si="17"/>
        <v>41526</v>
      </c>
      <c r="E160" s="175">
        <f t="shared" si="17"/>
        <v>35278</v>
      </c>
      <c r="F160" s="175">
        <f t="shared" si="17"/>
        <v>36907</v>
      </c>
      <c r="G160" s="175">
        <f t="shared" si="17"/>
        <v>37189</v>
      </c>
      <c r="H160" s="175">
        <f t="shared" si="17"/>
        <v>39077</v>
      </c>
      <c r="I160" s="175">
        <f t="shared" si="17"/>
        <v>37365</v>
      </c>
      <c r="J160" s="175">
        <f t="shared" si="17"/>
        <v>41149</v>
      </c>
      <c r="K160" s="175">
        <f t="shared" si="17"/>
        <v>41718</v>
      </c>
      <c r="L160" s="175">
        <f t="shared" si="17"/>
        <v>44668</v>
      </c>
      <c r="M160" s="175">
        <f t="shared" si="17"/>
        <v>44689</v>
      </c>
      <c r="N160" s="175">
        <f t="shared" si="17"/>
        <v>44507</v>
      </c>
      <c r="O160" s="213">
        <v>47050</v>
      </c>
      <c r="P160" s="213">
        <f>SUM(P152:P159)</f>
        <v>50602.506416999997</v>
      </c>
      <c r="Q160" s="213">
        <f>SUM(Q152:Q159)</f>
        <v>25999.936260999999</v>
      </c>
      <c r="R160" s="213">
        <v>28964</v>
      </c>
      <c r="S160" s="213">
        <v>32602</v>
      </c>
      <c r="T160" s="213">
        <v>35394.829471999998</v>
      </c>
      <c r="V160" s="170" t="s">
        <v>70</v>
      </c>
      <c r="W160" s="817">
        <v>42186.614993999996</v>
      </c>
    </row>
    <row r="161" spans="2:23">
      <c r="B161" s="179" t="s">
        <v>564</v>
      </c>
      <c r="C161" s="180"/>
      <c r="D161" s="180"/>
      <c r="E161" s="180"/>
      <c r="F161" s="180"/>
      <c r="G161" s="180"/>
      <c r="H161" s="180"/>
      <c r="I161" s="180"/>
      <c r="J161" s="180"/>
      <c r="K161" s="180"/>
      <c r="L161" s="180"/>
      <c r="M161" s="180"/>
      <c r="N161" s="180"/>
      <c r="O161" s="217"/>
      <c r="P161" s="217"/>
      <c r="Q161" s="217"/>
      <c r="R161" s="217"/>
      <c r="S161" s="217"/>
      <c r="T161" s="753"/>
      <c r="V161" s="179" t="s">
        <v>71</v>
      </c>
      <c r="W161" s="820"/>
    </row>
    <row r="162" spans="2:23" ht="15.75">
      <c r="B162" s="172" t="s">
        <v>557</v>
      </c>
      <c r="C162" s="50">
        <v>128683</v>
      </c>
      <c r="D162" s="50">
        <v>102848</v>
      </c>
      <c r="E162" s="50">
        <v>96132</v>
      </c>
      <c r="F162" s="50">
        <v>96612</v>
      </c>
      <c r="G162" s="50">
        <v>82198</v>
      </c>
      <c r="H162" s="50">
        <v>83008</v>
      </c>
      <c r="I162" s="50">
        <v>71740</v>
      </c>
      <c r="J162" s="50">
        <v>73944</v>
      </c>
      <c r="K162" s="50">
        <v>57213</v>
      </c>
      <c r="L162" s="50">
        <v>57708</v>
      </c>
      <c r="M162" s="50">
        <v>42853</v>
      </c>
      <c r="N162" s="50">
        <v>43289</v>
      </c>
      <c r="O162" s="299">
        <v>23745</v>
      </c>
      <c r="P162" s="299">
        <v>25209.750968</v>
      </c>
      <c r="Q162" s="299">
        <v>42481.993174000003</v>
      </c>
      <c r="R162" s="299">
        <v>60079</v>
      </c>
      <c r="S162" s="299">
        <v>51268</v>
      </c>
      <c r="T162" s="299">
        <v>52757.632638000003</v>
      </c>
      <c r="V162" s="172" t="s">
        <v>63</v>
      </c>
      <c r="W162" s="299">
        <v>24950.447708</v>
      </c>
    </row>
    <row r="163" spans="2:23" ht="15.75">
      <c r="B163" s="172" t="s">
        <v>558</v>
      </c>
      <c r="C163" s="50">
        <v>29057</v>
      </c>
      <c r="D163" s="50">
        <v>26050</v>
      </c>
      <c r="E163" s="50">
        <v>26984</v>
      </c>
      <c r="F163" s="50">
        <v>24808</v>
      </c>
      <c r="G163" s="50">
        <v>22565</v>
      </c>
      <c r="H163" s="50">
        <v>21037</v>
      </c>
      <c r="I163" s="50">
        <v>21865</v>
      </c>
      <c r="J163" s="50">
        <v>19379</v>
      </c>
      <c r="K163" s="50">
        <v>16631</v>
      </c>
      <c r="L163" s="50">
        <v>17348</v>
      </c>
      <c r="M163" s="50">
        <v>18100</v>
      </c>
      <c r="N163" s="50">
        <v>15420</v>
      </c>
      <c r="O163" s="299">
        <v>12309</v>
      </c>
      <c r="P163" s="299">
        <v>12713.751821</v>
      </c>
      <c r="Q163" s="299">
        <f>13702.809773+50.631804</f>
        <v>13753.441577000001</v>
      </c>
      <c r="R163" s="299">
        <v>10343</v>
      </c>
      <c r="S163" s="299">
        <v>6826</v>
      </c>
      <c r="T163" s="299">
        <v>7375.1703369999996</v>
      </c>
      <c r="V163" s="172" t="s">
        <v>64</v>
      </c>
      <c r="W163" s="299">
        <v>32.537106999999999</v>
      </c>
    </row>
    <row r="164" spans="2:23" ht="15.75">
      <c r="B164" s="172" t="s">
        <v>565</v>
      </c>
      <c r="C164" s="50">
        <v>0</v>
      </c>
      <c r="D164" s="50">
        <v>0</v>
      </c>
      <c r="E164" s="50">
        <v>0</v>
      </c>
      <c r="F164" s="50">
        <v>0</v>
      </c>
      <c r="G164" s="50">
        <v>0</v>
      </c>
      <c r="H164" s="50">
        <v>0</v>
      </c>
      <c r="I164" s="50">
        <v>0</v>
      </c>
      <c r="J164" s="50">
        <v>0</v>
      </c>
      <c r="K164" s="50">
        <v>0</v>
      </c>
      <c r="L164" s="50">
        <v>0</v>
      </c>
      <c r="M164" s="50">
        <v>0</v>
      </c>
      <c r="N164" s="50">
        <v>0</v>
      </c>
      <c r="O164" s="299">
        <v>0</v>
      </c>
      <c r="P164" s="299">
        <v>0</v>
      </c>
      <c r="Q164" s="299">
        <v>0</v>
      </c>
      <c r="R164" s="299">
        <v>0</v>
      </c>
      <c r="S164" s="299">
        <v>0</v>
      </c>
      <c r="T164" s="299">
        <v>0</v>
      </c>
      <c r="V164" s="172" t="s">
        <v>72</v>
      </c>
      <c r="W164" s="299">
        <v>0</v>
      </c>
    </row>
    <row r="165" spans="2:23" ht="15.75">
      <c r="B165" s="172" t="s">
        <v>559</v>
      </c>
      <c r="C165" s="50">
        <v>0</v>
      </c>
      <c r="D165" s="50">
        <v>0</v>
      </c>
      <c r="E165" s="50">
        <v>0</v>
      </c>
      <c r="F165" s="50">
        <v>0</v>
      </c>
      <c r="G165" s="50">
        <v>0</v>
      </c>
      <c r="H165" s="50">
        <v>0</v>
      </c>
      <c r="I165" s="50">
        <v>0</v>
      </c>
      <c r="J165" s="50">
        <v>0</v>
      </c>
      <c r="K165" s="50">
        <v>0</v>
      </c>
      <c r="L165" s="50">
        <v>0</v>
      </c>
      <c r="M165" s="50">
        <v>0</v>
      </c>
      <c r="N165" s="50">
        <v>0</v>
      </c>
      <c r="O165" s="299">
        <v>0</v>
      </c>
      <c r="P165" s="299">
        <v>0</v>
      </c>
      <c r="Q165" s="299">
        <v>0</v>
      </c>
      <c r="R165" s="299">
        <v>0</v>
      </c>
      <c r="S165" s="299">
        <v>0</v>
      </c>
      <c r="T165" s="299">
        <v>0</v>
      </c>
      <c r="V165" s="172" t="s">
        <v>66</v>
      </c>
      <c r="W165" s="299">
        <v>0</v>
      </c>
    </row>
    <row r="166" spans="2:23" ht="15.75">
      <c r="B166" s="172" t="s">
        <v>560</v>
      </c>
      <c r="C166" s="50">
        <v>0</v>
      </c>
      <c r="D166" s="50">
        <v>0</v>
      </c>
      <c r="E166" s="50">
        <v>0</v>
      </c>
      <c r="F166" s="50">
        <v>0</v>
      </c>
      <c r="G166" s="50">
        <v>0</v>
      </c>
      <c r="H166" s="50">
        <v>0</v>
      </c>
      <c r="I166" s="50">
        <v>0</v>
      </c>
      <c r="J166" s="50">
        <v>0</v>
      </c>
      <c r="K166" s="50">
        <v>0</v>
      </c>
      <c r="L166" s="50">
        <v>0</v>
      </c>
      <c r="M166" s="50">
        <v>0</v>
      </c>
      <c r="N166" s="50">
        <v>0</v>
      </c>
      <c r="O166" s="299">
        <v>0</v>
      </c>
      <c r="P166" s="299">
        <v>0</v>
      </c>
      <c r="Q166" s="299">
        <v>0</v>
      </c>
      <c r="R166" s="299">
        <v>0</v>
      </c>
      <c r="S166" s="299">
        <v>0</v>
      </c>
      <c r="T166" s="299">
        <v>0</v>
      </c>
      <c r="V166" s="172" t="s">
        <v>67</v>
      </c>
      <c r="W166" s="299">
        <v>0</v>
      </c>
    </row>
    <row r="167" spans="2:23" ht="15.75">
      <c r="B167" s="172" t="s">
        <v>562</v>
      </c>
      <c r="C167" s="50">
        <v>0</v>
      </c>
      <c r="D167" s="50">
        <v>0</v>
      </c>
      <c r="E167" s="50">
        <v>0</v>
      </c>
      <c r="F167" s="50">
        <v>0</v>
      </c>
      <c r="G167" s="50">
        <v>0</v>
      </c>
      <c r="H167" s="50">
        <v>0</v>
      </c>
      <c r="I167" s="50">
        <v>0</v>
      </c>
      <c r="J167" s="50">
        <v>0</v>
      </c>
      <c r="K167" s="50">
        <v>0</v>
      </c>
      <c r="L167" s="50">
        <v>0</v>
      </c>
      <c r="M167" s="50">
        <v>0</v>
      </c>
      <c r="N167" s="50">
        <v>0</v>
      </c>
      <c r="O167" s="299">
        <v>0</v>
      </c>
      <c r="P167" s="299">
        <v>0</v>
      </c>
      <c r="Q167" s="299">
        <v>0</v>
      </c>
      <c r="R167" s="299">
        <v>0</v>
      </c>
      <c r="S167" s="299">
        <v>0</v>
      </c>
      <c r="T167" s="299">
        <v>0</v>
      </c>
      <c r="V167" s="172" t="s">
        <v>68</v>
      </c>
      <c r="W167" s="299">
        <v>0</v>
      </c>
    </row>
    <row r="168" spans="2:23" ht="15.75">
      <c r="B168" s="172" t="s">
        <v>566</v>
      </c>
      <c r="C168" s="50">
        <v>0</v>
      </c>
      <c r="D168" s="50">
        <v>0</v>
      </c>
      <c r="E168" s="50">
        <v>0</v>
      </c>
      <c r="F168" s="50">
        <v>0</v>
      </c>
      <c r="G168" s="50">
        <v>0</v>
      </c>
      <c r="H168" s="50">
        <v>0</v>
      </c>
      <c r="I168" s="50">
        <v>0</v>
      </c>
      <c r="J168" s="50">
        <v>0</v>
      </c>
      <c r="K168" s="50">
        <v>0</v>
      </c>
      <c r="L168" s="50">
        <v>0</v>
      </c>
      <c r="M168" s="50">
        <v>0</v>
      </c>
      <c r="N168" s="50">
        <v>0</v>
      </c>
      <c r="O168" s="299">
        <v>0</v>
      </c>
      <c r="P168" s="299">
        <v>0</v>
      </c>
      <c r="Q168" s="299">
        <v>0</v>
      </c>
      <c r="R168" s="299">
        <v>0</v>
      </c>
      <c r="S168" s="299">
        <v>0</v>
      </c>
      <c r="T168" s="299">
        <v>0</v>
      </c>
      <c r="V168" s="172" t="s">
        <v>97</v>
      </c>
      <c r="W168" s="299">
        <v>0</v>
      </c>
    </row>
    <row r="169" spans="2:23">
      <c r="B169" s="170" t="s">
        <v>567</v>
      </c>
      <c r="C169" s="175">
        <f t="shared" ref="C169:N169" si="18">SUM(C162:C168)</f>
        <v>157740</v>
      </c>
      <c r="D169" s="175">
        <f t="shared" si="18"/>
        <v>128898</v>
      </c>
      <c r="E169" s="175">
        <f t="shared" si="18"/>
        <v>123116</v>
      </c>
      <c r="F169" s="175">
        <f t="shared" si="18"/>
        <v>121420</v>
      </c>
      <c r="G169" s="175">
        <f t="shared" si="18"/>
        <v>104763</v>
      </c>
      <c r="H169" s="175">
        <f t="shared" si="18"/>
        <v>104045</v>
      </c>
      <c r="I169" s="175">
        <f t="shared" si="18"/>
        <v>93605</v>
      </c>
      <c r="J169" s="175">
        <f t="shared" si="18"/>
        <v>93323</v>
      </c>
      <c r="K169" s="175">
        <f t="shared" si="18"/>
        <v>73844</v>
      </c>
      <c r="L169" s="175">
        <f t="shared" si="18"/>
        <v>75056</v>
      </c>
      <c r="M169" s="175">
        <f t="shared" si="18"/>
        <v>60953</v>
      </c>
      <c r="N169" s="175">
        <f t="shared" si="18"/>
        <v>58709</v>
      </c>
      <c r="O169" s="213">
        <v>36054</v>
      </c>
      <c r="P169" s="213">
        <f>SUM(P162:P168)</f>
        <v>37923.502788999998</v>
      </c>
      <c r="Q169" s="213">
        <f>SUM(Q162:Q168)</f>
        <v>56235.434751000008</v>
      </c>
      <c r="R169" s="213">
        <v>70422</v>
      </c>
      <c r="S169" s="213">
        <v>58094</v>
      </c>
      <c r="T169" s="213">
        <v>60132.802974999999</v>
      </c>
      <c r="V169" s="170" t="s">
        <v>73</v>
      </c>
      <c r="W169" s="817">
        <v>24982.984815</v>
      </c>
    </row>
    <row r="170" spans="2:23">
      <c r="B170" s="173" t="s">
        <v>568</v>
      </c>
      <c r="C170" s="174">
        <f t="shared" ref="C170:N170" si="19">+C160+C169</f>
        <v>192035</v>
      </c>
      <c r="D170" s="174">
        <f t="shared" si="19"/>
        <v>170424</v>
      </c>
      <c r="E170" s="174">
        <f t="shared" si="19"/>
        <v>158394</v>
      </c>
      <c r="F170" s="174">
        <f t="shared" si="19"/>
        <v>158327</v>
      </c>
      <c r="G170" s="174">
        <f t="shared" si="19"/>
        <v>141952</v>
      </c>
      <c r="H170" s="174">
        <f t="shared" si="19"/>
        <v>143122</v>
      </c>
      <c r="I170" s="174">
        <f t="shared" si="19"/>
        <v>130970</v>
      </c>
      <c r="J170" s="174">
        <f t="shared" si="19"/>
        <v>134472</v>
      </c>
      <c r="K170" s="174">
        <f t="shared" si="19"/>
        <v>115562</v>
      </c>
      <c r="L170" s="174">
        <f t="shared" si="19"/>
        <v>119724</v>
      </c>
      <c r="M170" s="174">
        <f t="shared" si="19"/>
        <v>105642</v>
      </c>
      <c r="N170" s="174">
        <f t="shared" si="19"/>
        <v>103216</v>
      </c>
      <c r="O170" s="212">
        <v>83104</v>
      </c>
      <c r="P170" s="212">
        <f>+P160+P169</f>
        <v>88526.009205999988</v>
      </c>
      <c r="Q170" s="212">
        <f>+Q160+Q169</f>
        <v>82235.371012000003</v>
      </c>
      <c r="R170" s="212">
        <v>99386</v>
      </c>
      <c r="S170" s="212">
        <v>90696</v>
      </c>
      <c r="T170" s="212">
        <v>95527.632446999996</v>
      </c>
      <c r="V170" s="173" t="s">
        <v>74</v>
      </c>
      <c r="W170" s="815">
        <v>67169.599808999992</v>
      </c>
    </row>
    <row r="171" spans="2:23">
      <c r="B171" s="145"/>
      <c r="C171" s="143"/>
      <c r="D171" s="143"/>
      <c r="E171" s="143"/>
      <c r="F171" s="143"/>
      <c r="G171" s="143"/>
      <c r="H171" s="143"/>
      <c r="I171" s="143"/>
      <c r="J171" s="143"/>
      <c r="K171" s="143"/>
      <c r="L171" s="143"/>
      <c r="M171" s="143"/>
      <c r="N171" s="143"/>
      <c r="O171" s="214"/>
      <c r="P171" s="214"/>
      <c r="Q171" s="214"/>
      <c r="R171" s="214"/>
      <c r="S171" s="214">
        <v>0</v>
      </c>
      <c r="T171" s="749"/>
      <c r="V171" s="145"/>
      <c r="W171" s="821"/>
    </row>
    <row r="172" spans="2:23">
      <c r="B172" s="179" t="s">
        <v>569</v>
      </c>
      <c r="C172" s="180"/>
      <c r="D172" s="180"/>
      <c r="E172" s="180"/>
      <c r="F172" s="180"/>
      <c r="G172" s="180"/>
      <c r="H172" s="180"/>
      <c r="I172" s="180"/>
      <c r="J172" s="180"/>
      <c r="K172" s="180"/>
      <c r="L172" s="180"/>
      <c r="M172" s="180"/>
      <c r="N172" s="180"/>
      <c r="O172" s="217"/>
      <c r="P172" s="217"/>
      <c r="Q172" s="217"/>
      <c r="R172" s="217"/>
      <c r="S172" s="217"/>
      <c r="T172" s="753"/>
      <c r="V172" s="179" t="s">
        <v>75</v>
      </c>
      <c r="W172" s="820"/>
    </row>
    <row r="173" spans="2:23" ht="15.75">
      <c r="B173" s="172" t="s">
        <v>570</v>
      </c>
      <c r="C173" s="50">
        <v>48963</v>
      </c>
      <c r="D173" s="50">
        <v>48963</v>
      </c>
      <c r="E173" s="50">
        <v>48963</v>
      </c>
      <c r="F173" s="50">
        <v>48963</v>
      </c>
      <c r="G173" s="50">
        <v>48963</v>
      </c>
      <c r="H173" s="50">
        <v>48963</v>
      </c>
      <c r="I173" s="50">
        <v>48963</v>
      </c>
      <c r="J173" s="50">
        <v>48963</v>
      </c>
      <c r="K173" s="50">
        <v>48963</v>
      </c>
      <c r="L173" s="50">
        <v>48963</v>
      </c>
      <c r="M173" s="50">
        <v>48963</v>
      </c>
      <c r="N173" s="50">
        <v>48963</v>
      </c>
      <c r="O173" s="299">
        <v>48963</v>
      </c>
      <c r="P173" s="299">
        <v>48962.667104</v>
      </c>
      <c r="Q173" s="299">
        <v>48962.667104</v>
      </c>
      <c r="R173" s="299">
        <v>48962.667104</v>
      </c>
      <c r="S173" s="299">
        <v>48962.667104</v>
      </c>
      <c r="T173" s="299">
        <v>48962.667104</v>
      </c>
      <c r="V173" s="172" t="s">
        <v>76</v>
      </c>
      <c r="W173" s="299">
        <v>48962.667104</v>
      </c>
    </row>
    <row r="174" spans="2:23" ht="15.75">
      <c r="B174" s="172" t="s">
        <v>571</v>
      </c>
      <c r="C174" s="50">
        <v>0</v>
      </c>
      <c r="D174" s="50">
        <v>0</v>
      </c>
      <c r="E174" s="50">
        <v>0</v>
      </c>
      <c r="F174" s="50">
        <v>0</v>
      </c>
      <c r="G174" s="50">
        <v>0</v>
      </c>
      <c r="H174" s="50">
        <v>0</v>
      </c>
      <c r="I174" s="50">
        <v>0</v>
      </c>
      <c r="J174" s="50">
        <v>0</v>
      </c>
      <c r="K174" s="50">
        <v>0</v>
      </c>
      <c r="L174" s="50">
        <v>0</v>
      </c>
      <c r="M174" s="50">
        <v>0</v>
      </c>
      <c r="N174" s="50">
        <v>0</v>
      </c>
      <c r="O174" s="299">
        <v>0</v>
      </c>
      <c r="P174" s="299">
        <v>0</v>
      </c>
      <c r="Q174" s="299">
        <v>0</v>
      </c>
      <c r="R174" s="299">
        <v>0</v>
      </c>
      <c r="S174" s="299">
        <v>0</v>
      </c>
      <c r="T174" s="299">
        <v>0</v>
      </c>
      <c r="V174" s="172" t="s">
        <v>77</v>
      </c>
      <c r="W174" s="299">
        <v>0</v>
      </c>
    </row>
    <row r="175" spans="2:23" ht="15.75">
      <c r="B175" s="172" t="s">
        <v>572</v>
      </c>
      <c r="C175" s="50">
        <v>0</v>
      </c>
      <c r="D175" s="50">
        <v>0</v>
      </c>
      <c r="E175" s="50">
        <v>0</v>
      </c>
      <c r="F175" s="50">
        <v>0</v>
      </c>
      <c r="G175" s="50">
        <v>0</v>
      </c>
      <c r="H175" s="50">
        <v>0</v>
      </c>
      <c r="I175" s="50">
        <v>0</v>
      </c>
      <c r="J175" s="50">
        <v>0</v>
      </c>
      <c r="K175" s="50">
        <v>0</v>
      </c>
      <c r="L175" s="50">
        <v>0</v>
      </c>
      <c r="M175" s="50">
        <v>0</v>
      </c>
      <c r="N175" s="50">
        <v>0</v>
      </c>
      <c r="O175" s="299">
        <v>0</v>
      </c>
      <c r="P175" s="299">
        <v>0</v>
      </c>
      <c r="Q175" s="299">
        <v>0</v>
      </c>
      <c r="R175" s="299">
        <v>0</v>
      </c>
      <c r="S175" s="299">
        <v>0</v>
      </c>
      <c r="T175" s="299">
        <v>0</v>
      </c>
      <c r="V175" s="172" t="s">
        <v>78</v>
      </c>
      <c r="W175" s="299">
        <v>0</v>
      </c>
    </row>
    <row r="176" spans="2:23" ht="15.75">
      <c r="B176" s="172" t="s">
        <v>573</v>
      </c>
      <c r="C176" s="50">
        <v>16995</v>
      </c>
      <c r="D176" s="50">
        <v>24123</v>
      </c>
      <c r="E176" s="50">
        <v>30598</v>
      </c>
      <c r="F176" s="50">
        <v>30598</v>
      </c>
      <c r="G176" s="50">
        <v>30598</v>
      </c>
      <c r="H176" s="50">
        <v>30598</v>
      </c>
      <c r="I176" s="50">
        <v>36648</v>
      </c>
      <c r="J176" s="50">
        <v>28350</v>
      </c>
      <c r="K176" s="50">
        <v>28350</v>
      </c>
      <c r="L176" s="50">
        <v>28350</v>
      </c>
      <c r="M176" s="50">
        <v>35436</v>
      </c>
      <c r="N176" s="50">
        <v>35436</v>
      </c>
      <c r="O176" s="299">
        <v>35436</v>
      </c>
      <c r="P176" s="299">
        <v>35436.462811999998</v>
      </c>
      <c r="Q176" s="299">
        <v>39921.578642</v>
      </c>
      <c r="R176" s="299">
        <v>10335</v>
      </c>
      <c r="S176" s="299">
        <v>10335</v>
      </c>
      <c r="T176" s="299">
        <v>10335.008642000001</v>
      </c>
      <c r="V176" s="172" t="s">
        <v>79</v>
      </c>
      <c r="W176" s="299">
        <v>17192.759785999999</v>
      </c>
    </row>
    <row r="177" spans="2:23" ht="15.75">
      <c r="B177" s="172" t="s">
        <v>574</v>
      </c>
      <c r="C177" s="50">
        <v>7128</v>
      </c>
      <c r="D177" s="50">
        <v>6475</v>
      </c>
      <c r="E177" s="50">
        <v>1679</v>
      </c>
      <c r="F177" s="50">
        <v>3109</v>
      </c>
      <c r="G177" s="50">
        <v>4497</v>
      </c>
      <c r="H177" s="50">
        <v>6049</v>
      </c>
      <c r="I177" s="50">
        <v>1548</v>
      </c>
      <c r="J177" s="50">
        <v>3760</v>
      </c>
      <c r="K177" s="50">
        <v>5455</v>
      </c>
      <c r="L177" s="50">
        <v>7086</v>
      </c>
      <c r="M177" s="50">
        <v>1550</v>
      </c>
      <c r="N177" s="50">
        <v>2549</v>
      </c>
      <c r="O177" s="299">
        <v>3205</v>
      </c>
      <c r="P177" s="299">
        <v>4485.1158299999997</v>
      </c>
      <c r="Q177" s="299">
        <v>1022.546861</v>
      </c>
      <c r="R177" s="299">
        <v>2823</v>
      </c>
      <c r="S177" s="299">
        <v>5028</v>
      </c>
      <c r="T177" s="299">
        <v>7437.8651440000003</v>
      </c>
      <c r="V177" s="172" t="s">
        <v>80</v>
      </c>
      <c r="W177" s="299">
        <v>1052.0275019999999</v>
      </c>
    </row>
    <row r="178" spans="2:23" ht="15.75">
      <c r="B178" s="172" t="s">
        <v>575</v>
      </c>
      <c r="C178" s="50">
        <v>0</v>
      </c>
      <c r="D178" s="50">
        <v>0</v>
      </c>
      <c r="E178" s="50">
        <v>0</v>
      </c>
      <c r="F178" s="50">
        <v>0</v>
      </c>
      <c r="G178" s="50">
        <v>0</v>
      </c>
      <c r="H178" s="50">
        <v>0</v>
      </c>
      <c r="I178" s="50">
        <v>0</v>
      </c>
      <c r="J178" s="50">
        <v>0</v>
      </c>
      <c r="K178" s="50">
        <v>0</v>
      </c>
      <c r="L178" s="50">
        <v>0</v>
      </c>
      <c r="M178" s="50">
        <v>0</v>
      </c>
      <c r="N178" s="50">
        <v>0</v>
      </c>
      <c r="O178" s="299">
        <v>0</v>
      </c>
      <c r="P178" s="299">
        <v>0</v>
      </c>
      <c r="Q178" s="299">
        <v>0</v>
      </c>
      <c r="R178" s="299">
        <v>0</v>
      </c>
      <c r="S178" s="299">
        <v>0</v>
      </c>
      <c r="T178" s="299">
        <v>0</v>
      </c>
      <c r="V178" s="172" t="s">
        <v>81</v>
      </c>
      <c r="W178" s="299">
        <v>0</v>
      </c>
    </row>
    <row r="179" spans="2:23">
      <c r="B179" s="170" t="s">
        <v>576</v>
      </c>
      <c r="C179" s="175">
        <f t="shared" ref="C179:N179" si="20">SUM(C173:C178)</f>
        <v>73086</v>
      </c>
      <c r="D179" s="175">
        <f t="shared" si="20"/>
        <v>79561</v>
      </c>
      <c r="E179" s="175">
        <f t="shared" si="20"/>
        <v>81240</v>
      </c>
      <c r="F179" s="175">
        <f t="shared" si="20"/>
        <v>82670</v>
      </c>
      <c r="G179" s="175">
        <f t="shared" si="20"/>
        <v>84058</v>
      </c>
      <c r="H179" s="175">
        <f t="shared" si="20"/>
        <v>85610</v>
      </c>
      <c r="I179" s="175">
        <f t="shared" si="20"/>
        <v>87159</v>
      </c>
      <c r="J179" s="175">
        <f t="shared" si="20"/>
        <v>81073</v>
      </c>
      <c r="K179" s="175">
        <f t="shared" si="20"/>
        <v>82768</v>
      </c>
      <c r="L179" s="175">
        <f t="shared" si="20"/>
        <v>84399</v>
      </c>
      <c r="M179" s="175">
        <f t="shared" si="20"/>
        <v>85949</v>
      </c>
      <c r="N179" s="175">
        <f t="shared" si="20"/>
        <v>86948</v>
      </c>
      <c r="O179" s="213">
        <v>87604</v>
      </c>
      <c r="P179" s="213">
        <f>SUM(P173:P178)</f>
        <v>88884.245746000001</v>
      </c>
      <c r="Q179" s="213">
        <f>SUM(Q173:Q178)</f>
        <v>89906.792606999996</v>
      </c>
      <c r="R179" s="213">
        <v>62120.667104</v>
      </c>
      <c r="S179" s="213">
        <v>64325.667104</v>
      </c>
      <c r="T179" s="213">
        <v>66735.540890000004</v>
      </c>
      <c r="V179" s="170" t="s">
        <v>84</v>
      </c>
      <c r="W179" s="817">
        <v>67207.454392</v>
      </c>
    </row>
    <row r="180" spans="2:23">
      <c r="B180" s="173" t="s">
        <v>577</v>
      </c>
      <c r="C180" s="174">
        <f t="shared" ref="C180:N180" si="21">+C170+C179</f>
        <v>265121</v>
      </c>
      <c r="D180" s="174">
        <f t="shared" si="21"/>
        <v>249985</v>
      </c>
      <c r="E180" s="174">
        <f t="shared" si="21"/>
        <v>239634</v>
      </c>
      <c r="F180" s="174">
        <f t="shared" si="21"/>
        <v>240997</v>
      </c>
      <c r="G180" s="174">
        <f t="shared" si="21"/>
        <v>226010</v>
      </c>
      <c r="H180" s="174">
        <f t="shared" si="21"/>
        <v>228732</v>
      </c>
      <c r="I180" s="174">
        <f t="shared" si="21"/>
        <v>218129</v>
      </c>
      <c r="J180" s="174">
        <f t="shared" si="21"/>
        <v>215545</v>
      </c>
      <c r="K180" s="174">
        <f t="shared" si="21"/>
        <v>198330</v>
      </c>
      <c r="L180" s="174">
        <f t="shared" si="21"/>
        <v>204123</v>
      </c>
      <c r="M180" s="174">
        <f t="shared" si="21"/>
        <v>191591</v>
      </c>
      <c r="N180" s="174">
        <f t="shared" si="21"/>
        <v>190164</v>
      </c>
      <c r="O180" s="212">
        <v>170708</v>
      </c>
      <c r="P180" s="212">
        <f>+P170+P179</f>
        <v>177410.25495199999</v>
      </c>
      <c r="Q180" s="212">
        <f>+Q170+Q179</f>
        <v>172142.163619</v>
      </c>
      <c r="R180" s="212">
        <v>161506.66710399999</v>
      </c>
      <c r="S180" s="212">
        <v>155021.66710399999</v>
      </c>
      <c r="T180" s="212">
        <v>162263.17333700001</v>
      </c>
      <c r="V180" s="173" t="s">
        <v>85</v>
      </c>
      <c r="W180" s="815">
        <v>134377.05420099999</v>
      </c>
    </row>
    <row r="181" spans="2:23" ht="15.75">
      <c r="B181" s="185"/>
      <c r="C181" s="189">
        <f>+C180-C148</f>
        <v>0</v>
      </c>
      <c r="D181" s="189">
        <f>+D180-D148</f>
        <v>0</v>
      </c>
      <c r="E181" s="189">
        <f t="shared" ref="E181:K181" si="22">+E180-E148</f>
        <v>0</v>
      </c>
      <c r="F181" s="189">
        <f t="shared" si="22"/>
        <v>0</v>
      </c>
      <c r="G181" s="189">
        <f t="shared" si="22"/>
        <v>0</v>
      </c>
      <c r="H181" s="189">
        <f t="shared" si="22"/>
        <v>0</v>
      </c>
      <c r="I181" s="189">
        <f t="shared" si="22"/>
        <v>0</v>
      </c>
      <c r="J181" s="189">
        <f t="shared" si="22"/>
        <v>0</v>
      </c>
      <c r="K181" s="189">
        <f t="shared" si="22"/>
        <v>0</v>
      </c>
      <c r="L181" s="189">
        <f>+L180-L148</f>
        <v>0</v>
      </c>
      <c r="M181" s="189">
        <f>+M180-M148</f>
        <v>0</v>
      </c>
      <c r="N181" s="189">
        <f t="shared" ref="N181" si="23">+N180-N148</f>
        <v>0</v>
      </c>
      <c r="O181" s="305"/>
      <c r="P181" s="135"/>
      <c r="Q181" s="135"/>
      <c r="R181" s="135"/>
      <c r="T181" s="744"/>
    </row>
    <row r="182" spans="2:23" ht="15.75">
      <c r="O182" s="302"/>
      <c r="P182" s="135"/>
      <c r="Q182" s="135"/>
      <c r="R182" s="135"/>
      <c r="T182" s="744"/>
    </row>
    <row r="183" spans="2:23" ht="15.75">
      <c r="B183" s="165" t="s">
        <v>479</v>
      </c>
      <c r="C183" s="75"/>
      <c r="D183" s="75"/>
      <c r="E183" s="76"/>
      <c r="F183" s="75"/>
      <c r="G183" s="75"/>
      <c r="H183" s="75"/>
      <c r="I183" s="76"/>
      <c r="J183" s="75"/>
      <c r="K183" s="75"/>
      <c r="L183" s="75"/>
      <c r="M183" s="76"/>
      <c r="N183" s="75"/>
      <c r="O183" s="75"/>
      <c r="P183" s="135"/>
      <c r="Q183" s="135"/>
      <c r="R183" s="135"/>
      <c r="T183" s="744"/>
    </row>
    <row r="184" spans="2:23" ht="15.75">
      <c r="B184" s="99" t="s">
        <v>515</v>
      </c>
      <c r="C184" s="5"/>
      <c r="D184" s="5"/>
      <c r="E184" s="5"/>
      <c r="F184" s="5"/>
      <c r="G184" s="5"/>
      <c r="H184" s="5"/>
      <c r="I184" s="5"/>
      <c r="J184" s="5"/>
      <c r="K184" s="5"/>
      <c r="L184" s="5"/>
      <c r="M184" s="5"/>
      <c r="N184" s="5"/>
      <c r="O184" s="302"/>
      <c r="P184" s="135"/>
      <c r="Q184" s="135"/>
      <c r="R184" s="135"/>
      <c r="T184" s="744"/>
    </row>
    <row r="185" spans="2:23" ht="9" customHeight="1">
      <c r="B185" s="77"/>
      <c r="C185" s="77"/>
      <c r="D185" s="77"/>
      <c r="E185" s="77"/>
      <c r="F185" s="77"/>
      <c r="G185" s="77"/>
      <c r="H185" s="77"/>
      <c r="I185" s="77"/>
      <c r="J185" s="77"/>
      <c r="K185" s="77"/>
      <c r="L185" s="77"/>
      <c r="M185" s="77"/>
      <c r="N185" s="77"/>
      <c r="O185" s="77"/>
      <c r="P185" s="135"/>
      <c r="Q185" s="135"/>
      <c r="R185" s="135"/>
      <c r="T185" s="744"/>
    </row>
    <row r="186" spans="2:23">
      <c r="B186" s="78"/>
      <c r="C186" s="79">
        <v>2016</v>
      </c>
      <c r="D186" s="79">
        <v>2017</v>
      </c>
      <c r="E186" s="79" t="s">
        <v>578</v>
      </c>
      <c r="F186" s="79" t="s">
        <v>579</v>
      </c>
      <c r="G186" s="79" t="s">
        <v>580</v>
      </c>
      <c r="H186" s="79" t="s">
        <v>581</v>
      </c>
      <c r="I186" s="79" t="s">
        <v>582</v>
      </c>
      <c r="J186" s="79" t="s">
        <v>583</v>
      </c>
      <c r="K186" s="79" t="s">
        <v>584</v>
      </c>
      <c r="L186" s="79" t="s">
        <v>585</v>
      </c>
      <c r="M186" s="79" t="s">
        <v>11</v>
      </c>
      <c r="N186" s="79" t="s">
        <v>12</v>
      </c>
      <c r="O186" s="208" t="s">
        <v>626</v>
      </c>
      <c r="P186" s="387" t="s">
        <v>958</v>
      </c>
      <c r="Q186" s="387" t="s">
        <v>1014</v>
      </c>
      <c r="R186" s="387" t="s">
        <v>1048</v>
      </c>
      <c r="S186" s="387" t="s">
        <v>1187</v>
      </c>
      <c r="T186" s="754" t="s">
        <v>1239</v>
      </c>
      <c r="V186" s="78"/>
      <c r="W186" s="754" t="s">
        <v>1292</v>
      </c>
    </row>
    <row r="187" spans="2:23" ht="10.5" customHeight="1">
      <c r="B187" s="128"/>
      <c r="C187" s="81"/>
      <c r="D187" s="81"/>
      <c r="E187" s="81"/>
      <c r="F187" s="81"/>
      <c r="G187" s="81"/>
      <c r="H187" s="81"/>
      <c r="I187" s="81"/>
      <c r="J187" s="81"/>
      <c r="K187" s="81"/>
      <c r="L187" s="81"/>
      <c r="M187" s="81"/>
      <c r="N187" s="81"/>
      <c r="O187" s="77"/>
      <c r="P187" s="135"/>
      <c r="Q187" s="135"/>
      <c r="R187" s="135"/>
      <c r="T187" s="744"/>
    </row>
    <row r="188" spans="2:23" ht="15.75">
      <c r="B188" s="129" t="s">
        <v>516</v>
      </c>
      <c r="C188" s="13">
        <v>383</v>
      </c>
      <c r="D188" s="13">
        <v>1005</v>
      </c>
      <c r="E188" s="13">
        <v>748</v>
      </c>
      <c r="F188" s="13">
        <v>-38</v>
      </c>
      <c r="G188" s="13">
        <v>197</v>
      </c>
      <c r="H188" s="13">
        <v>724</v>
      </c>
      <c r="I188" s="13">
        <v>419</v>
      </c>
      <c r="J188" s="13">
        <v>864</v>
      </c>
      <c r="K188" s="13">
        <v>1489</v>
      </c>
      <c r="L188" s="13">
        <v>2935</v>
      </c>
      <c r="M188" s="13">
        <v>1315</v>
      </c>
      <c r="N188" s="13">
        <v>-415</v>
      </c>
      <c r="O188" s="285">
        <v>663</v>
      </c>
      <c r="P188" s="285">
        <v>2357.4359569999997</v>
      </c>
      <c r="Q188" s="285">
        <v>8400.3664900000003</v>
      </c>
      <c r="R188" s="285">
        <v>7859.6335099999997</v>
      </c>
      <c r="S188" s="285">
        <v>10250</v>
      </c>
      <c r="T188" s="285">
        <v>13881.071025999998</v>
      </c>
      <c r="V188" s="129" t="s">
        <v>13</v>
      </c>
      <c r="W188" s="285">
        <v>4015.4887669999998</v>
      </c>
    </row>
    <row r="189" spans="2:23" ht="15.75">
      <c r="B189" s="129" t="s">
        <v>517</v>
      </c>
      <c r="C189" s="13">
        <v>339</v>
      </c>
      <c r="D189" s="13">
        <v>890</v>
      </c>
      <c r="E189" s="13">
        <v>662</v>
      </c>
      <c r="F189" s="13">
        <v>-34</v>
      </c>
      <c r="G189" s="13">
        <v>174</v>
      </c>
      <c r="H189" s="13">
        <v>642</v>
      </c>
      <c r="I189" s="13">
        <v>371</v>
      </c>
      <c r="J189" s="13">
        <v>765</v>
      </c>
      <c r="K189" s="13">
        <v>1317</v>
      </c>
      <c r="L189" s="13">
        <v>2597</v>
      </c>
      <c r="M189" s="13">
        <v>1144</v>
      </c>
      <c r="N189" s="13">
        <v>-361</v>
      </c>
      <c r="O189" s="285">
        <v>576</v>
      </c>
      <c r="P189" s="285">
        <v>2049.9443110000002</v>
      </c>
      <c r="Q189" s="285">
        <v>7304.6665130000001</v>
      </c>
      <c r="R189" s="285">
        <v>6834.3334869999999</v>
      </c>
      <c r="S189" s="285">
        <v>8913</v>
      </c>
      <c r="T189" s="285">
        <v>12070.670454999999</v>
      </c>
      <c r="V189" s="129" t="s">
        <v>14</v>
      </c>
      <c r="W189" s="285">
        <v>3491.729362</v>
      </c>
    </row>
    <row r="190" spans="2:23" ht="15.75">
      <c r="B190" s="132" t="s">
        <v>518</v>
      </c>
      <c r="C190" s="15">
        <v>44</v>
      </c>
      <c r="D190" s="15">
        <v>115</v>
      </c>
      <c r="E190" s="15">
        <v>86</v>
      </c>
      <c r="F190" s="15">
        <v>-4</v>
      </c>
      <c r="G190" s="15">
        <v>23</v>
      </c>
      <c r="H190" s="15">
        <v>82</v>
      </c>
      <c r="I190" s="15">
        <v>48</v>
      </c>
      <c r="J190" s="15">
        <v>99</v>
      </c>
      <c r="K190" s="15">
        <v>172</v>
      </c>
      <c r="L190" s="15">
        <v>338</v>
      </c>
      <c r="M190" s="15">
        <v>171</v>
      </c>
      <c r="N190" s="15">
        <v>-54</v>
      </c>
      <c r="O190" s="301">
        <v>87</v>
      </c>
      <c r="P190" s="301">
        <v>307.49164599999949</v>
      </c>
      <c r="Q190" s="301">
        <f>+Q188-Q189</f>
        <v>1095.6999770000002</v>
      </c>
      <c r="R190" s="301">
        <v>1025.3000229999998</v>
      </c>
      <c r="S190" s="301">
        <v>1337</v>
      </c>
      <c r="T190" s="301">
        <v>1810.4005709999983</v>
      </c>
      <c r="V190" s="132" t="s">
        <v>1293</v>
      </c>
      <c r="W190" s="301">
        <v>523.75940499999979</v>
      </c>
    </row>
    <row r="191" spans="2:23" ht="6" customHeight="1">
      <c r="B191" s="129"/>
      <c r="C191" s="13"/>
      <c r="D191" s="13"/>
      <c r="E191" s="13"/>
      <c r="F191" s="13"/>
      <c r="G191" s="13"/>
      <c r="H191" s="13"/>
      <c r="I191" s="13"/>
      <c r="J191" s="13"/>
      <c r="K191" s="13"/>
      <c r="L191" s="13"/>
      <c r="M191" s="13"/>
      <c r="N191" s="13"/>
      <c r="O191" s="285"/>
      <c r="P191" s="285"/>
      <c r="Q191" s="285"/>
      <c r="R191" s="285"/>
      <c r="S191" s="285">
        <v>0</v>
      </c>
      <c r="T191" s="285"/>
      <c r="V191" s="744"/>
      <c r="W191" s="285"/>
    </row>
    <row r="192" spans="2:23" ht="15.75">
      <c r="B192" s="129" t="s">
        <v>519</v>
      </c>
      <c r="C192" s="13">
        <v>10664</v>
      </c>
      <c r="D192" s="13">
        <v>10246</v>
      </c>
      <c r="E192" s="13">
        <v>2224</v>
      </c>
      <c r="F192" s="13">
        <v>3748</v>
      </c>
      <c r="G192" s="13">
        <v>2523</v>
      </c>
      <c r="H192" s="13">
        <v>3182</v>
      </c>
      <c r="I192" s="13">
        <v>2386</v>
      </c>
      <c r="J192" s="13">
        <v>3286</v>
      </c>
      <c r="K192" s="13">
        <v>2868</v>
      </c>
      <c r="L192" s="13">
        <v>2949</v>
      </c>
      <c r="M192" s="13">
        <v>2449</v>
      </c>
      <c r="N192" s="13">
        <v>2918</v>
      </c>
      <c r="O192" s="285">
        <v>2295</v>
      </c>
      <c r="P192" s="285">
        <v>4855.760319</v>
      </c>
      <c r="Q192" s="285">
        <v>3072.7667430000001</v>
      </c>
      <c r="R192" s="285">
        <v>2283.2332569999999</v>
      </c>
      <c r="S192" s="285">
        <v>2390</v>
      </c>
      <c r="T192" s="285">
        <v>5669.2040969999998</v>
      </c>
      <c r="V192" s="129" t="s">
        <v>475</v>
      </c>
      <c r="W192" s="285">
        <v>4689.0219809999999</v>
      </c>
    </row>
    <row r="193" spans="2:23" ht="15.75">
      <c r="B193" s="129" t="s">
        <v>520</v>
      </c>
      <c r="C193" s="13">
        <v>15218</v>
      </c>
      <c r="D193" s="13">
        <v>14624</v>
      </c>
      <c r="E193" s="13">
        <v>2197</v>
      </c>
      <c r="F193" s="13">
        <v>1986</v>
      </c>
      <c r="G193" s="13">
        <v>1774</v>
      </c>
      <c r="H193" s="13">
        <v>1575</v>
      </c>
      <c r="I193" s="13">
        <v>1606</v>
      </c>
      <c r="J193" s="13">
        <v>1416</v>
      </c>
      <c r="K193" s="13">
        <v>1423</v>
      </c>
      <c r="L193" s="13">
        <v>1147</v>
      </c>
      <c r="M193" s="13">
        <v>0</v>
      </c>
      <c r="N193" s="13">
        <v>0</v>
      </c>
      <c r="O193" s="285">
        <v>0</v>
      </c>
      <c r="P193" s="285">
        <v>1133.688717</v>
      </c>
      <c r="Q193" s="285">
        <v>0</v>
      </c>
      <c r="R193" s="285">
        <v>0</v>
      </c>
      <c r="S193" s="285">
        <v>244</v>
      </c>
      <c r="T193" s="285">
        <v>-244</v>
      </c>
      <c r="V193" s="129" t="s">
        <v>476</v>
      </c>
      <c r="W193" s="285">
        <v>0</v>
      </c>
    </row>
    <row r="194" spans="2:23" ht="15.75">
      <c r="B194" s="129" t="s">
        <v>521</v>
      </c>
      <c r="C194" s="13">
        <v>0</v>
      </c>
      <c r="D194" s="13">
        <v>0</v>
      </c>
      <c r="E194" s="13">
        <v>0</v>
      </c>
      <c r="F194" s="13">
        <v>0</v>
      </c>
      <c r="G194" s="13">
        <v>0</v>
      </c>
      <c r="H194" s="13">
        <v>0</v>
      </c>
      <c r="I194" s="13">
        <v>0</v>
      </c>
      <c r="J194" s="13">
        <v>0</v>
      </c>
      <c r="K194" s="13">
        <v>0</v>
      </c>
      <c r="L194" s="13">
        <v>0</v>
      </c>
      <c r="M194" s="13">
        <v>0</v>
      </c>
      <c r="N194" s="13">
        <v>0</v>
      </c>
      <c r="O194" s="285">
        <v>0</v>
      </c>
      <c r="P194" s="285">
        <v>0</v>
      </c>
      <c r="Q194" s="285">
        <v>0</v>
      </c>
      <c r="R194" s="285">
        <v>0</v>
      </c>
      <c r="S194" s="285">
        <v>0</v>
      </c>
      <c r="T194" s="285">
        <v>0</v>
      </c>
      <c r="V194" s="129" t="s">
        <v>22</v>
      </c>
      <c r="W194" s="285">
        <v>0</v>
      </c>
    </row>
    <row r="195" spans="2:23" ht="15.75">
      <c r="B195" s="129" t="s">
        <v>522</v>
      </c>
      <c r="C195" s="13">
        <v>10061</v>
      </c>
      <c r="D195" s="13">
        <v>9666</v>
      </c>
      <c r="E195" s="13">
        <v>2099</v>
      </c>
      <c r="F195" s="13">
        <v>3535</v>
      </c>
      <c r="G195" s="13">
        <v>2381</v>
      </c>
      <c r="H195" s="13">
        <v>3000</v>
      </c>
      <c r="I195" s="13">
        <v>2251</v>
      </c>
      <c r="J195" s="13">
        <v>3099</v>
      </c>
      <c r="K195" s="13">
        <v>2707</v>
      </c>
      <c r="L195" s="13">
        <v>2782</v>
      </c>
      <c r="M195" s="13">
        <v>2267</v>
      </c>
      <c r="N195" s="13">
        <v>2702</v>
      </c>
      <c r="O195" s="285">
        <v>2128</v>
      </c>
      <c r="P195" s="285">
        <v>4496.0743689999999</v>
      </c>
      <c r="Q195" s="285">
        <v>2845.1543919999999</v>
      </c>
      <c r="R195" s="285">
        <v>2112.8456080000001</v>
      </c>
      <c r="S195" s="285">
        <v>2214</v>
      </c>
      <c r="T195" s="285">
        <v>5249.4852729999984</v>
      </c>
      <c r="V195" s="129" t="s">
        <v>23</v>
      </c>
      <c r="W195" s="285">
        <v>4341.687019</v>
      </c>
    </row>
    <row r="196" spans="2:23" ht="15.75">
      <c r="B196" s="132" t="s">
        <v>523</v>
      </c>
      <c r="C196" s="15">
        <v>15821</v>
      </c>
      <c r="D196" s="15">
        <v>15204</v>
      </c>
      <c r="E196" s="15">
        <v>2322</v>
      </c>
      <c r="F196" s="15">
        <v>2199</v>
      </c>
      <c r="G196" s="15">
        <v>1916</v>
      </c>
      <c r="H196" s="15">
        <v>1757</v>
      </c>
      <c r="I196" s="15">
        <v>1741</v>
      </c>
      <c r="J196" s="15">
        <v>1603</v>
      </c>
      <c r="K196" s="15">
        <v>1584</v>
      </c>
      <c r="L196" s="15">
        <v>1314</v>
      </c>
      <c r="M196" s="15">
        <v>182</v>
      </c>
      <c r="N196" s="15">
        <v>216</v>
      </c>
      <c r="O196" s="301">
        <v>167</v>
      </c>
      <c r="P196" s="301">
        <v>1493.374667</v>
      </c>
      <c r="Q196" s="301">
        <f>+Q192+Q193+Q194-Q195</f>
        <v>227.61235100000022</v>
      </c>
      <c r="R196" s="301">
        <v>170.38764899999978</v>
      </c>
      <c r="S196" s="301">
        <v>420</v>
      </c>
      <c r="T196" s="301">
        <v>175.7188240000014</v>
      </c>
      <c r="V196" s="129" t="s">
        <v>26</v>
      </c>
      <c r="W196" s="285">
        <v>39.943150000000003</v>
      </c>
    </row>
    <row r="197" spans="2:23" ht="15.75">
      <c r="B197" s="130" t="s">
        <v>524</v>
      </c>
      <c r="C197" s="17">
        <v>15865</v>
      </c>
      <c r="D197" s="17">
        <v>15319</v>
      </c>
      <c r="E197" s="17">
        <v>2408</v>
      </c>
      <c r="F197" s="17">
        <v>2195</v>
      </c>
      <c r="G197" s="17">
        <v>1939</v>
      </c>
      <c r="H197" s="17">
        <v>1839</v>
      </c>
      <c r="I197" s="17">
        <v>1789</v>
      </c>
      <c r="J197" s="17">
        <v>1702</v>
      </c>
      <c r="K197" s="17">
        <v>1756</v>
      </c>
      <c r="L197" s="17">
        <v>1652</v>
      </c>
      <c r="M197" s="17">
        <v>353</v>
      </c>
      <c r="N197" s="17">
        <v>162</v>
      </c>
      <c r="O197" s="286">
        <v>254</v>
      </c>
      <c r="P197" s="286">
        <v>1800.8663129999995</v>
      </c>
      <c r="Q197" s="286">
        <f>+Q190+Q196</f>
        <v>1323.3123280000004</v>
      </c>
      <c r="R197" s="286">
        <v>1195.6876719999996</v>
      </c>
      <c r="S197" s="286">
        <v>1757</v>
      </c>
      <c r="T197" s="286">
        <v>1986.1193949999997</v>
      </c>
      <c r="V197" s="130" t="s">
        <v>677</v>
      </c>
      <c r="W197" s="286">
        <v>831.15121699999963</v>
      </c>
    </row>
    <row r="198" spans="2:23" ht="15.75">
      <c r="B198" s="10"/>
      <c r="C198" s="131"/>
      <c r="D198" s="131"/>
      <c r="E198" s="131"/>
      <c r="F198" s="166"/>
      <c r="G198" s="131"/>
      <c r="H198" s="131"/>
      <c r="I198" s="131"/>
      <c r="J198" s="131"/>
      <c r="K198" s="131"/>
      <c r="L198" s="131"/>
      <c r="M198" s="131"/>
      <c r="N198" s="131"/>
      <c r="O198" s="9"/>
      <c r="P198" s="9"/>
      <c r="Q198" s="9"/>
      <c r="R198" s="9"/>
      <c r="S198" s="9"/>
      <c r="T198" s="745"/>
      <c r="V198" s="744"/>
      <c r="W198" s="745"/>
    </row>
    <row r="199" spans="2:23" ht="15.75">
      <c r="B199" s="129" t="s">
        <v>525</v>
      </c>
      <c r="C199" s="13">
        <v>70</v>
      </c>
      <c r="D199" s="13">
        <v>122</v>
      </c>
      <c r="E199" s="13">
        <v>37</v>
      </c>
      <c r="F199" s="13">
        <v>34</v>
      </c>
      <c r="G199" s="13">
        <v>36</v>
      </c>
      <c r="H199" s="13">
        <v>36</v>
      </c>
      <c r="I199" s="13">
        <v>110</v>
      </c>
      <c r="J199" s="13">
        <v>47</v>
      </c>
      <c r="K199" s="13">
        <v>46</v>
      </c>
      <c r="L199" s="13">
        <v>53</v>
      </c>
      <c r="M199" s="13">
        <v>52</v>
      </c>
      <c r="N199" s="13">
        <v>32</v>
      </c>
      <c r="O199" s="285">
        <v>45</v>
      </c>
      <c r="P199" s="285">
        <v>47.418841</v>
      </c>
      <c r="Q199" s="285">
        <v>46.731349000000002</v>
      </c>
      <c r="R199" s="285">
        <v>47.268650999999998</v>
      </c>
      <c r="S199" s="285">
        <v>48</v>
      </c>
      <c r="T199" s="285">
        <v>41.417477999999988</v>
      </c>
      <c r="V199" s="744"/>
      <c r="W199" s="285"/>
    </row>
    <row r="200" spans="2:23" ht="15.75">
      <c r="B200" s="129" t="s">
        <v>526</v>
      </c>
      <c r="C200" s="13">
        <v>0</v>
      </c>
      <c r="D200" s="13">
        <v>0</v>
      </c>
      <c r="E200" s="13">
        <v>0</v>
      </c>
      <c r="F200" s="13">
        <v>0</v>
      </c>
      <c r="G200" s="13">
        <v>0</v>
      </c>
      <c r="H200" s="13">
        <v>0</v>
      </c>
      <c r="I200" s="13">
        <v>0</v>
      </c>
      <c r="J200" s="13">
        <v>0</v>
      </c>
      <c r="K200" s="13">
        <v>0</v>
      </c>
      <c r="L200" s="13">
        <v>0</v>
      </c>
      <c r="M200" s="13">
        <v>0</v>
      </c>
      <c r="N200" s="13">
        <v>0</v>
      </c>
      <c r="O200" s="285">
        <v>0</v>
      </c>
      <c r="P200" s="285"/>
      <c r="Q200" s="285"/>
      <c r="R200" s="285">
        <v>0</v>
      </c>
      <c r="S200" s="285">
        <v>0</v>
      </c>
      <c r="T200" s="285">
        <v>0</v>
      </c>
      <c r="V200" s="129" t="s">
        <v>27</v>
      </c>
      <c r="W200" s="285">
        <v>0</v>
      </c>
    </row>
    <row r="201" spans="2:23" ht="15.75">
      <c r="B201" s="129" t="s">
        <v>527</v>
      </c>
      <c r="C201" s="13">
        <v>54</v>
      </c>
      <c r="D201" s="13">
        <v>65</v>
      </c>
      <c r="E201" s="13">
        <v>2</v>
      </c>
      <c r="F201" s="13">
        <v>0</v>
      </c>
      <c r="G201" s="13">
        <v>3</v>
      </c>
      <c r="H201" s="13">
        <v>-1</v>
      </c>
      <c r="I201" s="13">
        <v>13</v>
      </c>
      <c r="J201" s="13">
        <v>2</v>
      </c>
      <c r="K201" s="13">
        <v>96</v>
      </c>
      <c r="L201" s="13">
        <v>-263</v>
      </c>
      <c r="M201" s="13">
        <v>14</v>
      </c>
      <c r="N201" s="13">
        <v>-29</v>
      </c>
      <c r="O201" s="285">
        <v>57</v>
      </c>
      <c r="P201" s="285">
        <v>-9340.0712369999983</v>
      </c>
      <c r="Q201" s="285">
        <v>0.98660700000000001</v>
      </c>
      <c r="R201" s="285">
        <v>1.013393</v>
      </c>
      <c r="S201" s="285">
        <v>15</v>
      </c>
      <c r="T201" s="285">
        <v>-16.454898</v>
      </c>
      <c r="V201" s="129" t="s">
        <v>28</v>
      </c>
      <c r="W201" s="285">
        <v>274.86850299999998</v>
      </c>
    </row>
    <row r="202" spans="2:23" ht="15.75">
      <c r="B202" s="130" t="s">
        <v>528</v>
      </c>
      <c r="C202" s="18">
        <v>15849</v>
      </c>
      <c r="D202" s="18">
        <v>15262</v>
      </c>
      <c r="E202" s="18">
        <v>2373</v>
      </c>
      <c r="F202" s="18">
        <v>2161</v>
      </c>
      <c r="G202" s="18">
        <v>1906</v>
      </c>
      <c r="H202" s="18">
        <v>1802</v>
      </c>
      <c r="I202" s="18">
        <v>1692</v>
      </c>
      <c r="J202" s="18">
        <v>1657</v>
      </c>
      <c r="K202" s="18">
        <v>1806</v>
      </c>
      <c r="L202" s="18">
        <v>1336</v>
      </c>
      <c r="M202" s="18">
        <v>315</v>
      </c>
      <c r="N202" s="18">
        <v>101</v>
      </c>
      <c r="O202" s="287">
        <v>266</v>
      </c>
      <c r="P202" s="287">
        <v>-7586.6237649999985</v>
      </c>
      <c r="Q202" s="287">
        <f>+Q197-Q199+Q200+Q201</f>
        <v>1277.5675860000006</v>
      </c>
      <c r="R202" s="287">
        <v>1149.4324139999994</v>
      </c>
      <c r="S202" s="287">
        <v>1724</v>
      </c>
      <c r="T202" s="287">
        <v>1928.2470189999997</v>
      </c>
      <c r="V202" s="130" t="s">
        <v>29</v>
      </c>
      <c r="W202" s="287">
        <v>1106.0197199999996</v>
      </c>
    </row>
    <row r="203" spans="2:23" ht="15.75">
      <c r="B203" s="129"/>
      <c r="C203" s="13"/>
      <c r="D203" s="13"/>
      <c r="E203" s="13"/>
      <c r="F203" s="13"/>
      <c r="G203" s="13"/>
      <c r="H203" s="13"/>
      <c r="I203" s="13"/>
      <c r="J203" s="13"/>
      <c r="K203" s="13"/>
      <c r="L203" s="13"/>
      <c r="M203" s="13"/>
      <c r="N203" s="13"/>
      <c r="O203" s="285"/>
      <c r="P203" s="285"/>
      <c r="Q203" s="285"/>
      <c r="R203" s="285"/>
      <c r="S203" s="285">
        <v>0</v>
      </c>
      <c r="T203" s="285"/>
      <c r="V203" s="129"/>
      <c r="W203" s="285"/>
    </row>
    <row r="204" spans="2:23" ht="15.75">
      <c r="B204" s="129" t="s">
        <v>529</v>
      </c>
      <c r="C204" s="13">
        <v>-14451</v>
      </c>
      <c r="D204" s="13">
        <v>-11498</v>
      </c>
      <c r="E204" s="13">
        <v>-2618</v>
      </c>
      <c r="F204" s="13">
        <v>-2282</v>
      </c>
      <c r="G204" s="13">
        <v>-2297</v>
      </c>
      <c r="H204" s="13">
        <v>-1903</v>
      </c>
      <c r="I204" s="13">
        <v>-1752</v>
      </c>
      <c r="J204" s="13">
        <v>-1552</v>
      </c>
      <c r="K204" s="13">
        <v>-1168</v>
      </c>
      <c r="L204" s="13">
        <v>-1332</v>
      </c>
      <c r="M204" s="13">
        <v>-1328</v>
      </c>
      <c r="N204" s="13">
        <v>-1227</v>
      </c>
      <c r="O204" s="285">
        <v>-1256</v>
      </c>
      <c r="P204" s="285">
        <v>-1226.8322899999998</v>
      </c>
      <c r="Q204" s="285">
        <v>-1116.0049879999997</v>
      </c>
      <c r="R204" s="285">
        <v>-906.99501200000032</v>
      </c>
      <c r="S204" s="285">
        <v>-1281</v>
      </c>
      <c r="T204" s="285">
        <v>-1378.4642379999996</v>
      </c>
      <c r="V204" s="129" t="s">
        <v>30</v>
      </c>
      <c r="W204" s="285">
        <v>-1048.137751</v>
      </c>
    </row>
    <row r="205" spans="2:23" ht="15.75">
      <c r="B205" s="130" t="s">
        <v>530</v>
      </c>
      <c r="C205" s="18">
        <v>1398</v>
      </c>
      <c r="D205" s="18">
        <v>3764</v>
      </c>
      <c r="E205" s="18">
        <v>-245</v>
      </c>
      <c r="F205" s="18">
        <v>-121</v>
      </c>
      <c r="G205" s="18">
        <v>-391</v>
      </c>
      <c r="H205" s="18">
        <v>-101</v>
      </c>
      <c r="I205" s="18">
        <v>-60</v>
      </c>
      <c r="J205" s="18">
        <v>105</v>
      </c>
      <c r="K205" s="18">
        <v>638</v>
      </c>
      <c r="L205" s="18">
        <v>4</v>
      </c>
      <c r="M205" s="18">
        <v>-1013</v>
      </c>
      <c r="N205" s="18">
        <v>-1126</v>
      </c>
      <c r="O205" s="287">
        <v>-990</v>
      </c>
      <c r="P205" s="287">
        <v>-8813.4560549999987</v>
      </c>
      <c r="Q205" s="287">
        <f>+Q202+Q204</f>
        <v>161.56259800000089</v>
      </c>
      <c r="R205" s="287">
        <v>242.43740199999911</v>
      </c>
      <c r="S205" s="287">
        <v>443</v>
      </c>
      <c r="T205" s="287">
        <v>549.78278100000011</v>
      </c>
      <c r="V205" s="130" t="s">
        <v>31</v>
      </c>
      <c r="W205" s="287">
        <v>57.881968999999572</v>
      </c>
    </row>
    <row r="206" spans="2:23" ht="15.75">
      <c r="B206" s="10"/>
      <c r="C206" s="131"/>
      <c r="D206" s="131"/>
      <c r="E206" s="131"/>
      <c r="F206" s="131"/>
      <c r="G206" s="131"/>
      <c r="H206" s="131"/>
      <c r="I206" s="131"/>
      <c r="J206" s="131"/>
      <c r="K206" s="131"/>
      <c r="L206" s="131"/>
      <c r="M206" s="131"/>
      <c r="N206" s="131"/>
      <c r="O206" s="9"/>
      <c r="P206" s="9"/>
      <c r="Q206" s="9"/>
      <c r="R206" s="9"/>
      <c r="S206" s="9"/>
      <c r="T206" s="745"/>
      <c r="V206" s="10"/>
      <c r="W206" s="745"/>
    </row>
    <row r="207" spans="2:23" ht="15.75">
      <c r="B207" s="129" t="s">
        <v>531</v>
      </c>
      <c r="C207" s="13">
        <v>7167</v>
      </c>
      <c r="D207" s="13">
        <v>4197</v>
      </c>
      <c r="E207" s="13">
        <v>-314</v>
      </c>
      <c r="F207" s="13">
        <v>-146</v>
      </c>
      <c r="G207" s="13">
        <v>-249</v>
      </c>
      <c r="H207" s="13">
        <v>-1049</v>
      </c>
      <c r="I207" s="13">
        <v>-16</v>
      </c>
      <c r="J207" s="13">
        <v>-217</v>
      </c>
      <c r="K207" s="13">
        <v>85</v>
      </c>
      <c r="L207" s="13">
        <v>-87</v>
      </c>
      <c r="M207" s="13">
        <v>-369</v>
      </c>
      <c r="N207" s="13">
        <v>-330</v>
      </c>
      <c r="O207" s="285">
        <v>-347</v>
      </c>
      <c r="P207" s="285">
        <v>1376.0952139999999</v>
      </c>
      <c r="Q207" s="285">
        <v>-52.915762999999998</v>
      </c>
      <c r="R207" s="285">
        <v>-518.08423700000003</v>
      </c>
      <c r="S207" s="285">
        <v>6266</v>
      </c>
      <c r="T207" s="285">
        <v>1790.7524649999996</v>
      </c>
      <c r="V207" s="129" t="s">
        <v>32</v>
      </c>
      <c r="W207" s="285">
        <v>-70.283833999999999</v>
      </c>
    </row>
    <row r="208" spans="2:23" ht="15.75">
      <c r="B208" s="130" t="s">
        <v>532</v>
      </c>
      <c r="C208" s="18">
        <v>-5769</v>
      </c>
      <c r="D208" s="18">
        <v>-433</v>
      </c>
      <c r="E208" s="18">
        <v>69</v>
      </c>
      <c r="F208" s="18">
        <v>25</v>
      </c>
      <c r="G208" s="18">
        <v>-142</v>
      </c>
      <c r="H208" s="18">
        <v>948</v>
      </c>
      <c r="I208" s="18">
        <v>-44</v>
      </c>
      <c r="J208" s="18">
        <v>322</v>
      </c>
      <c r="K208" s="18">
        <v>553</v>
      </c>
      <c r="L208" s="18">
        <v>91</v>
      </c>
      <c r="M208" s="18">
        <v>-644</v>
      </c>
      <c r="N208" s="18">
        <v>-796</v>
      </c>
      <c r="O208" s="287">
        <v>-643</v>
      </c>
      <c r="P208" s="287">
        <v>-10189.551269</v>
      </c>
      <c r="Q208" s="287">
        <f>+Q205+Q207</f>
        <v>108.64683500000089</v>
      </c>
      <c r="R208" s="287">
        <v>-275.64683500000092</v>
      </c>
      <c r="S208" s="287">
        <v>6709</v>
      </c>
      <c r="T208" s="287">
        <v>2340.5352459999995</v>
      </c>
      <c r="V208" s="130" t="s">
        <v>35</v>
      </c>
      <c r="W208" s="287">
        <v>128.16580299999958</v>
      </c>
    </row>
    <row r="209" spans="2:23" ht="15.75">
      <c r="O209" s="302"/>
      <c r="P209" s="135"/>
      <c r="Q209" s="135"/>
      <c r="R209" s="135"/>
      <c r="T209" s="744"/>
      <c r="V209" s="744"/>
      <c r="W209" s="812"/>
    </row>
    <row r="210" spans="2:23" ht="15.75">
      <c r="O210" s="302"/>
      <c r="P210" s="135"/>
      <c r="Q210" s="135"/>
      <c r="R210" s="135"/>
      <c r="T210" s="744"/>
      <c r="V210" s="130" t="s">
        <v>1299</v>
      </c>
      <c r="W210" s="287">
        <v>1254</v>
      </c>
    </row>
    <row r="211" spans="2:23" ht="15.75">
      <c r="B211" s="165" t="s">
        <v>480</v>
      </c>
      <c r="C211" s="5"/>
      <c r="D211" s="5"/>
      <c r="E211" s="5"/>
      <c r="F211" s="5"/>
      <c r="G211" s="5"/>
      <c r="H211" s="20"/>
      <c r="I211" s="20"/>
      <c r="J211" s="20"/>
      <c r="K211" s="20"/>
      <c r="L211" s="20"/>
      <c r="M211" s="20"/>
      <c r="N211" s="20"/>
      <c r="O211" s="267"/>
      <c r="P211" s="135"/>
      <c r="Q211" s="135"/>
      <c r="R211" s="135"/>
      <c r="T211" s="744"/>
    </row>
    <row r="212" spans="2:23">
      <c r="B212" s="99" t="s">
        <v>515</v>
      </c>
      <c r="C212" s="5"/>
      <c r="D212" s="5"/>
      <c r="E212" s="5"/>
      <c r="F212" s="5"/>
      <c r="G212" s="5"/>
      <c r="H212" s="22"/>
      <c r="I212" s="22"/>
      <c r="J212" s="22"/>
      <c r="K212" s="22"/>
      <c r="L212" s="22"/>
      <c r="M212" s="22"/>
      <c r="N212" s="22"/>
      <c r="O212" s="268"/>
      <c r="P212" s="135"/>
      <c r="Q212" s="135"/>
      <c r="R212" s="135"/>
      <c r="T212" s="744"/>
    </row>
    <row r="213" spans="2:23" ht="8.4499999999999993" customHeight="1">
      <c r="B213" s="23"/>
      <c r="C213" s="5"/>
      <c r="D213" s="5"/>
      <c r="E213" s="5"/>
      <c r="F213" s="5"/>
      <c r="G213" s="5"/>
      <c r="H213" s="23"/>
      <c r="I213" s="23"/>
      <c r="J213" s="23"/>
      <c r="K213" s="23"/>
      <c r="L213" s="23"/>
      <c r="M213" s="23"/>
      <c r="N213" s="23"/>
      <c r="O213" s="269"/>
      <c r="P213" s="135"/>
      <c r="Q213" s="135"/>
      <c r="R213" s="135"/>
      <c r="T213" s="744"/>
    </row>
    <row r="214" spans="2:23">
      <c r="B214" s="190"/>
      <c r="C214" s="90">
        <v>2016</v>
      </c>
      <c r="D214" s="90">
        <v>2017</v>
      </c>
      <c r="E214" s="90" t="s">
        <v>578</v>
      </c>
      <c r="F214" s="90" t="s">
        <v>579</v>
      </c>
      <c r="G214" s="90" t="s">
        <v>580</v>
      </c>
      <c r="H214" s="90" t="s">
        <v>581</v>
      </c>
      <c r="I214" s="90" t="s">
        <v>582</v>
      </c>
      <c r="J214" s="90" t="s">
        <v>583</v>
      </c>
      <c r="K214" s="90" t="s">
        <v>584</v>
      </c>
      <c r="L214" s="90" t="s">
        <v>585</v>
      </c>
      <c r="M214" s="90" t="s">
        <v>11</v>
      </c>
      <c r="N214" s="90" t="s">
        <v>12</v>
      </c>
      <c r="O214" s="306" t="s">
        <v>626</v>
      </c>
      <c r="P214" s="306" t="s">
        <v>958</v>
      </c>
      <c r="Q214" s="387" t="s">
        <v>1014</v>
      </c>
      <c r="R214" s="387" t="s">
        <v>1048</v>
      </c>
      <c r="S214" s="387" t="s">
        <v>1187</v>
      </c>
      <c r="T214" s="754" t="s">
        <v>1239</v>
      </c>
      <c r="V214" s="190"/>
      <c r="W214" s="754" t="s">
        <v>1292</v>
      </c>
    </row>
    <row r="215" spans="2:23">
      <c r="B215" s="191" t="s">
        <v>533</v>
      </c>
      <c r="C215" s="191"/>
      <c r="D215" s="191"/>
      <c r="E215" s="191"/>
      <c r="F215" s="191"/>
      <c r="G215" s="191"/>
      <c r="H215" s="191"/>
      <c r="I215" s="191"/>
      <c r="J215" s="191"/>
      <c r="K215" s="191"/>
      <c r="L215" s="191"/>
      <c r="M215" s="191"/>
      <c r="N215" s="191"/>
      <c r="O215" s="307"/>
      <c r="P215" s="307"/>
      <c r="Q215" s="307"/>
      <c r="R215" s="307"/>
      <c r="S215" s="307"/>
      <c r="T215" s="750"/>
      <c r="V215" s="191" t="s">
        <v>37</v>
      </c>
      <c r="W215" s="750"/>
    </row>
    <row r="216" spans="2:23">
      <c r="B216" s="192" t="s">
        <v>534</v>
      </c>
      <c r="C216" s="193"/>
      <c r="D216" s="193"/>
      <c r="E216" s="193"/>
      <c r="F216" s="193"/>
      <c r="G216" s="193"/>
      <c r="H216" s="193"/>
      <c r="I216" s="193"/>
      <c r="J216" s="193"/>
      <c r="K216" s="193"/>
      <c r="L216" s="193"/>
      <c r="M216" s="193"/>
      <c r="N216" s="193"/>
      <c r="O216" s="210"/>
      <c r="P216" s="210"/>
      <c r="Q216" s="210"/>
      <c r="R216" s="210"/>
      <c r="S216" s="210"/>
      <c r="T216" s="748"/>
      <c r="V216" s="192" t="s">
        <v>38</v>
      </c>
      <c r="W216" s="748"/>
    </row>
    <row r="217" spans="2:23" ht="15.75">
      <c r="B217" s="194" t="s">
        <v>535</v>
      </c>
      <c r="C217" s="50">
        <v>23401</v>
      </c>
      <c r="D217" s="50">
        <v>39363</v>
      </c>
      <c r="E217" s="50">
        <v>3970</v>
      </c>
      <c r="F217" s="50">
        <v>43640</v>
      </c>
      <c r="G217" s="50">
        <v>42599</v>
      </c>
      <c r="H217" s="50">
        <v>49315</v>
      </c>
      <c r="I217" s="50">
        <v>11868</v>
      </c>
      <c r="J217" s="50">
        <v>19614</v>
      </c>
      <c r="K217" s="50">
        <v>19135</v>
      </c>
      <c r="L217" s="50">
        <v>24281</v>
      </c>
      <c r="M217" s="50">
        <v>28465</v>
      </c>
      <c r="N217" s="50">
        <v>32278</v>
      </c>
      <c r="O217" s="299">
        <v>49396</v>
      </c>
      <c r="P217" s="299">
        <v>55799.534785999997</v>
      </c>
      <c r="Q217" s="299">
        <v>51095.830070999997</v>
      </c>
      <c r="R217" s="299">
        <v>49129</v>
      </c>
      <c r="S217" s="299">
        <v>48692</v>
      </c>
      <c r="T217" s="299">
        <v>44509.236320000004</v>
      </c>
      <c r="V217" s="194" t="s">
        <v>39</v>
      </c>
      <c r="W217" s="299">
        <v>20919.53472</v>
      </c>
    </row>
    <row r="218" spans="2:23" ht="15.75">
      <c r="B218" s="194" t="s">
        <v>536</v>
      </c>
      <c r="C218" s="50">
        <v>53205</v>
      </c>
      <c r="D218" s="50">
        <f>48412+3064</f>
        <v>51476</v>
      </c>
      <c r="E218" s="50">
        <v>87951</v>
      </c>
      <c r="F218" s="50">
        <v>54602</v>
      </c>
      <c r="G218" s="50">
        <v>56129</v>
      </c>
      <c r="H218" s="50">
        <v>57373</v>
      </c>
      <c r="I218" s="50">
        <v>94438</v>
      </c>
      <c r="J218" s="50">
        <v>89135</v>
      </c>
      <c r="K218" s="50">
        <v>80692</v>
      </c>
      <c r="L218" s="50">
        <v>77486</v>
      </c>
      <c r="M218" s="50">
        <v>64245</v>
      </c>
      <c r="N218" s="50">
        <v>60220</v>
      </c>
      <c r="O218" s="299">
        <v>28742</v>
      </c>
      <c r="P218" s="299">
        <v>20632.426694999998</v>
      </c>
      <c r="Q218" s="299">
        <f>17668.969429+3015.014599</f>
        <v>20683.984027999999</v>
      </c>
      <c r="R218" s="299">
        <v>20588</v>
      </c>
      <c r="S218" s="299">
        <v>21932</v>
      </c>
      <c r="T218" s="299">
        <v>24396.298483999999</v>
      </c>
      <c r="V218" s="194" t="s">
        <v>40</v>
      </c>
      <c r="W218" s="299">
        <v>2803.9459750000001</v>
      </c>
    </row>
    <row r="219" spans="2:23" ht="15.75">
      <c r="B219" s="194" t="s">
        <v>537</v>
      </c>
      <c r="C219" s="50">
        <v>5</v>
      </c>
      <c r="D219" s="50">
        <v>7</v>
      </c>
      <c r="E219" s="50">
        <v>7</v>
      </c>
      <c r="F219" s="50">
        <v>7</v>
      </c>
      <c r="G219" s="50">
        <v>82</v>
      </c>
      <c r="H219" s="50">
        <v>12</v>
      </c>
      <c r="I219" s="50">
        <v>15</v>
      </c>
      <c r="J219" s="50">
        <v>15</v>
      </c>
      <c r="K219" s="50">
        <v>8</v>
      </c>
      <c r="L219" s="50">
        <v>8</v>
      </c>
      <c r="M219" s="50">
        <v>202</v>
      </c>
      <c r="N219" s="50">
        <v>8</v>
      </c>
      <c r="O219" s="299">
        <v>240</v>
      </c>
      <c r="P219" s="299">
        <v>11.244033</v>
      </c>
      <c r="Q219" s="299">
        <v>11.244033</v>
      </c>
      <c r="R219" s="299">
        <v>101</v>
      </c>
      <c r="S219" s="299">
        <v>565</v>
      </c>
      <c r="T219" s="299">
        <v>609.25244199999997</v>
      </c>
      <c r="V219" s="194" t="s">
        <v>41</v>
      </c>
      <c r="W219" s="299">
        <v>13.669385</v>
      </c>
    </row>
    <row r="220" spans="2:23" ht="15.75">
      <c r="B220" s="194" t="s">
        <v>538</v>
      </c>
      <c r="C220" s="50">
        <v>298</v>
      </c>
      <c r="D220" s="50">
        <v>291</v>
      </c>
      <c r="E220" s="50">
        <v>200</v>
      </c>
      <c r="F220" s="50">
        <v>664</v>
      </c>
      <c r="G220" s="50">
        <v>579</v>
      </c>
      <c r="H220" s="50">
        <v>549</v>
      </c>
      <c r="I220" s="50">
        <v>352</v>
      </c>
      <c r="J220" s="50">
        <v>263</v>
      </c>
      <c r="K220" s="50">
        <v>182</v>
      </c>
      <c r="L220" s="50">
        <v>533</v>
      </c>
      <c r="M220" s="50">
        <v>536</v>
      </c>
      <c r="N220" s="50">
        <v>430</v>
      </c>
      <c r="O220" s="299">
        <v>291</v>
      </c>
      <c r="P220" s="299">
        <v>803.86814300000003</v>
      </c>
      <c r="Q220" s="299">
        <v>895.31806800000004</v>
      </c>
      <c r="R220" s="299">
        <v>725</v>
      </c>
      <c r="S220" s="299">
        <v>574</v>
      </c>
      <c r="T220" s="299">
        <v>389.93703699999998</v>
      </c>
      <c r="V220" s="194" t="s">
        <v>43</v>
      </c>
      <c r="W220" s="299">
        <v>222.52690699999999</v>
      </c>
    </row>
    <row r="221" spans="2:23" ht="15.75">
      <c r="B221" s="194" t="s">
        <v>539</v>
      </c>
      <c r="C221" s="50">
        <v>0</v>
      </c>
      <c r="D221" s="50">
        <v>0</v>
      </c>
      <c r="E221" s="50">
        <v>0</v>
      </c>
      <c r="F221" s="50">
        <v>0</v>
      </c>
      <c r="G221" s="50">
        <v>0</v>
      </c>
      <c r="H221" s="50">
        <v>0</v>
      </c>
      <c r="I221" s="50">
        <v>0</v>
      </c>
      <c r="J221" s="50">
        <v>0</v>
      </c>
      <c r="K221" s="50">
        <v>0</v>
      </c>
      <c r="L221" s="50">
        <v>0</v>
      </c>
      <c r="M221" s="50">
        <v>0</v>
      </c>
      <c r="N221" s="50">
        <v>0</v>
      </c>
      <c r="O221" s="299">
        <v>0</v>
      </c>
      <c r="P221" s="299">
        <v>0</v>
      </c>
      <c r="Q221" s="299">
        <v>0</v>
      </c>
      <c r="R221" s="299">
        <v>0</v>
      </c>
      <c r="S221" s="299">
        <v>0</v>
      </c>
      <c r="T221" s="299">
        <v>0</v>
      </c>
      <c r="V221" s="194" t="s">
        <v>113</v>
      </c>
      <c r="W221" s="299">
        <v>0</v>
      </c>
    </row>
    <row r="222" spans="2:23" ht="15.75">
      <c r="B222" s="194" t="s">
        <v>540</v>
      </c>
      <c r="C222" s="50">
        <v>0</v>
      </c>
      <c r="D222" s="50">
        <v>0</v>
      </c>
      <c r="E222" s="50">
        <v>0</v>
      </c>
      <c r="F222" s="50">
        <v>0</v>
      </c>
      <c r="G222" s="50">
        <v>0</v>
      </c>
      <c r="H222" s="50">
        <v>0</v>
      </c>
      <c r="I222" s="50">
        <v>0</v>
      </c>
      <c r="J222" s="50">
        <v>0</v>
      </c>
      <c r="K222" s="50">
        <v>0</v>
      </c>
      <c r="L222" s="50">
        <v>0</v>
      </c>
      <c r="M222" s="50">
        <v>0</v>
      </c>
      <c r="N222" s="50">
        <v>0</v>
      </c>
      <c r="O222" s="299">
        <v>0</v>
      </c>
      <c r="P222" s="299">
        <v>0</v>
      </c>
      <c r="Q222" s="299">
        <v>0</v>
      </c>
      <c r="R222" s="299">
        <v>0</v>
      </c>
      <c r="S222" s="299">
        <v>0</v>
      </c>
      <c r="T222" s="299">
        <v>0</v>
      </c>
      <c r="V222" s="194" t="s">
        <v>44</v>
      </c>
      <c r="W222" s="299">
        <v>0</v>
      </c>
    </row>
    <row r="223" spans="2:23">
      <c r="B223" s="65" t="s">
        <v>541</v>
      </c>
      <c r="C223" s="174">
        <f t="shared" ref="C223:N223" si="24">SUM(C217:C222)</f>
        <v>76909</v>
      </c>
      <c r="D223" s="174">
        <f t="shared" si="24"/>
        <v>91137</v>
      </c>
      <c r="E223" s="174">
        <f t="shared" si="24"/>
        <v>92128</v>
      </c>
      <c r="F223" s="174">
        <f t="shared" si="24"/>
        <v>98913</v>
      </c>
      <c r="G223" s="174">
        <f t="shared" si="24"/>
        <v>99389</v>
      </c>
      <c r="H223" s="174">
        <f t="shared" si="24"/>
        <v>107249</v>
      </c>
      <c r="I223" s="174">
        <f t="shared" si="24"/>
        <v>106673</v>
      </c>
      <c r="J223" s="174">
        <f t="shared" si="24"/>
        <v>109027</v>
      </c>
      <c r="K223" s="174">
        <f t="shared" si="24"/>
        <v>100017</v>
      </c>
      <c r="L223" s="174">
        <f t="shared" si="24"/>
        <v>102308</v>
      </c>
      <c r="M223" s="174">
        <f t="shared" si="24"/>
        <v>93448</v>
      </c>
      <c r="N223" s="174">
        <f t="shared" si="24"/>
        <v>92936</v>
      </c>
      <c r="O223" s="212">
        <v>78669</v>
      </c>
      <c r="P223" s="212">
        <f>SUM(P217:P222)</f>
        <v>77247.073656999986</v>
      </c>
      <c r="Q223" s="212">
        <f>SUM(Q217:Q222)</f>
        <v>72686.376199999984</v>
      </c>
      <c r="R223" s="212">
        <v>70543</v>
      </c>
      <c r="S223" s="212">
        <v>71763</v>
      </c>
      <c r="T223" s="212">
        <v>69904.724282999989</v>
      </c>
      <c r="V223" s="65" t="s">
        <v>45</v>
      </c>
      <c r="W223" s="815">
        <v>23959.676986999999</v>
      </c>
    </row>
    <row r="224" spans="2:23">
      <c r="B224" s="192" t="s">
        <v>542</v>
      </c>
      <c r="C224" s="193"/>
      <c r="D224" s="193"/>
      <c r="E224" s="193"/>
      <c r="F224" s="193"/>
      <c r="G224" s="193"/>
      <c r="H224" s="193"/>
      <c r="I224" s="193"/>
      <c r="J224" s="193"/>
      <c r="K224" s="193"/>
      <c r="L224" s="193"/>
      <c r="M224" s="193"/>
      <c r="N224" s="193"/>
      <c r="O224" s="210"/>
      <c r="P224" s="210"/>
      <c r="Q224" s="210"/>
      <c r="R224" s="210"/>
      <c r="S224" s="210"/>
      <c r="T224" s="748"/>
      <c r="V224" s="192" t="s">
        <v>46</v>
      </c>
      <c r="W224" s="805"/>
    </row>
    <row r="225" spans="2:23" ht="15.75">
      <c r="B225" s="194" t="s">
        <v>543</v>
      </c>
      <c r="C225" s="50">
        <v>0</v>
      </c>
      <c r="D225" s="50">
        <v>0</v>
      </c>
      <c r="E225" s="50">
        <v>0</v>
      </c>
      <c r="F225" s="50">
        <v>0</v>
      </c>
      <c r="G225" s="50">
        <v>0</v>
      </c>
      <c r="H225" s="50">
        <v>0</v>
      </c>
      <c r="I225" s="50">
        <v>0</v>
      </c>
      <c r="J225" s="50">
        <v>0</v>
      </c>
      <c r="K225" s="50">
        <v>0</v>
      </c>
      <c r="L225" s="50">
        <v>0</v>
      </c>
      <c r="M225" s="50">
        <v>0</v>
      </c>
      <c r="N225" s="50">
        <v>0</v>
      </c>
      <c r="O225" s="299">
        <v>0</v>
      </c>
      <c r="P225" s="299">
        <v>0</v>
      </c>
      <c r="Q225" s="299">
        <v>0</v>
      </c>
      <c r="R225" s="299">
        <v>0</v>
      </c>
      <c r="S225" s="299">
        <v>0</v>
      </c>
      <c r="T225" s="299">
        <v>0</v>
      </c>
      <c r="V225" s="194" t="s">
        <v>47</v>
      </c>
      <c r="W225" s="299">
        <v>0</v>
      </c>
    </row>
    <row r="226" spans="2:23" ht="15.75">
      <c r="B226" s="194" t="s">
        <v>544</v>
      </c>
      <c r="C226" s="50">
        <v>0</v>
      </c>
      <c r="D226" s="50">
        <v>0</v>
      </c>
      <c r="E226" s="50">
        <v>0</v>
      </c>
      <c r="F226" s="50">
        <v>0</v>
      </c>
      <c r="G226" s="50">
        <v>0</v>
      </c>
      <c r="H226" s="50">
        <v>0</v>
      </c>
      <c r="I226" s="50">
        <v>0</v>
      </c>
      <c r="J226" s="50">
        <v>0</v>
      </c>
      <c r="K226" s="50">
        <v>0</v>
      </c>
      <c r="L226" s="50">
        <v>0</v>
      </c>
      <c r="M226" s="50">
        <v>0</v>
      </c>
      <c r="N226" s="50">
        <v>0</v>
      </c>
      <c r="O226" s="299">
        <v>0</v>
      </c>
      <c r="P226" s="299">
        <v>0</v>
      </c>
      <c r="Q226" s="299">
        <v>0</v>
      </c>
      <c r="R226" s="299">
        <v>0</v>
      </c>
      <c r="S226" s="299">
        <v>0</v>
      </c>
      <c r="T226" s="299">
        <v>0</v>
      </c>
      <c r="V226" s="194" t="s">
        <v>48</v>
      </c>
      <c r="W226" s="299">
        <v>0</v>
      </c>
    </row>
    <row r="227" spans="2:23" ht="28.5">
      <c r="B227" s="194" t="s">
        <v>545</v>
      </c>
      <c r="C227" s="50">
        <v>0</v>
      </c>
      <c r="D227" s="50">
        <v>0</v>
      </c>
      <c r="E227" s="50">
        <v>0</v>
      </c>
      <c r="F227" s="50">
        <v>0</v>
      </c>
      <c r="G227" s="50">
        <v>0</v>
      </c>
      <c r="H227" s="50">
        <v>0</v>
      </c>
      <c r="I227" s="50">
        <v>0</v>
      </c>
      <c r="J227" s="50">
        <v>0</v>
      </c>
      <c r="K227" s="50">
        <v>0</v>
      </c>
      <c r="L227" s="50">
        <v>0</v>
      </c>
      <c r="M227" s="50">
        <v>0</v>
      </c>
      <c r="N227" s="50">
        <v>0</v>
      </c>
      <c r="O227" s="299">
        <v>0</v>
      </c>
      <c r="P227" s="299">
        <v>0</v>
      </c>
      <c r="Q227" s="299">
        <v>0</v>
      </c>
      <c r="R227" s="299">
        <v>0</v>
      </c>
      <c r="S227" s="299">
        <v>0</v>
      </c>
      <c r="T227" s="299">
        <v>0</v>
      </c>
      <c r="V227" s="194" t="s">
        <v>94</v>
      </c>
      <c r="W227" s="299">
        <v>0</v>
      </c>
    </row>
    <row r="228" spans="2:23" ht="15.75">
      <c r="B228" s="194" t="s">
        <v>546</v>
      </c>
      <c r="C228" s="50">
        <v>0</v>
      </c>
      <c r="D228" s="50">
        <v>0</v>
      </c>
      <c r="E228" s="50">
        <v>0</v>
      </c>
      <c r="F228" s="50">
        <v>0</v>
      </c>
      <c r="G228" s="50">
        <v>0</v>
      </c>
      <c r="H228" s="50">
        <v>0</v>
      </c>
      <c r="I228" s="50">
        <v>0</v>
      </c>
      <c r="J228" s="50">
        <v>0</v>
      </c>
      <c r="K228" s="50">
        <v>0</v>
      </c>
      <c r="L228" s="50">
        <v>0</v>
      </c>
      <c r="M228" s="50">
        <v>0</v>
      </c>
      <c r="N228" s="50">
        <v>0</v>
      </c>
      <c r="O228" s="299">
        <v>0</v>
      </c>
      <c r="P228" s="299">
        <v>0</v>
      </c>
      <c r="Q228" s="299">
        <v>0</v>
      </c>
      <c r="R228" s="299">
        <v>0</v>
      </c>
      <c r="S228" s="299">
        <v>0</v>
      </c>
      <c r="T228" s="299">
        <v>0</v>
      </c>
      <c r="V228" s="194" t="s">
        <v>95</v>
      </c>
      <c r="W228" s="299">
        <v>0</v>
      </c>
    </row>
    <row r="229" spans="2:23" ht="15.75">
      <c r="B229" s="194" t="s">
        <v>536</v>
      </c>
      <c r="C229" s="50">
        <v>68709</v>
      </c>
      <c r="D229" s="50">
        <v>43386</v>
      </c>
      <c r="E229" s="50">
        <v>33047</v>
      </c>
      <c r="F229" s="50">
        <v>29148</v>
      </c>
      <c r="G229" s="50">
        <v>13574</v>
      </c>
      <c r="H229" s="50">
        <v>8311</v>
      </c>
      <c r="I229" s="50">
        <v>0</v>
      </c>
      <c r="J229" s="50">
        <v>0</v>
      </c>
      <c r="K229" s="50">
        <v>0</v>
      </c>
      <c r="L229" s="50">
        <v>0</v>
      </c>
      <c r="M229" s="50">
        <v>0</v>
      </c>
      <c r="N229" s="50">
        <v>0</v>
      </c>
      <c r="O229" s="299">
        <v>0</v>
      </c>
      <c r="P229" s="299">
        <v>0</v>
      </c>
      <c r="Q229" s="299">
        <v>0</v>
      </c>
      <c r="R229" s="299">
        <v>0</v>
      </c>
      <c r="S229" s="299">
        <v>0</v>
      </c>
      <c r="T229" s="299">
        <v>0</v>
      </c>
      <c r="V229" s="194" t="s">
        <v>40</v>
      </c>
      <c r="W229" s="299">
        <v>0</v>
      </c>
    </row>
    <row r="230" spans="2:23" ht="15.75">
      <c r="B230" s="194" t="s">
        <v>547</v>
      </c>
      <c r="C230" s="50">
        <v>0</v>
      </c>
      <c r="D230" s="50">
        <v>0</v>
      </c>
      <c r="E230" s="50">
        <v>0</v>
      </c>
      <c r="F230" s="50">
        <v>0</v>
      </c>
      <c r="G230" s="50">
        <v>0</v>
      </c>
      <c r="H230" s="50">
        <v>0</v>
      </c>
      <c r="I230" s="50">
        <v>0</v>
      </c>
      <c r="J230" s="50">
        <v>0</v>
      </c>
      <c r="K230" s="50">
        <v>0</v>
      </c>
      <c r="L230" s="50">
        <v>0</v>
      </c>
      <c r="M230" s="50">
        <v>0</v>
      </c>
      <c r="N230" s="50">
        <v>0</v>
      </c>
      <c r="O230" s="299">
        <v>0</v>
      </c>
      <c r="P230" s="299">
        <v>0</v>
      </c>
      <c r="Q230" s="299">
        <v>0</v>
      </c>
      <c r="R230" s="299">
        <v>0</v>
      </c>
      <c r="S230" s="299">
        <v>0</v>
      </c>
      <c r="T230" s="299">
        <v>0</v>
      </c>
      <c r="V230" s="194" t="s">
        <v>42</v>
      </c>
      <c r="W230" s="299">
        <v>0</v>
      </c>
    </row>
    <row r="231" spans="2:23" ht="15.75">
      <c r="B231" s="194" t="s">
        <v>548</v>
      </c>
      <c r="C231" s="50">
        <v>243</v>
      </c>
      <c r="D231" s="50">
        <v>355</v>
      </c>
      <c r="E231" s="50">
        <v>328</v>
      </c>
      <c r="F231" s="50">
        <v>301</v>
      </c>
      <c r="G231" s="50">
        <v>303</v>
      </c>
      <c r="H231" s="50">
        <v>278</v>
      </c>
      <c r="I231" s="50">
        <v>363</v>
      </c>
      <c r="J231" s="50">
        <v>277</v>
      </c>
      <c r="K231" s="50">
        <v>254</v>
      </c>
      <c r="L231" s="50">
        <v>234</v>
      </c>
      <c r="M231" s="50">
        <v>207</v>
      </c>
      <c r="N231" s="50">
        <v>183</v>
      </c>
      <c r="O231" s="299">
        <v>160</v>
      </c>
      <c r="P231" s="299">
        <v>142.84178399999999</v>
      </c>
      <c r="Q231" s="299">
        <v>120.689905</v>
      </c>
      <c r="R231" s="299">
        <v>99</v>
      </c>
      <c r="S231" s="299">
        <v>79</v>
      </c>
      <c r="T231" s="299">
        <v>51.387816000000001</v>
      </c>
      <c r="V231" s="194" t="s">
        <v>52</v>
      </c>
      <c r="W231" s="299">
        <v>37.029466999999997</v>
      </c>
    </row>
    <row r="232" spans="2:23" ht="15.75">
      <c r="B232" s="194" t="s">
        <v>549</v>
      </c>
      <c r="C232" s="50">
        <v>0</v>
      </c>
      <c r="D232" s="50">
        <v>0</v>
      </c>
      <c r="E232" s="50">
        <v>0</v>
      </c>
      <c r="F232" s="50">
        <v>0</v>
      </c>
      <c r="G232" s="50">
        <v>0</v>
      </c>
      <c r="H232" s="50">
        <v>0</v>
      </c>
      <c r="I232" s="50">
        <v>0</v>
      </c>
      <c r="J232" s="50">
        <v>0</v>
      </c>
      <c r="K232" s="50">
        <v>0</v>
      </c>
      <c r="L232" s="50">
        <v>0</v>
      </c>
      <c r="M232" s="50">
        <v>0</v>
      </c>
      <c r="N232" s="50">
        <v>0</v>
      </c>
      <c r="O232" s="299">
        <v>0</v>
      </c>
      <c r="P232" s="299">
        <v>0</v>
      </c>
      <c r="Q232" s="299">
        <v>0</v>
      </c>
      <c r="R232" s="299">
        <v>0</v>
      </c>
      <c r="S232" s="299">
        <v>0</v>
      </c>
      <c r="T232" s="299">
        <v>0</v>
      </c>
      <c r="V232" s="194" t="s">
        <v>53</v>
      </c>
      <c r="W232" s="299">
        <v>0</v>
      </c>
    </row>
    <row r="233" spans="2:23" ht="15.75">
      <c r="B233" s="194" t="s">
        <v>550</v>
      </c>
      <c r="C233" s="50">
        <v>105</v>
      </c>
      <c r="D233" s="50">
        <v>182</v>
      </c>
      <c r="E233" s="50">
        <v>173</v>
      </c>
      <c r="F233" s="50">
        <v>165</v>
      </c>
      <c r="G233" s="50">
        <v>157</v>
      </c>
      <c r="H233" s="50">
        <v>172</v>
      </c>
      <c r="I233" s="50">
        <v>163</v>
      </c>
      <c r="J233" s="50">
        <v>160</v>
      </c>
      <c r="K233" s="50">
        <v>150</v>
      </c>
      <c r="L233" s="50">
        <v>142</v>
      </c>
      <c r="M233" s="50">
        <v>132</v>
      </c>
      <c r="N233" s="50">
        <v>149</v>
      </c>
      <c r="O233" s="299">
        <v>138</v>
      </c>
      <c r="P233" s="299">
        <v>127.437786</v>
      </c>
      <c r="Q233" s="299">
        <v>141.71082799999999</v>
      </c>
      <c r="R233" s="299">
        <v>130</v>
      </c>
      <c r="S233" s="299">
        <v>118</v>
      </c>
      <c r="T233" s="299">
        <v>106.068003</v>
      </c>
      <c r="V233" s="194" t="s">
        <v>55</v>
      </c>
      <c r="W233" s="299">
        <v>94.187059000000005</v>
      </c>
    </row>
    <row r="234" spans="2:23" ht="15.75">
      <c r="B234" s="194" t="s">
        <v>538</v>
      </c>
      <c r="C234" s="50">
        <v>0</v>
      </c>
      <c r="D234" s="50">
        <v>0</v>
      </c>
      <c r="E234" s="50">
        <v>0</v>
      </c>
      <c r="F234" s="50">
        <v>0</v>
      </c>
      <c r="G234" s="50">
        <v>0</v>
      </c>
      <c r="H234" s="50">
        <v>0</v>
      </c>
      <c r="I234" s="50">
        <v>0</v>
      </c>
      <c r="J234" s="50">
        <v>0</v>
      </c>
      <c r="K234" s="50">
        <v>0</v>
      </c>
      <c r="L234" s="50">
        <v>0</v>
      </c>
      <c r="M234" s="50">
        <v>0</v>
      </c>
      <c r="N234" s="50">
        <v>0</v>
      </c>
      <c r="O234" s="299">
        <v>0</v>
      </c>
      <c r="P234" s="299">
        <v>0</v>
      </c>
      <c r="Q234" s="299">
        <v>0</v>
      </c>
      <c r="R234" s="299">
        <v>0</v>
      </c>
      <c r="S234" s="299">
        <v>0</v>
      </c>
      <c r="T234" s="299">
        <v>0</v>
      </c>
      <c r="V234" s="194" t="s">
        <v>43</v>
      </c>
      <c r="W234" s="299">
        <v>0</v>
      </c>
    </row>
    <row r="235" spans="2:23" ht="15.75">
      <c r="B235" s="194" t="s">
        <v>551</v>
      </c>
      <c r="C235" s="50">
        <v>4049</v>
      </c>
      <c r="D235" s="50">
        <v>0</v>
      </c>
      <c r="E235" s="50">
        <v>164</v>
      </c>
      <c r="F235" s="50">
        <v>309</v>
      </c>
      <c r="G235" s="50">
        <v>559</v>
      </c>
      <c r="H235" s="50">
        <v>1608</v>
      </c>
      <c r="I235" s="50">
        <v>1624</v>
      </c>
      <c r="J235" s="50">
        <v>1841</v>
      </c>
      <c r="K235" s="50">
        <v>1756</v>
      </c>
      <c r="L235" s="50">
        <v>1843</v>
      </c>
      <c r="M235" s="50">
        <v>2213</v>
      </c>
      <c r="N235" s="50">
        <v>2542</v>
      </c>
      <c r="O235" s="299">
        <v>2889</v>
      </c>
      <c r="P235" s="299">
        <v>1512.610109</v>
      </c>
      <c r="Q235" s="299">
        <v>1459.694346</v>
      </c>
      <c r="R235" s="299">
        <v>942</v>
      </c>
      <c r="S235" s="299">
        <v>7982</v>
      </c>
      <c r="T235" s="299">
        <v>9772.8495739999998</v>
      </c>
      <c r="V235" s="194" t="s">
        <v>56</v>
      </c>
      <c r="W235" s="299">
        <v>9843.1334079999997</v>
      </c>
    </row>
    <row r="236" spans="2:23" ht="15.75">
      <c r="B236" s="194" t="s">
        <v>552</v>
      </c>
      <c r="C236" s="50">
        <v>0</v>
      </c>
      <c r="D236" s="50">
        <v>0</v>
      </c>
      <c r="E236" s="50">
        <v>0</v>
      </c>
      <c r="F236" s="50">
        <v>0</v>
      </c>
      <c r="G236" s="50">
        <v>0</v>
      </c>
      <c r="H236" s="50">
        <v>0</v>
      </c>
      <c r="I236" s="50">
        <v>-5</v>
      </c>
      <c r="J236" s="50">
        <v>50</v>
      </c>
      <c r="K236" s="50">
        <v>43</v>
      </c>
      <c r="L236" s="50">
        <v>114</v>
      </c>
      <c r="M236" s="50">
        <v>99</v>
      </c>
      <c r="N236" s="50">
        <v>87</v>
      </c>
      <c r="O236" s="299">
        <v>99</v>
      </c>
      <c r="P236" s="299">
        <v>84.695992000000004</v>
      </c>
      <c r="Q236" s="299">
        <v>71.290600999999995</v>
      </c>
      <c r="R236" s="299">
        <v>69</v>
      </c>
      <c r="S236" s="299">
        <v>54</v>
      </c>
      <c r="T236" s="299">
        <v>39.985019999999999</v>
      </c>
      <c r="V236" s="194" t="s">
        <v>57</v>
      </c>
      <c r="W236" s="299">
        <v>26.281162999999999</v>
      </c>
    </row>
    <row r="237" spans="2:23" ht="15.75">
      <c r="B237" s="194" t="s">
        <v>540</v>
      </c>
      <c r="C237" s="50">
        <v>0</v>
      </c>
      <c r="D237" s="50">
        <v>0</v>
      </c>
      <c r="E237" s="50">
        <v>0</v>
      </c>
      <c r="F237" s="50">
        <v>0</v>
      </c>
      <c r="G237" s="50">
        <v>0</v>
      </c>
      <c r="H237" s="50">
        <v>0</v>
      </c>
      <c r="I237" s="50">
        <v>0</v>
      </c>
      <c r="J237" s="50">
        <v>0</v>
      </c>
      <c r="K237" s="50">
        <v>0</v>
      </c>
      <c r="L237" s="50">
        <v>0</v>
      </c>
      <c r="M237" s="50">
        <v>0</v>
      </c>
      <c r="N237" s="50">
        <v>0</v>
      </c>
      <c r="O237" s="299">
        <v>0</v>
      </c>
      <c r="P237" s="299">
        <v>0</v>
      </c>
      <c r="Q237" s="299">
        <v>0</v>
      </c>
      <c r="R237" s="299">
        <v>0</v>
      </c>
      <c r="S237" s="299">
        <v>0</v>
      </c>
      <c r="T237" s="299">
        <v>0</v>
      </c>
      <c r="V237" s="194" t="s">
        <v>44</v>
      </c>
      <c r="W237" s="299">
        <v>0</v>
      </c>
    </row>
    <row r="238" spans="2:23">
      <c r="B238" s="192" t="s">
        <v>553</v>
      </c>
      <c r="C238" s="175">
        <f t="shared" ref="C238:N238" si="25">SUM(C225:C237)</f>
        <v>73106</v>
      </c>
      <c r="D238" s="175">
        <f t="shared" si="25"/>
        <v>43923</v>
      </c>
      <c r="E238" s="175">
        <f t="shared" si="25"/>
        <v>33712</v>
      </c>
      <c r="F238" s="175">
        <f t="shared" si="25"/>
        <v>29923</v>
      </c>
      <c r="G238" s="175">
        <f t="shared" si="25"/>
        <v>14593</v>
      </c>
      <c r="H238" s="175">
        <f t="shared" si="25"/>
        <v>10369</v>
      </c>
      <c r="I238" s="175">
        <f t="shared" si="25"/>
        <v>2145</v>
      </c>
      <c r="J238" s="175">
        <f t="shared" si="25"/>
        <v>2328</v>
      </c>
      <c r="K238" s="175">
        <f t="shared" si="25"/>
        <v>2203</v>
      </c>
      <c r="L238" s="175">
        <f t="shared" si="25"/>
        <v>2333</v>
      </c>
      <c r="M238" s="175">
        <f t="shared" si="25"/>
        <v>2651</v>
      </c>
      <c r="N238" s="175">
        <f t="shared" si="25"/>
        <v>2961</v>
      </c>
      <c r="O238" s="213">
        <v>3286</v>
      </c>
      <c r="P238" s="213">
        <f>SUM(P225:P237)</f>
        <v>1867.5856709999998</v>
      </c>
      <c r="Q238" s="213">
        <f>SUM(Q225:Q237)</f>
        <v>1793.3856799999999</v>
      </c>
      <c r="R238" s="213">
        <v>1240</v>
      </c>
      <c r="S238" s="213">
        <v>8233</v>
      </c>
      <c r="T238" s="213">
        <v>9970.2904130000006</v>
      </c>
      <c r="V238" s="192" t="s">
        <v>59</v>
      </c>
      <c r="W238" s="817">
        <v>10000.631096999999</v>
      </c>
    </row>
    <row r="239" spans="2:23">
      <c r="B239" s="65" t="s">
        <v>554</v>
      </c>
      <c r="C239" s="174">
        <f t="shared" ref="C239:N239" si="26">+C223+C238</f>
        <v>150015</v>
      </c>
      <c r="D239" s="174">
        <f t="shared" si="26"/>
        <v>135060</v>
      </c>
      <c r="E239" s="174">
        <f t="shared" si="26"/>
        <v>125840</v>
      </c>
      <c r="F239" s="174">
        <f t="shared" si="26"/>
        <v>128836</v>
      </c>
      <c r="G239" s="174">
        <f t="shared" si="26"/>
        <v>113982</v>
      </c>
      <c r="H239" s="174">
        <f t="shared" si="26"/>
        <v>117618</v>
      </c>
      <c r="I239" s="174">
        <f t="shared" si="26"/>
        <v>108818</v>
      </c>
      <c r="J239" s="174">
        <f t="shared" si="26"/>
        <v>111355</v>
      </c>
      <c r="K239" s="174">
        <f t="shared" si="26"/>
        <v>102220</v>
      </c>
      <c r="L239" s="174">
        <f t="shared" si="26"/>
        <v>104641</v>
      </c>
      <c r="M239" s="174">
        <f t="shared" si="26"/>
        <v>96099</v>
      </c>
      <c r="N239" s="174">
        <f t="shared" si="26"/>
        <v>95897</v>
      </c>
      <c r="O239" s="212">
        <v>81955</v>
      </c>
      <c r="P239" s="212">
        <f>+P223+P238</f>
        <v>79114.65932799998</v>
      </c>
      <c r="Q239" s="212">
        <f>+Q223+Q238</f>
        <v>74479.761879999991</v>
      </c>
      <c r="R239" s="212">
        <v>71783</v>
      </c>
      <c r="S239" s="212">
        <v>79996</v>
      </c>
      <c r="T239" s="212">
        <v>79875.014695999984</v>
      </c>
      <c r="V239" s="65" t="s">
        <v>60</v>
      </c>
      <c r="W239" s="815">
        <v>33960.308083999997</v>
      </c>
    </row>
    <row r="240" spans="2:23">
      <c r="B240" s="67"/>
      <c r="C240" s="195"/>
      <c r="D240" s="195"/>
      <c r="E240" s="195"/>
      <c r="F240" s="195"/>
      <c r="G240" s="195"/>
      <c r="H240" s="195"/>
      <c r="I240" s="195"/>
      <c r="J240" s="195"/>
      <c r="K240" s="195"/>
      <c r="L240" s="195"/>
      <c r="M240" s="195"/>
      <c r="N240" s="195"/>
      <c r="O240" s="214"/>
      <c r="P240" s="214"/>
      <c r="Q240" s="214"/>
      <c r="R240" s="214"/>
      <c r="S240" s="214">
        <v>0</v>
      </c>
      <c r="T240" s="749"/>
      <c r="V240" s="67"/>
      <c r="W240" s="825"/>
    </row>
    <row r="241" spans="2:23">
      <c r="B241" s="191" t="s">
        <v>555</v>
      </c>
      <c r="C241" s="196"/>
      <c r="D241" s="196"/>
      <c r="E241" s="196"/>
      <c r="F241" s="196"/>
      <c r="G241" s="196"/>
      <c r="H241" s="196"/>
      <c r="I241" s="196"/>
      <c r="J241" s="196"/>
      <c r="K241" s="196"/>
      <c r="L241" s="196"/>
      <c r="M241" s="196"/>
      <c r="N241" s="196"/>
      <c r="O241" s="215"/>
      <c r="P241" s="215"/>
      <c r="Q241" s="215"/>
      <c r="R241" s="215"/>
      <c r="S241" s="215"/>
      <c r="T241" s="751"/>
      <c r="V241" s="191" t="s">
        <v>61</v>
      </c>
      <c r="W241" s="823"/>
    </row>
    <row r="242" spans="2:23">
      <c r="B242" s="192" t="s">
        <v>556</v>
      </c>
      <c r="C242" s="197"/>
      <c r="D242" s="197"/>
      <c r="E242" s="197"/>
      <c r="F242" s="197"/>
      <c r="G242" s="197"/>
      <c r="H242" s="197"/>
      <c r="I242" s="197"/>
      <c r="J242" s="197"/>
      <c r="K242" s="197"/>
      <c r="L242" s="197"/>
      <c r="M242" s="197"/>
      <c r="N242" s="197"/>
      <c r="O242" s="216"/>
      <c r="P242" s="216"/>
      <c r="Q242" s="216"/>
      <c r="R242" s="216"/>
      <c r="S242" s="216"/>
      <c r="T242" s="752"/>
      <c r="V242" s="192" t="s">
        <v>62</v>
      </c>
      <c r="W242" s="824"/>
    </row>
    <row r="243" spans="2:23" ht="15.75">
      <c r="B243" s="194" t="s">
        <v>557</v>
      </c>
      <c r="C243" s="50">
        <v>26862</v>
      </c>
      <c r="D243" s="50">
        <v>25545</v>
      </c>
      <c r="E243" s="50">
        <v>23227</v>
      </c>
      <c r="F243" s="50">
        <v>25175</v>
      </c>
      <c r="G243" s="50">
        <v>18378</v>
      </c>
      <c r="H243" s="50">
        <v>20071</v>
      </c>
      <c r="I243" s="50">
        <v>17704</v>
      </c>
      <c r="J243" s="50">
        <v>19303</v>
      </c>
      <c r="K243" s="50">
        <v>20521</v>
      </c>
      <c r="L243" s="50">
        <v>21756</v>
      </c>
      <c r="M243" s="50">
        <v>21861</v>
      </c>
      <c r="N243" s="50">
        <v>22835</v>
      </c>
      <c r="O243" s="299">
        <v>9368</v>
      </c>
      <c r="P243" s="299">
        <v>9941.8127139999997</v>
      </c>
      <c r="Q243" s="299">
        <v>7864.3680999999997</v>
      </c>
      <c r="R243" s="299">
        <v>8341</v>
      </c>
      <c r="S243" s="299">
        <v>15954</v>
      </c>
      <c r="T243" s="299">
        <v>49698.744444999997</v>
      </c>
      <c r="V243" s="194" t="s">
        <v>63</v>
      </c>
      <c r="W243" s="299">
        <v>0</v>
      </c>
    </row>
    <row r="244" spans="2:23" ht="15.75">
      <c r="B244" s="194" t="s">
        <v>558</v>
      </c>
      <c r="C244" s="50">
        <v>388</v>
      </c>
      <c r="D244" s="50">
        <v>620</v>
      </c>
      <c r="E244" s="50">
        <v>1100</v>
      </c>
      <c r="F244" s="50">
        <v>1752</v>
      </c>
      <c r="G244" s="50">
        <v>782</v>
      </c>
      <c r="H244" s="50">
        <v>958</v>
      </c>
      <c r="I244" s="50">
        <v>505</v>
      </c>
      <c r="J244" s="50">
        <v>750</v>
      </c>
      <c r="K244" s="50">
        <v>1005</v>
      </c>
      <c r="L244" s="50">
        <v>2052</v>
      </c>
      <c r="M244" s="50">
        <v>2685</v>
      </c>
      <c r="N244" s="50">
        <v>2025</v>
      </c>
      <c r="O244" s="299">
        <v>1696</v>
      </c>
      <c r="P244" s="299">
        <v>3977.6526309999999</v>
      </c>
      <c r="Q244" s="299">
        <f>8207.223311-3.539753</f>
        <v>8203.6835580000006</v>
      </c>
      <c r="R244" s="299">
        <v>6166</v>
      </c>
      <c r="S244" s="299">
        <v>5963</v>
      </c>
      <c r="T244" s="299">
        <v>4593.392296</v>
      </c>
      <c r="V244" s="194" t="s">
        <v>64</v>
      </c>
      <c r="W244" s="299">
        <v>5413.4829810000001</v>
      </c>
    </row>
    <row r="245" spans="2:23" ht="15.75">
      <c r="B245" s="194" t="s">
        <v>559</v>
      </c>
      <c r="C245" s="50">
        <v>26</v>
      </c>
      <c r="D245" s="50">
        <v>33</v>
      </c>
      <c r="E245" s="50">
        <v>27</v>
      </c>
      <c r="F245" s="50">
        <v>31</v>
      </c>
      <c r="G245" s="50">
        <v>35</v>
      </c>
      <c r="H245" s="50">
        <v>31</v>
      </c>
      <c r="I245" s="50">
        <v>21</v>
      </c>
      <c r="J245" s="50">
        <v>23</v>
      </c>
      <c r="K245" s="50">
        <v>24</v>
      </c>
      <c r="L245" s="50">
        <v>29</v>
      </c>
      <c r="M245" s="50">
        <v>22</v>
      </c>
      <c r="N245" s="50">
        <v>32</v>
      </c>
      <c r="O245" s="299">
        <v>31</v>
      </c>
      <c r="P245" s="299">
        <v>35.794066000000001</v>
      </c>
      <c r="Q245" s="299">
        <v>29.997641000000002</v>
      </c>
      <c r="R245" s="299">
        <v>37</v>
      </c>
      <c r="S245" s="299">
        <v>37</v>
      </c>
      <c r="T245" s="299">
        <v>38.232610000000001</v>
      </c>
      <c r="V245" s="194" t="s">
        <v>66</v>
      </c>
      <c r="W245" s="299">
        <v>32.318117999999998</v>
      </c>
    </row>
    <row r="246" spans="2:23" ht="15.75">
      <c r="B246" s="194" t="s">
        <v>537</v>
      </c>
      <c r="C246" s="50">
        <v>881</v>
      </c>
      <c r="D246" s="50">
        <v>772</v>
      </c>
      <c r="E246" s="50">
        <v>599</v>
      </c>
      <c r="F246" s="50">
        <v>329</v>
      </c>
      <c r="G246" s="50">
        <v>2</v>
      </c>
      <c r="H246" s="50">
        <v>381</v>
      </c>
      <c r="I246" s="50">
        <v>622</v>
      </c>
      <c r="J246" s="50">
        <v>376</v>
      </c>
      <c r="K246" s="50">
        <v>447</v>
      </c>
      <c r="L246" s="50">
        <v>711</v>
      </c>
      <c r="M246" s="50">
        <v>3</v>
      </c>
      <c r="N246" s="50">
        <v>277</v>
      </c>
      <c r="O246" s="299">
        <v>4</v>
      </c>
      <c r="P246" s="299">
        <v>402.43116500000002</v>
      </c>
      <c r="Q246" s="299">
        <f>1569.5422877+3.539753</f>
        <v>1573.0820407000001</v>
      </c>
      <c r="R246" s="299">
        <v>2</v>
      </c>
      <c r="S246" s="299">
        <v>7</v>
      </c>
      <c r="T246" s="299">
        <v>0</v>
      </c>
      <c r="V246" s="194" t="s">
        <v>41</v>
      </c>
      <c r="W246" s="299">
        <v>577.08931199999995</v>
      </c>
    </row>
    <row r="247" spans="2:23" ht="15.75">
      <c r="B247" s="194" t="s">
        <v>560</v>
      </c>
      <c r="C247" s="50">
        <v>194</v>
      </c>
      <c r="D247" s="50">
        <v>8</v>
      </c>
      <c r="E247" s="50">
        <v>0</v>
      </c>
      <c r="F247" s="50">
        <v>0</v>
      </c>
      <c r="G247" s="50">
        <v>391</v>
      </c>
      <c r="H247" s="50">
        <v>0</v>
      </c>
      <c r="I247" s="50">
        <v>817</v>
      </c>
      <c r="J247" s="50">
        <v>1142</v>
      </c>
      <c r="K247" s="50">
        <v>1204</v>
      </c>
      <c r="L247" s="50">
        <v>403</v>
      </c>
      <c r="M247" s="50">
        <v>723</v>
      </c>
      <c r="N247" s="50">
        <v>808</v>
      </c>
      <c r="O247" s="299">
        <v>712</v>
      </c>
      <c r="P247" s="299">
        <v>993.08586100000002</v>
      </c>
      <c r="Q247" s="299">
        <v>419.40636999999998</v>
      </c>
      <c r="R247" s="299">
        <v>1460</v>
      </c>
      <c r="S247" s="299">
        <v>1381</v>
      </c>
      <c r="T247" s="299">
        <v>1154.4422910000001</v>
      </c>
      <c r="V247" s="194" t="s">
        <v>67</v>
      </c>
      <c r="W247" s="299">
        <v>1706.1004029999999</v>
      </c>
    </row>
    <row r="248" spans="2:23" ht="15.75">
      <c r="B248" s="194" t="s">
        <v>561</v>
      </c>
      <c r="C248" s="50">
        <v>814</v>
      </c>
      <c r="D248" s="50">
        <v>983</v>
      </c>
      <c r="E248" s="50">
        <v>142</v>
      </c>
      <c r="F248" s="50">
        <v>204</v>
      </c>
      <c r="G248" s="50">
        <v>269</v>
      </c>
      <c r="H248" s="50">
        <v>597</v>
      </c>
      <c r="I248" s="50">
        <v>151</v>
      </c>
      <c r="J248" s="50">
        <v>193</v>
      </c>
      <c r="K248" s="50">
        <v>241</v>
      </c>
      <c r="L248" s="50">
        <v>463</v>
      </c>
      <c r="M248" s="50">
        <v>713</v>
      </c>
      <c r="N248" s="50">
        <v>200</v>
      </c>
      <c r="O248" s="299">
        <v>245</v>
      </c>
      <c r="P248" s="299">
        <v>359.39655299999998</v>
      </c>
      <c r="Q248" s="299">
        <v>163.96799999999999</v>
      </c>
      <c r="R248" s="299">
        <v>215</v>
      </c>
      <c r="S248" s="299">
        <v>294</v>
      </c>
      <c r="T248" s="299">
        <v>527.63570000000004</v>
      </c>
      <c r="V248" s="194" t="s">
        <v>65</v>
      </c>
      <c r="W248" s="299">
        <v>178.42062300000001</v>
      </c>
    </row>
    <row r="249" spans="2:23" ht="15.75">
      <c r="B249" s="194" t="s">
        <v>562</v>
      </c>
      <c r="C249" s="50">
        <v>0</v>
      </c>
      <c r="D249" s="50">
        <v>0</v>
      </c>
      <c r="E249" s="50">
        <v>0</v>
      </c>
      <c r="F249" s="50">
        <v>0</v>
      </c>
      <c r="G249" s="50">
        <v>0</v>
      </c>
      <c r="H249" s="50">
        <v>0</v>
      </c>
      <c r="I249" s="50">
        <v>0</v>
      </c>
      <c r="J249" s="50">
        <v>0</v>
      </c>
      <c r="K249" s="50">
        <v>0</v>
      </c>
      <c r="L249" s="50">
        <v>0</v>
      </c>
      <c r="M249" s="50">
        <v>0</v>
      </c>
      <c r="N249" s="50">
        <v>0</v>
      </c>
      <c r="O249" s="299">
        <v>0</v>
      </c>
      <c r="P249" s="299">
        <v>3091.8369189999999</v>
      </c>
      <c r="Q249" s="299">
        <v>3197.414385</v>
      </c>
      <c r="R249" s="299">
        <v>2383</v>
      </c>
      <c r="S249" s="299">
        <v>3091</v>
      </c>
      <c r="T249" s="299">
        <v>113.973</v>
      </c>
      <c r="V249" s="194" t="s">
        <v>68</v>
      </c>
      <c r="W249" s="299">
        <v>2176.1364899999999</v>
      </c>
    </row>
    <row r="250" spans="2:23" ht="15.75">
      <c r="B250" s="194" t="s">
        <v>625</v>
      </c>
      <c r="C250" s="50">
        <v>0</v>
      </c>
      <c r="D250" s="50">
        <v>0</v>
      </c>
      <c r="E250" s="50">
        <v>0</v>
      </c>
      <c r="F250" s="50">
        <v>0</v>
      </c>
      <c r="G250" s="50">
        <v>0</v>
      </c>
      <c r="H250" s="50">
        <v>0</v>
      </c>
      <c r="I250" s="50">
        <v>0</v>
      </c>
      <c r="J250" s="50">
        <v>0</v>
      </c>
      <c r="K250" s="50">
        <v>0</v>
      </c>
      <c r="L250" s="50">
        <v>0</v>
      </c>
      <c r="M250" s="50">
        <v>0</v>
      </c>
      <c r="N250" s="50">
        <v>0</v>
      </c>
      <c r="O250" s="299">
        <v>0</v>
      </c>
      <c r="P250" s="299">
        <v>0</v>
      </c>
      <c r="Q250" s="299">
        <v>0</v>
      </c>
      <c r="R250" s="299">
        <v>0</v>
      </c>
      <c r="S250" s="299">
        <v>0</v>
      </c>
      <c r="T250" s="299">
        <v>0</v>
      </c>
      <c r="V250" s="194" t="s">
        <v>625</v>
      </c>
      <c r="W250" s="299"/>
    </row>
    <row r="251" spans="2:23">
      <c r="B251" s="192" t="s">
        <v>563</v>
      </c>
      <c r="C251" s="175">
        <f t="shared" ref="C251:N251" si="27">SUM(C243:C250)</f>
        <v>29165</v>
      </c>
      <c r="D251" s="175">
        <f t="shared" si="27"/>
        <v>27961</v>
      </c>
      <c r="E251" s="175">
        <f t="shared" si="27"/>
        <v>25095</v>
      </c>
      <c r="F251" s="175">
        <f t="shared" si="27"/>
        <v>27491</v>
      </c>
      <c r="G251" s="175">
        <f t="shared" si="27"/>
        <v>19857</v>
      </c>
      <c r="H251" s="175">
        <f t="shared" si="27"/>
        <v>22038</v>
      </c>
      <c r="I251" s="175">
        <f t="shared" si="27"/>
        <v>19820</v>
      </c>
      <c r="J251" s="175">
        <f t="shared" si="27"/>
        <v>21787</v>
      </c>
      <c r="K251" s="175">
        <f t="shared" si="27"/>
        <v>23442</v>
      </c>
      <c r="L251" s="175">
        <f t="shared" si="27"/>
        <v>25414</v>
      </c>
      <c r="M251" s="175">
        <f t="shared" si="27"/>
        <v>26007</v>
      </c>
      <c r="N251" s="175">
        <f t="shared" si="27"/>
        <v>26177</v>
      </c>
      <c r="O251" s="213">
        <v>12056</v>
      </c>
      <c r="P251" s="213">
        <f>SUM(P243:P250)</f>
        <v>18802.009909</v>
      </c>
      <c r="Q251" s="213">
        <f>SUM(Q243:Q250)</f>
        <v>21451.920094700003</v>
      </c>
      <c r="R251" s="213">
        <v>18604</v>
      </c>
      <c r="S251" s="213">
        <v>26727</v>
      </c>
      <c r="T251" s="213">
        <v>56126.42034199999</v>
      </c>
      <c r="V251" s="192" t="s">
        <v>70</v>
      </c>
      <c r="W251" s="817">
        <v>10083.547927</v>
      </c>
    </row>
    <row r="252" spans="2:23">
      <c r="B252" s="198" t="s">
        <v>564</v>
      </c>
      <c r="C252" s="199"/>
      <c r="D252" s="199"/>
      <c r="E252" s="199"/>
      <c r="F252" s="199"/>
      <c r="G252" s="199"/>
      <c r="H252" s="199"/>
      <c r="I252" s="199"/>
      <c r="J252" s="199"/>
      <c r="K252" s="199"/>
      <c r="L252" s="199"/>
      <c r="M252" s="199"/>
      <c r="N252" s="199"/>
      <c r="O252" s="217"/>
      <c r="P252" s="217"/>
      <c r="Q252" s="217"/>
      <c r="R252" s="217"/>
      <c r="S252" s="217"/>
      <c r="T252" s="753"/>
      <c r="V252" s="198" t="s">
        <v>71</v>
      </c>
      <c r="W252" s="820"/>
    </row>
    <row r="253" spans="2:23" ht="15.75">
      <c r="B253" s="194" t="s">
        <v>557</v>
      </c>
      <c r="C253" s="50">
        <v>95874</v>
      </c>
      <c r="D253" s="50">
        <v>82408</v>
      </c>
      <c r="E253" s="50">
        <v>76134</v>
      </c>
      <c r="F253" s="50">
        <v>76709</v>
      </c>
      <c r="G253" s="50">
        <v>69631</v>
      </c>
      <c r="H253" s="50">
        <v>70138</v>
      </c>
      <c r="I253" s="50">
        <v>63599</v>
      </c>
      <c r="J253" s="50">
        <v>63823</v>
      </c>
      <c r="K253" s="50">
        <v>52484</v>
      </c>
      <c r="L253" s="50">
        <v>52799</v>
      </c>
      <c r="M253" s="50">
        <v>44322</v>
      </c>
      <c r="N253" s="50">
        <v>44755</v>
      </c>
      <c r="O253" s="299">
        <v>45575</v>
      </c>
      <c r="P253" s="299">
        <v>46191.339499000002</v>
      </c>
      <c r="Q253" s="299">
        <v>38809.803021</v>
      </c>
      <c r="R253" s="299">
        <v>39246</v>
      </c>
      <c r="S253" s="299">
        <v>31858</v>
      </c>
      <c r="T253" s="299">
        <v>0</v>
      </c>
      <c r="V253" s="194" t="s">
        <v>63</v>
      </c>
      <c r="W253" s="299">
        <v>0</v>
      </c>
    </row>
    <row r="254" spans="2:23" ht="15.75">
      <c r="B254" s="194" t="s">
        <v>558</v>
      </c>
      <c r="C254" s="50">
        <v>0</v>
      </c>
      <c r="D254" s="50">
        <v>0</v>
      </c>
      <c r="E254" s="50">
        <v>0</v>
      </c>
      <c r="F254" s="50">
        <v>0</v>
      </c>
      <c r="G254" s="50">
        <v>0</v>
      </c>
      <c r="H254" s="50">
        <v>0</v>
      </c>
      <c r="I254" s="50">
        <v>0</v>
      </c>
      <c r="J254" s="50">
        <v>24</v>
      </c>
      <c r="K254" s="50">
        <v>20</v>
      </c>
      <c r="L254" s="50">
        <v>63</v>
      </c>
      <c r="M254" s="50">
        <v>49</v>
      </c>
      <c r="N254" s="50">
        <v>39</v>
      </c>
      <c r="O254" s="299">
        <v>42</v>
      </c>
      <c r="P254" s="299">
        <v>29.737808000000001</v>
      </c>
      <c r="Q254" s="299">
        <v>17.819880999999999</v>
      </c>
      <c r="R254" s="299">
        <v>8</v>
      </c>
      <c r="S254" s="299">
        <v>3</v>
      </c>
      <c r="T254" s="299">
        <v>0</v>
      </c>
      <c r="V254" s="194" t="s">
        <v>64</v>
      </c>
      <c r="W254" s="299">
        <v>0</v>
      </c>
    </row>
    <row r="255" spans="2:23" ht="15.75">
      <c r="B255" s="194" t="s">
        <v>565</v>
      </c>
      <c r="C255" s="50">
        <v>0</v>
      </c>
      <c r="D255" s="50">
        <v>0</v>
      </c>
      <c r="E255" s="50">
        <v>0</v>
      </c>
      <c r="F255" s="50">
        <v>0</v>
      </c>
      <c r="G255" s="50">
        <v>0</v>
      </c>
      <c r="H255" s="50">
        <v>0</v>
      </c>
      <c r="I255" s="50">
        <v>0</v>
      </c>
      <c r="J255" s="50">
        <v>0</v>
      </c>
      <c r="K255" s="50">
        <v>0</v>
      </c>
      <c r="L255" s="50">
        <v>0</v>
      </c>
      <c r="M255" s="50">
        <v>0</v>
      </c>
      <c r="N255" s="50">
        <v>0</v>
      </c>
      <c r="O255" s="299">
        <v>0</v>
      </c>
      <c r="P255" s="299">
        <v>0</v>
      </c>
      <c r="Q255" s="299">
        <v>0</v>
      </c>
      <c r="R255" s="299">
        <v>0</v>
      </c>
      <c r="S255" s="299">
        <v>0</v>
      </c>
      <c r="T255" s="299">
        <v>0</v>
      </c>
      <c r="V255" s="194" t="s">
        <v>72</v>
      </c>
      <c r="W255" s="299">
        <v>0</v>
      </c>
    </row>
    <row r="256" spans="2:23" ht="15.75">
      <c r="B256" s="194" t="s">
        <v>559</v>
      </c>
      <c r="C256" s="50">
        <v>0</v>
      </c>
      <c r="D256" s="50">
        <v>0</v>
      </c>
      <c r="E256" s="50">
        <v>0</v>
      </c>
      <c r="F256" s="50">
        <v>0</v>
      </c>
      <c r="G256" s="50">
        <v>0</v>
      </c>
      <c r="H256" s="50">
        <v>0</v>
      </c>
      <c r="I256" s="50">
        <v>0</v>
      </c>
      <c r="J256" s="50">
        <v>0</v>
      </c>
      <c r="K256" s="50">
        <v>0</v>
      </c>
      <c r="L256" s="50">
        <v>0</v>
      </c>
      <c r="M256" s="50">
        <v>0</v>
      </c>
      <c r="N256" s="50">
        <v>0</v>
      </c>
      <c r="O256" s="299">
        <v>0</v>
      </c>
      <c r="P256" s="299">
        <v>0</v>
      </c>
      <c r="Q256" s="299">
        <v>0</v>
      </c>
      <c r="R256" s="299">
        <v>0</v>
      </c>
      <c r="S256" s="299">
        <v>0</v>
      </c>
      <c r="T256" s="299">
        <v>0</v>
      </c>
      <c r="V256" s="194" t="s">
        <v>66</v>
      </c>
      <c r="W256" s="299">
        <v>0</v>
      </c>
    </row>
    <row r="257" spans="2:23" ht="15.75">
      <c r="B257" s="194" t="s">
        <v>560</v>
      </c>
      <c r="C257" s="50">
        <v>0</v>
      </c>
      <c r="D257" s="50">
        <v>0</v>
      </c>
      <c r="E257" s="50">
        <v>0</v>
      </c>
      <c r="F257" s="50">
        <v>0</v>
      </c>
      <c r="G257" s="50">
        <v>0</v>
      </c>
      <c r="H257" s="50">
        <v>0</v>
      </c>
      <c r="I257" s="50">
        <v>0</v>
      </c>
      <c r="J257" s="50">
        <v>0</v>
      </c>
      <c r="K257" s="50">
        <v>0</v>
      </c>
      <c r="L257" s="50">
        <v>0</v>
      </c>
      <c r="M257" s="50">
        <v>0</v>
      </c>
      <c r="N257" s="50">
        <v>0</v>
      </c>
      <c r="O257" s="299">
        <v>0</v>
      </c>
      <c r="P257" s="299">
        <v>0</v>
      </c>
      <c r="Q257" s="299">
        <v>0</v>
      </c>
      <c r="R257" s="299">
        <v>0</v>
      </c>
      <c r="S257" s="299">
        <v>0</v>
      </c>
      <c r="T257" s="299">
        <v>0</v>
      </c>
      <c r="V257" s="194" t="s">
        <v>67</v>
      </c>
      <c r="W257" s="299">
        <v>0</v>
      </c>
    </row>
    <row r="258" spans="2:23" ht="15.75">
      <c r="B258" s="194" t="s">
        <v>562</v>
      </c>
      <c r="C258" s="50">
        <v>0</v>
      </c>
      <c r="D258" s="50">
        <v>0</v>
      </c>
      <c r="E258" s="50">
        <v>0</v>
      </c>
      <c r="F258" s="50">
        <v>0</v>
      </c>
      <c r="G258" s="50">
        <v>0</v>
      </c>
      <c r="H258" s="50">
        <v>0</v>
      </c>
      <c r="I258" s="50">
        <v>0</v>
      </c>
      <c r="J258" s="50">
        <v>0</v>
      </c>
      <c r="K258" s="50">
        <v>0</v>
      </c>
      <c r="L258" s="50">
        <v>0</v>
      </c>
      <c r="M258" s="50">
        <v>0</v>
      </c>
      <c r="N258" s="50">
        <v>0</v>
      </c>
      <c r="O258" s="299">
        <v>0</v>
      </c>
      <c r="P258" s="299">
        <v>0</v>
      </c>
      <c r="Q258" s="299">
        <v>0</v>
      </c>
      <c r="R258" s="299">
        <v>0</v>
      </c>
      <c r="S258" s="299">
        <v>0</v>
      </c>
      <c r="T258" s="299">
        <v>0</v>
      </c>
      <c r="V258" s="194" t="s">
        <v>68</v>
      </c>
      <c r="W258" s="299">
        <v>0</v>
      </c>
    </row>
    <row r="259" spans="2:23" ht="15.75">
      <c r="B259" s="194" t="s">
        <v>566</v>
      </c>
      <c r="C259" s="50">
        <v>0</v>
      </c>
      <c r="D259" s="50">
        <v>149</v>
      </c>
      <c r="E259" s="50">
        <v>0</v>
      </c>
      <c r="F259" s="50">
        <v>0</v>
      </c>
      <c r="G259" s="50">
        <v>0</v>
      </c>
      <c r="H259" s="50">
        <v>0</v>
      </c>
      <c r="I259" s="50">
        <v>0</v>
      </c>
      <c r="J259" s="50">
        <v>0</v>
      </c>
      <c r="K259" s="50">
        <v>0</v>
      </c>
      <c r="L259" s="50">
        <v>0</v>
      </c>
      <c r="M259" s="50">
        <v>0</v>
      </c>
      <c r="N259" s="50">
        <v>0</v>
      </c>
      <c r="O259" s="299">
        <v>0</v>
      </c>
      <c r="P259" s="299">
        <v>0</v>
      </c>
      <c r="Q259" s="299">
        <v>0</v>
      </c>
      <c r="R259" s="299">
        <v>0</v>
      </c>
      <c r="S259" s="299">
        <v>0</v>
      </c>
      <c r="T259" s="299">
        <v>0</v>
      </c>
      <c r="V259" s="194" t="s">
        <v>97</v>
      </c>
      <c r="W259" s="299">
        <v>0</v>
      </c>
    </row>
    <row r="260" spans="2:23">
      <c r="B260" s="192" t="s">
        <v>567</v>
      </c>
      <c r="C260" s="175">
        <f t="shared" ref="C260:N260" si="28">SUM(C253:C259)</f>
        <v>95874</v>
      </c>
      <c r="D260" s="175">
        <f t="shared" si="28"/>
        <v>82557</v>
      </c>
      <c r="E260" s="175">
        <f t="shared" si="28"/>
        <v>76134</v>
      </c>
      <c r="F260" s="175">
        <f t="shared" si="28"/>
        <v>76709</v>
      </c>
      <c r="G260" s="175">
        <f t="shared" si="28"/>
        <v>69631</v>
      </c>
      <c r="H260" s="175">
        <f t="shared" si="28"/>
        <v>70138</v>
      </c>
      <c r="I260" s="175">
        <f t="shared" si="28"/>
        <v>63599</v>
      </c>
      <c r="J260" s="175">
        <f t="shared" si="28"/>
        <v>63847</v>
      </c>
      <c r="K260" s="175">
        <f t="shared" si="28"/>
        <v>52504</v>
      </c>
      <c r="L260" s="175">
        <f t="shared" si="28"/>
        <v>52862</v>
      </c>
      <c r="M260" s="175">
        <f t="shared" si="28"/>
        <v>44371</v>
      </c>
      <c r="N260" s="175">
        <f t="shared" si="28"/>
        <v>44794</v>
      </c>
      <c r="O260" s="213">
        <v>45617</v>
      </c>
      <c r="P260" s="213">
        <f>SUM(P253:P259)</f>
        <v>46221.077307</v>
      </c>
      <c r="Q260" s="213">
        <f>SUM(Q253:Q259)</f>
        <v>38827.622902000003</v>
      </c>
      <c r="R260" s="213">
        <v>39254</v>
      </c>
      <c r="S260" s="213">
        <v>31861</v>
      </c>
      <c r="T260" s="213">
        <v>0</v>
      </c>
      <c r="V260" s="192" t="s">
        <v>73</v>
      </c>
      <c r="W260" s="817">
        <v>0</v>
      </c>
    </row>
    <row r="261" spans="2:23">
      <c r="B261" s="65" t="s">
        <v>568</v>
      </c>
      <c r="C261" s="174">
        <f t="shared" ref="C261:N261" si="29">+C251+C260</f>
        <v>125039</v>
      </c>
      <c r="D261" s="174">
        <f t="shared" si="29"/>
        <v>110518</v>
      </c>
      <c r="E261" s="174">
        <f t="shared" si="29"/>
        <v>101229</v>
      </c>
      <c r="F261" s="174">
        <f t="shared" si="29"/>
        <v>104200</v>
      </c>
      <c r="G261" s="174">
        <f t="shared" si="29"/>
        <v>89488</v>
      </c>
      <c r="H261" s="174">
        <f t="shared" si="29"/>
        <v>92176</v>
      </c>
      <c r="I261" s="174">
        <f t="shared" si="29"/>
        <v>83419</v>
      </c>
      <c r="J261" s="174">
        <f t="shared" si="29"/>
        <v>85634</v>
      </c>
      <c r="K261" s="174">
        <f t="shared" si="29"/>
        <v>75946</v>
      </c>
      <c r="L261" s="174">
        <f t="shared" si="29"/>
        <v>78276</v>
      </c>
      <c r="M261" s="174">
        <f t="shared" si="29"/>
        <v>70378</v>
      </c>
      <c r="N261" s="174">
        <f t="shared" si="29"/>
        <v>70971</v>
      </c>
      <c r="O261" s="212">
        <v>57673</v>
      </c>
      <c r="P261" s="212">
        <f>+P251+P260</f>
        <v>65023.087216</v>
      </c>
      <c r="Q261" s="212">
        <f>+Q251+Q260</f>
        <v>60279.542996700009</v>
      </c>
      <c r="R261" s="212">
        <v>57858</v>
      </c>
      <c r="S261" s="212">
        <v>58588</v>
      </c>
      <c r="T261" s="212">
        <v>56126.42034199999</v>
      </c>
      <c r="V261" s="65" t="s">
        <v>74</v>
      </c>
      <c r="W261" s="815">
        <v>10083.547927</v>
      </c>
    </row>
    <row r="262" spans="2:23">
      <c r="B262" s="67"/>
      <c r="C262" s="195"/>
      <c r="D262" s="195"/>
      <c r="E262" s="195"/>
      <c r="F262" s="195"/>
      <c r="G262" s="195"/>
      <c r="H262" s="195"/>
      <c r="I262" s="195"/>
      <c r="J262" s="195"/>
      <c r="K262" s="195"/>
      <c r="L262" s="195"/>
      <c r="M262" s="195"/>
      <c r="N262" s="195"/>
      <c r="O262" s="214"/>
      <c r="P262" s="214"/>
      <c r="Q262" s="214"/>
      <c r="R262" s="214"/>
      <c r="S262" s="214">
        <v>0</v>
      </c>
      <c r="T262" s="749"/>
      <c r="V262" s="67"/>
      <c r="W262" s="821"/>
    </row>
    <row r="263" spans="2:23">
      <c r="B263" s="198" t="s">
        <v>569</v>
      </c>
      <c r="C263" s="199"/>
      <c r="D263" s="199"/>
      <c r="E263" s="199"/>
      <c r="F263" s="199"/>
      <c r="G263" s="199"/>
      <c r="H263" s="199"/>
      <c r="I263" s="199"/>
      <c r="J263" s="199"/>
      <c r="K263" s="199"/>
      <c r="L263" s="199"/>
      <c r="M263" s="199"/>
      <c r="N263" s="199"/>
      <c r="O263" s="217"/>
      <c r="P263" s="217"/>
      <c r="Q263" s="217"/>
      <c r="R263" s="217"/>
      <c r="S263" s="217"/>
      <c r="T263" s="753"/>
      <c r="V263" s="198" t="s">
        <v>75</v>
      </c>
      <c r="W263" s="820"/>
    </row>
    <row r="264" spans="2:23" ht="15.75">
      <c r="B264" s="194" t="s">
        <v>570</v>
      </c>
      <c r="C264" s="50">
        <v>30199</v>
      </c>
      <c r="D264" s="50">
        <v>30199</v>
      </c>
      <c r="E264" s="50">
        <v>30199</v>
      </c>
      <c r="F264" s="50">
        <v>30199</v>
      </c>
      <c r="G264" s="50">
        <v>30199</v>
      </c>
      <c r="H264" s="50">
        <v>30199</v>
      </c>
      <c r="I264" s="50">
        <v>30199</v>
      </c>
      <c r="J264" s="50">
        <v>30199</v>
      </c>
      <c r="K264" s="50">
        <v>30199</v>
      </c>
      <c r="L264" s="50">
        <v>30199</v>
      </c>
      <c r="M264" s="50">
        <v>30199</v>
      </c>
      <c r="N264" s="50">
        <v>30199</v>
      </c>
      <c r="O264" s="299">
        <v>30199</v>
      </c>
      <c r="P264" s="299">
        <v>30199.025601000001</v>
      </c>
      <c r="Q264" s="299">
        <v>30199.025601000001</v>
      </c>
      <c r="R264" s="299">
        <v>30199.025601000001</v>
      </c>
      <c r="S264" s="299">
        <v>30199.025601000001</v>
      </c>
      <c r="T264" s="299">
        <v>30199.025601000001</v>
      </c>
      <c r="V264" s="194" t="s">
        <v>76</v>
      </c>
      <c r="W264" s="299">
        <v>30199.025601000001</v>
      </c>
    </row>
    <row r="265" spans="2:23" ht="15.75">
      <c r="B265" s="194" t="s">
        <v>571</v>
      </c>
      <c r="C265" s="50">
        <v>0</v>
      </c>
      <c r="D265" s="50">
        <v>0</v>
      </c>
      <c r="E265" s="50">
        <v>0</v>
      </c>
      <c r="F265" s="50">
        <v>0</v>
      </c>
      <c r="G265" s="50">
        <v>0</v>
      </c>
      <c r="H265" s="50">
        <v>0</v>
      </c>
      <c r="I265" s="50">
        <v>0</v>
      </c>
      <c r="J265" s="50">
        <v>0</v>
      </c>
      <c r="K265" s="50">
        <v>0</v>
      </c>
      <c r="L265" s="50">
        <v>0</v>
      </c>
      <c r="M265" s="50">
        <v>0</v>
      </c>
      <c r="N265" s="50">
        <v>0</v>
      </c>
      <c r="O265" s="299">
        <v>0</v>
      </c>
      <c r="P265" s="299">
        <v>0</v>
      </c>
      <c r="Q265" s="299">
        <v>0</v>
      </c>
      <c r="R265" s="299">
        <v>0</v>
      </c>
      <c r="S265" s="299">
        <v>0</v>
      </c>
      <c r="T265" s="299">
        <v>0</v>
      </c>
      <c r="V265" s="194" t="s">
        <v>77</v>
      </c>
      <c r="W265" s="299">
        <v>0</v>
      </c>
    </row>
    <row r="266" spans="2:23" ht="15.75">
      <c r="B266" s="194" t="s">
        <v>572</v>
      </c>
      <c r="C266" s="50">
        <v>0</v>
      </c>
      <c r="D266" s="50">
        <v>0</v>
      </c>
      <c r="E266" s="50">
        <v>0</v>
      </c>
      <c r="F266" s="50">
        <v>0</v>
      </c>
      <c r="G266" s="50">
        <v>0</v>
      </c>
      <c r="H266" s="50">
        <v>0</v>
      </c>
      <c r="I266" s="50">
        <v>0</v>
      </c>
      <c r="J266" s="50">
        <v>0</v>
      </c>
      <c r="K266" s="50">
        <v>0</v>
      </c>
      <c r="L266" s="50">
        <v>0</v>
      </c>
      <c r="M266" s="50">
        <v>0</v>
      </c>
      <c r="N266" s="50">
        <v>0</v>
      </c>
      <c r="O266" s="299">
        <v>0</v>
      </c>
      <c r="P266" s="299">
        <v>0</v>
      </c>
      <c r="Q266" s="299">
        <v>0</v>
      </c>
      <c r="R266" s="299">
        <v>0</v>
      </c>
      <c r="S266" s="299">
        <v>0</v>
      </c>
      <c r="T266" s="299">
        <v>0</v>
      </c>
      <c r="V266" s="194" t="s">
        <v>78</v>
      </c>
      <c r="W266" s="299">
        <v>0</v>
      </c>
    </row>
    <row r="267" spans="2:23" ht="15.75">
      <c r="B267" s="194" t="s">
        <v>573</v>
      </c>
      <c r="C267" s="50">
        <v>545</v>
      </c>
      <c r="D267" s="50">
        <v>-5224</v>
      </c>
      <c r="E267" s="50">
        <v>-5657</v>
      </c>
      <c r="F267" s="50">
        <v>-5657</v>
      </c>
      <c r="G267" s="50">
        <v>-5657</v>
      </c>
      <c r="H267" s="50">
        <v>-5657</v>
      </c>
      <c r="I267" s="50">
        <v>-4756</v>
      </c>
      <c r="J267" s="50">
        <v>-4756</v>
      </c>
      <c r="K267" s="50">
        <v>-4756</v>
      </c>
      <c r="L267" s="50">
        <v>-4756</v>
      </c>
      <c r="M267" s="50">
        <v>-3834</v>
      </c>
      <c r="N267" s="50">
        <v>-3834</v>
      </c>
      <c r="O267" s="299">
        <v>-3834</v>
      </c>
      <c r="P267" s="299">
        <v>-3834.435778</v>
      </c>
      <c r="Q267" s="299">
        <v>-16107.45349</v>
      </c>
      <c r="R267" s="299">
        <v>-16107.45349</v>
      </c>
      <c r="S267" s="299">
        <v>-15333</v>
      </c>
      <c r="T267" s="299">
        <v>-15332.966490000001</v>
      </c>
      <c r="V267" s="194" t="s">
        <v>79</v>
      </c>
      <c r="W267" s="299">
        <v>-6450.4312470000004</v>
      </c>
    </row>
    <row r="268" spans="2:23" ht="15.75">
      <c r="B268" s="194" t="s">
        <v>574</v>
      </c>
      <c r="C268" s="50">
        <v>-5768</v>
      </c>
      <c r="D268" s="50">
        <v>-433</v>
      </c>
      <c r="E268" s="50">
        <v>69</v>
      </c>
      <c r="F268" s="50">
        <v>94</v>
      </c>
      <c r="G268" s="50">
        <v>-48</v>
      </c>
      <c r="H268" s="50">
        <v>900</v>
      </c>
      <c r="I268" s="50">
        <v>-44</v>
      </c>
      <c r="J268" s="50">
        <v>278</v>
      </c>
      <c r="K268" s="50">
        <v>831</v>
      </c>
      <c r="L268" s="50">
        <v>922</v>
      </c>
      <c r="M268" s="50">
        <v>-644</v>
      </c>
      <c r="N268" s="50">
        <v>-1439</v>
      </c>
      <c r="O268" s="299">
        <v>-2083</v>
      </c>
      <c r="P268" s="299">
        <v>-12273.017712000001</v>
      </c>
      <c r="Q268" s="299">
        <v>108.646835</v>
      </c>
      <c r="R268" s="299">
        <v>-167</v>
      </c>
      <c r="S268" s="299">
        <v>6542</v>
      </c>
      <c r="T268" s="299">
        <v>8882.5352430000003</v>
      </c>
      <c r="V268" s="194" t="s">
        <v>80</v>
      </c>
      <c r="W268" s="299">
        <v>128.16580300000001</v>
      </c>
    </row>
    <row r="269" spans="2:23" ht="15.75">
      <c r="B269" s="194" t="s">
        <v>575</v>
      </c>
      <c r="C269" s="50">
        <v>0</v>
      </c>
      <c r="D269" s="50">
        <v>0</v>
      </c>
      <c r="E269" s="50">
        <v>0</v>
      </c>
      <c r="F269" s="50">
        <v>0</v>
      </c>
      <c r="G269" s="50">
        <v>0</v>
      </c>
      <c r="H269" s="50">
        <v>0</v>
      </c>
      <c r="I269" s="50">
        <v>0</v>
      </c>
      <c r="J269" s="50">
        <v>0</v>
      </c>
      <c r="K269" s="50">
        <v>0</v>
      </c>
      <c r="L269" s="50">
        <v>0</v>
      </c>
      <c r="M269" s="50">
        <v>0</v>
      </c>
      <c r="N269" s="50">
        <v>0</v>
      </c>
      <c r="O269" s="299">
        <v>0</v>
      </c>
      <c r="P269" s="299">
        <v>0</v>
      </c>
      <c r="Q269" s="299">
        <v>0</v>
      </c>
      <c r="R269" s="299">
        <v>0</v>
      </c>
      <c r="S269" s="299">
        <v>0</v>
      </c>
      <c r="T269" s="299">
        <v>0</v>
      </c>
      <c r="V269" s="194" t="s">
        <v>81</v>
      </c>
      <c r="W269" s="299">
        <v>0</v>
      </c>
    </row>
    <row r="270" spans="2:23">
      <c r="B270" s="192" t="s">
        <v>576</v>
      </c>
      <c r="C270" s="175">
        <f t="shared" ref="C270:N270" si="30">SUM(C264:C269)</f>
        <v>24976</v>
      </c>
      <c r="D270" s="175">
        <f t="shared" si="30"/>
        <v>24542</v>
      </c>
      <c r="E270" s="175">
        <f t="shared" si="30"/>
        <v>24611</v>
      </c>
      <c r="F270" s="175">
        <f t="shared" si="30"/>
        <v>24636</v>
      </c>
      <c r="G270" s="175">
        <f t="shared" si="30"/>
        <v>24494</v>
      </c>
      <c r="H270" s="175">
        <f t="shared" si="30"/>
        <v>25442</v>
      </c>
      <c r="I270" s="175">
        <f t="shared" si="30"/>
        <v>25399</v>
      </c>
      <c r="J270" s="175">
        <f t="shared" si="30"/>
        <v>25721</v>
      </c>
      <c r="K270" s="175">
        <f t="shared" si="30"/>
        <v>26274</v>
      </c>
      <c r="L270" s="175">
        <f t="shared" si="30"/>
        <v>26365</v>
      </c>
      <c r="M270" s="175">
        <f t="shared" si="30"/>
        <v>25721</v>
      </c>
      <c r="N270" s="175">
        <f t="shared" si="30"/>
        <v>24926</v>
      </c>
      <c r="O270" s="213">
        <v>24282</v>
      </c>
      <c r="P270" s="213">
        <f>SUM(P264:P269)</f>
        <v>14091.572111000001</v>
      </c>
      <c r="Q270" s="213">
        <f>SUM(Q264:Q269)</f>
        <v>14200.218946000001</v>
      </c>
      <c r="R270" s="213">
        <v>13924.572111000001</v>
      </c>
      <c r="S270" s="213">
        <v>21408.025601000001</v>
      </c>
      <c r="T270" s="213">
        <v>23748.594354000001</v>
      </c>
      <c r="V270" s="192" t="s">
        <v>84</v>
      </c>
      <c r="W270" s="817">
        <v>23876.760157000001</v>
      </c>
    </row>
    <row r="271" spans="2:23">
      <c r="B271" s="65" t="s">
        <v>577</v>
      </c>
      <c r="C271" s="174">
        <f t="shared" ref="C271:N271" si="31">+C261+C270</f>
        <v>150015</v>
      </c>
      <c r="D271" s="174">
        <f t="shared" si="31"/>
        <v>135060</v>
      </c>
      <c r="E271" s="174">
        <f t="shared" si="31"/>
        <v>125840</v>
      </c>
      <c r="F271" s="174">
        <f t="shared" si="31"/>
        <v>128836</v>
      </c>
      <c r="G271" s="174">
        <f t="shared" si="31"/>
        <v>113982</v>
      </c>
      <c r="H271" s="174">
        <f t="shared" si="31"/>
        <v>117618</v>
      </c>
      <c r="I271" s="174">
        <f t="shared" si="31"/>
        <v>108818</v>
      </c>
      <c r="J271" s="174">
        <f t="shared" si="31"/>
        <v>111355</v>
      </c>
      <c r="K271" s="174">
        <f t="shared" si="31"/>
        <v>102220</v>
      </c>
      <c r="L271" s="174">
        <f t="shared" si="31"/>
        <v>104641</v>
      </c>
      <c r="M271" s="174">
        <f t="shared" si="31"/>
        <v>96099</v>
      </c>
      <c r="N271" s="174">
        <f t="shared" si="31"/>
        <v>95897</v>
      </c>
      <c r="O271" s="212">
        <v>81955</v>
      </c>
      <c r="P271" s="212">
        <f>+P261+P270</f>
        <v>79114.659327000001</v>
      </c>
      <c r="Q271" s="212">
        <f>+Q261+Q270</f>
        <v>74479.761942700017</v>
      </c>
      <c r="R271" s="212">
        <v>71782.572111000001</v>
      </c>
      <c r="S271" s="212">
        <v>79996.025601000001</v>
      </c>
      <c r="T271" s="212">
        <v>79875.014695999998</v>
      </c>
      <c r="V271" s="65" t="s">
        <v>85</v>
      </c>
      <c r="W271" s="815">
        <v>33960.308084000004</v>
      </c>
    </row>
    <row r="272" spans="2:23" ht="15.75">
      <c r="O272" s="302"/>
      <c r="P272" s="135"/>
      <c r="Q272" s="135"/>
      <c r="R272" s="135"/>
      <c r="T272" s="744"/>
    </row>
    <row r="273" spans="2:23" ht="15.75">
      <c r="O273" s="302"/>
      <c r="P273" s="135"/>
      <c r="Q273" s="135"/>
      <c r="R273" s="135"/>
      <c r="T273" s="744"/>
    </row>
    <row r="274" spans="2:23" ht="15.75">
      <c r="O274" s="302"/>
      <c r="P274" s="135"/>
      <c r="Q274" s="135"/>
      <c r="R274" s="135"/>
      <c r="T274" s="744"/>
    </row>
    <row r="275" spans="2:23" ht="15.75">
      <c r="B275" s="165" t="s">
        <v>481</v>
      </c>
      <c r="C275" s="75"/>
      <c r="D275" s="75"/>
      <c r="E275" s="76"/>
      <c r="F275" s="75"/>
      <c r="G275" s="75"/>
      <c r="H275" s="75"/>
      <c r="I275" s="76"/>
      <c r="J275" s="75"/>
      <c r="K275" s="75"/>
      <c r="L275" s="75"/>
      <c r="M275" s="76"/>
      <c r="N275" s="75"/>
      <c r="O275" s="75"/>
      <c r="P275" s="135"/>
      <c r="Q275" s="135"/>
      <c r="R275" s="135"/>
      <c r="T275" s="744"/>
    </row>
    <row r="276" spans="2:23" ht="15.75">
      <c r="B276" s="99" t="s">
        <v>515</v>
      </c>
      <c r="C276" s="5"/>
      <c r="D276" s="5"/>
      <c r="E276" s="5"/>
      <c r="F276" s="5"/>
      <c r="G276" s="5"/>
      <c r="H276" s="5"/>
      <c r="I276" s="5"/>
      <c r="J276" s="5"/>
      <c r="K276" s="5"/>
      <c r="L276" s="5"/>
      <c r="M276" s="5"/>
      <c r="N276" s="5"/>
      <c r="O276" s="302"/>
      <c r="P276" s="135"/>
      <c r="Q276" s="135"/>
      <c r="R276" s="135"/>
      <c r="T276" s="744"/>
    </row>
    <row r="277" spans="2:23" ht="7.5" customHeight="1">
      <c r="B277" s="77"/>
      <c r="C277" s="77"/>
      <c r="D277" s="77"/>
      <c r="E277" s="77"/>
      <c r="F277" s="77"/>
      <c r="G277" s="77"/>
      <c r="H277" s="77"/>
      <c r="I277" s="77"/>
      <c r="J277" s="77"/>
      <c r="K277" s="77"/>
      <c r="L277" s="77"/>
      <c r="M277" s="77"/>
      <c r="N277" s="77"/>
      <c r="O277" s="77"/>
      <c r="P277" s="135"/>
      <c r="Q277" s="135"/>
      <c r="R277" s="135"/>
      <c r="T277" s="744"/>
    </row>
    <row r="278" spans="2:23">
      <c r="B278" s="78"/>
      <c r="C278" s="79">
        <v>2016</v>
      </c>
      <c r="D278" s="79">
        <v>2017</v>
      </c>
      <c r="E278" s="79" t="s">
        <v>578</v>
      </c>
      <c r="F278" s="79" t="s">
        <v>579</v>
      </c>
      <c r="G278" s="79" t="s">
        <v>580</v>
      </c>
      <c r="H278" s="79" t="s">
        <v>581</v>
      </c>
      <c r="I278" s="79" t="s">
        <v>582</v>
      </c>
      <c r="J278" s="79" t="s">
        <v>583</v>
      </c>
      <c r="K278" s="79" t="s">
        <v>584</v>
      </c>
      <c r="L278" s="79" t="s">
        <v>585</v>
      </c>
      <c r="M278" s="79" t="s">
        <v>11</v>
      </c>
      <c r="N278" s="79" t="s">
        <v>12</v>
      </c>
      <c r="O278" s="208" t="s">
        <v>626</v>
      </c>
      <c r="P278" s="387" t="s">
        <v>958</v>
      </c>
      <c r="Q278" s="387" t="s">
        <v>1014</v>
      </c>
      <c r="R278" s="387" t="s">
        <v>1048</v>
      </c>
      <c r="S278" s="387" t="s">
        <v>1187</v>
      </c>
      <c r="T278" s="754" t="s">
        <v>1239</v>
      </c>
      <c r="V278" s="78"/>
      <c r="W278" s="754" t="s">
        <v>1292</v>
      </c>
    </row>
    <row r="279" spans="2:23" ht="2.4500000000000002" customHeight="1">
      <c r="B279" s="128"/>
      <c r="C279" s="81"/>
      <c r="D279" s="81"/>
      <c r="E279" s="81"/>
      <c r="F279" s="81"/>
      <c r="G279" s="81"/>
      <c r="H279" s="81"/>
      <c r="I279" s="81"/>
      <c r="J279" s="81"/>
      <c r="K279" s="81"/>
      <c r="L279" s="81"/>
      <c r="M279" s="81"/>
      <c r="N279" s="81"/>
      <c r="O279" s="77"/>
      <c r="P279" s="135"/>
      <c r="Q279" s="135"/>
      <c r="R279" s="135"/>
      <c r="S279" s="135">
        <v>386</v>
      </c>
      <c r="T279" s="744"/>
    </row>
    <row r="280" spans="2:23" ht="15.75">
      <c r="B280" s="129" t="s">
        <v>13</v>
      </c>
      <c r="C280" s="13">
        <v>65</v>
      </c>
      <c r="D280" s="13">
        <v>120</v>
      </c>
      <c r="E280" s="13">
        <v>105</v>
      </c>
      <c r="F280" s="13">
        <v>12</v>
      </c>
      <c r="G280" s="13">
        <v>138</v>
      </c>
      <c r="H280" s="13">
        <v>168</v>
      </c>
      <c r="I280" s="13">
        <v>1393</v>
      </c>
      <c r="J280" s="13">
        <v>717</v>
      </c>
      <c r="K280" s="13">
        <v>756</v>
      </c>
      <c r="L280" s="13">
        <v>1676</v>
      </c>
      <c r="M280" s="13">
        <v>37</v>
      </c>
      <c r="N280" s="13">
        <v>224</v>
      </c>
      <c r="O280" s="285">
        <v>141</v>
      </c>
      <c r="P280" s="285">
        <v>1015.343393</v>
      </c>
      <c r="Q280" s="285">
        <v>-425.63460600000002</v>
      </c>
      <c r="R280" s="285">
        <v>398.63460600000002</v>
      </c>
      <c r="S280" s="285">
        <v>310</v>
      </c>
      <c r="T280" s="285">
        <v>1360.753031</v>
      </c>
      <c r="V280" s="129" t="s">
        <v>13</v>
      </c>
      <c r="W280" s="285">
        <v>4107.2434359999997</v>
      </c>
    </row>
    <row r="281" spans="2:23" ht="15.75">
      <c r="B281" s="129" t="s">
        <v>14</v>
      </c>
      <c r="C281" s="13">
        <v>58</v>
      </c>
      <c r="D281" s="13">
        <v>106</v>
      </c>
      <c r="E281" s="13">
        <v>93</v>
      </c>
      <c r="F281" s="13">
        <v>10</v>
      </c>
      <c r="G281" s="13">
        <v>123</v>
      </c>
      <c r="H281" s="13">
        <v>149</v>
      </c>
      <c r="I281" s="13">
        <v>1233</v>
      </c>
      <c r="J281" s="13">
        <v>635</v>
      </c>
      <c r="K281" s="13">
        <v>669</v>
      </c>
      <c r="L281" s="13">
        <v>1483</v>
      </c>
      <c r="M281" s="13">
        <v>32</v>
      </c>
      <c r="N281" s="13">
        <v>195</v>
      </c>
      <c r="O281" s="285">
        <v>122</v>
      </c>
      <c r="P281" s="285">
        <v>882.90729899999997</v>
      </c>
      <c r="Q281" s="285">
        <v>370.11704800000001</v>
      </c>
      <c r="R281" s="285">
        <v>-346.11704800000001</v>
      </c>
      <c r="S281" s="285">
        <v>222</v>
      </c>
      <c r="T281" s="285">
        <v>1230.828722</v>
      </c>
      <c r="V281" s="129" t="s">
        <v>14</v>
      </c>
      <c r="W281" s="285">
        <v>3571.5160310000001</v>
      </c>
    </row>
    <row r="282" spans="2:23" ht="15.75">
      <c r="B282" s="132" t="s">
        <v>15</v>
      </c>
      <c r="C282" s="15">
        <f t="shared" ref="C282:M282" si="32">+C280-C281</f>
        <v>7</v>
      </c>
      <c r="D282" s="15">
        <f t="shared" si="32"/>
        <v>14</v>
      </c>
      <c r="E282" s="15">
        <f t="shared" si="32"/>
        <v>12</v>
      </c>
      <c r="F282" s="15">
        <f t="shared" si="32"/>
        <v>2</v>
      </c>
      <c r="G282" s="15">
        <f t="shared" si="32"/>
        <v>15</v>
      </c>
      <c r="H282" s="15">
        <f t="shared" si="32"/>
        <v>19</v>
      </c>
      <c r="I282" s="15">
        <f t="shared" si="32"/>
        <v>160</v>
      </c>
      <c r="J282" s="15">
        <f t="shared" si="32"/>
        <v>82</v>
      </c>
      <c r="K282" s="15">
        <f t="shared" si="32"/>
        <v>87</v>
      </c>
      <c r="L282" s="15">
        <f t="shared" si="32"/>
        <v>193</v>
      </c>
      <c r="M282" s="15">
        <f t="shared" si="32"/>
        <v>5</v>
      </c>
      <c r="N282" s="15">
        <f>+N280-N281</f>
        <v>29</v>
      </c>
      <c r="O282" s="301">
        <v>19</v>
      </c>
      <c r="P282" s="301">
        <v>132.43609400000003</v>
      </c>
      <c r="Q282" s="301">
        <f>+Q280+Q281</f>
        <v>-55.517558000000008</v>
      </c>
      <c r="R282" s="301">
        <v>52.517558000000008</v>
      </c>
      <c r="S282" s="301">
        <v>88</v>
      </c>
      <c r="T282" s="301">
        <v>129.92430899999999</v>
      </c>
      <c r="V282" s="132" t="s">
        <v>1293</v>
      </c>
      <c r="W282" s="301">
        <v>535.72740499999964</v>
      </c>
    </row>
    <row r="283" spans="2:23" ht="7.5" customHeight="1">
      <c r="B283" s="129"/>
      <c r="C283" s="13"/>
      <c r="D283" s="13"/>
      <c r="E283" s="13"/>
      <c r="F283" s="13"/>
      <c r="G283" s="13"/>
      <c r="H283" s="13"/>
      <c r="I283" s="13"/>
      <c r="J283" s="13"/>
      <c r="K283" s="13"/>
      <c r="L283" s="13"/>
      <c r="M283" s="13"/>
      <c r="N283" s="13"/>
      <c r="O283" s="285"/>
      <c r="P283" s="285"/>
      <c r="Q283" s="285"/>
      <c r="R283" s="285"/>
      <c r="S283" s="285">
        <v>0</v>
      </c>
      <c r="T283" s="285"/>
      <c r="V283" s="744"/>
      <c r="W283" s="285"/>
    </row>
    <row r="284" spans="2:23" ht="15.75">
      <c r="B284" s="129" t="s">
        <v>475</v>
      </c>
      <c r="C284" s="13">
        <v>9556</v>
      </c>
      <c r="D284" s="13">
        <v>8502</v>
      </c>
      <c r="E284" s="13">
        <v>3058</v>
      </c>
      <c r="F284" s="13">
        <v>2083</v>
      </c>
      <c r="G284" s="13">
        <v>1675</v>
      </c>
      <c r="H284" s="13">
        <v>2351</v>
      </c>
      <c r="I284" s="13">
        <v>3526</v>
      </c>
      <c r="J284" s="13">
        <v>2027</v>
      </c>
      <c r="K284" s="13">
        <v>1726</v>
      </c>
      <c r="L284" s="13">
        <v>2225</v>
      </c>
      <c r="M284" s="13">
        <v>3704</v>
      </c>
      <c r="N284" s="13">
        <v>2436</v>
      </c>
      <c r="O284" s="285">
        <v>1830</v>
      </c>
      <c r="P284" s="285">
        <v>2723.318949</v>
      </c>
      <c r="Q284" s="285">
        <v>3415.3201469999999</v>
      </c>
      <c r="R284" s="285">
        <v>2324.6798530000001</v>
      </c>
      <c r="S284" s="285">
        <v>2519</v>
      </c>
      <c r="T284" s="285">
        <v>9145.3632689999995</v>
      </c>
      <c r="V284" s="129" t="s">
        <v>475</v>
      </c>
      <c r="W284" s="285">
        <v>4839.7960149999999</v>
      </c>
    </row>
    <row r="285" spans="2:23" ht="15.75">
      <c r="B285" s="129" t="s">
        <v>476</v>
      </c>
      <c r="C285" s="13">
        <v>15216</v>
      </c>
      <c r="D285" s="13">
        <v>11612</v>
      </c>
      <c r="E285" s="13">
        <v>2726</v>
      </c>
      <c r="F285" s="13">
        <v>2041</v>
      </c>
      <c r="G285" s="13">
        <v>1993</v>
      </c>
      <c r="H285" s="13">
        <v>1908</v>
      </c>
      <c r="I285" s="13">
        <v>2707</v>
      </c>
      <c r="J285" s="13">
        <v>2657</v>
      </c>
      <c r="K285" s="13">
        <v>2596</v>
      </c>
      <c r="L285" s="13">
        <v>2453</v>
      </c>
      <c r="M285" s="13">
        <v>2271</v>
      </c>
      <c r="N285" s="13">
        <v>1641</v>
      </c>
      <c r="O285" s="285">
        <v>938</v>
      </c>
      <c r="P285" s="285">
        <v>-564.52588099999991</v>
      </c>
      <c r="Q285" s="285">
        <v>918.475189</v>
      </c>
      <c r="R285" s="285">
        <v>587.524811</v>
      </c>
      <c r="S285" s="285">
        <v>810</v>
      </c>
      <c r="T285" s="285">
        <v>5981.2693849999996</v>
      </c>
      <c r="V285" s="129" t="s">
        <v>476</v>
      </c>
      <c r="W285" s="285">
        <v>1158.8954659999999</v>
      </c>
    </row>
    <row r="286" spans="2:23" ht="15.75">
      <c r="B286" s="129" t="s">
        <v>22</v>
      </c>
      <c r="C286" s="13">
        <v>0</v>
      </c>
      <c r="D286" s="13">
        <v>0</v>
      </c>
      <c r="E286" s="13">
        <v>0</v>
      </c>
      <c r="F286" s="13">
        <v>0</v>
      </c>
      <c r="G286" s="13">
        <v>0</v>
      </c>
      <c r="H286" s="13">
        <v>0</v>
      </c>
      <c r="I286" s="13">
        <v>0</v>
      </c>
      <c r="J286" s="13">
        <v>0</v>
      </c>
      <c r="K286" s="13">
        <v>0</v>
      </c>
      <c r="L286" s="13">
        <v>0</v>
      </c>
      <c r="M286" s="13">
        <v>0</v>
      </c>
      <c r="N286" s="13">
        <v>0</v>
      </c>
      <c r="O286" s="285">
        <v>0</v>
      </c>
      <c r="P286" s="285">
        <v>0</v>
      </c>
      <c r="Q286" s="285">
        <v>0</v>
      </c>
      <c r="R286" s="285">
        <v>0</v>
      </c>
      <c r="S286" s="285">
        <v>0</v>
      </c>
      <c r="T286" s="285">
        <v>0</v>
      </c>
      <c r="V286" s="129" t="s">
        <v>22</v>
      </c>
      <c r="W286" s="285">
        <v>0</v>
      </c>
    </row>
    <row r="287" spans="2:23" ht="15.75">
      <c r="B287" s="129" t="s">
        <v>23</v>
      </c>
      <c r="C287" s="13">
        <v>9020</v>
      </c>
      <c r="D287" s="13">
        <v>8023</v>
      </c>
      <c r="E287" s="13">
        <v>2885</v>
      </c>
      <c r="F287" s="13">
        <v>1973</v>
      </c>
      <c r="G287" s="13">
        <v>1591</v>
      </c>
      <c r="H287" s="13">
        <v>2249</v>
      </c>
      <c r="I287" s="13">
        <v>3341</v>
      </c>
      <c r="J287" s="13">
        <v>1932</v>
      </c>
      <c r="K287" s="13">
        <v>1650</v>
      </c>
      <c r="L287" s="13">
        <v>2122</v>
      </c>
      <c r="M287" s="13">
        <v>3479</v>
      </c>
      <c r="N287" s="13">
        <v>2277</v>
      </c>
      <c r="O287" s="285">
        <v>1717</v>
      </c>
      <c r="P287" s="285">
        <v>2521.591617</v>
      </c>
      <c r="Q287" s="285">
        <v>3162.3334690000002</v>
      </c>
      <c r="R287" s="285">
        <v>2153.6665309999998</v>
      </c>
      <c r="S287" s="285">
        <v>2331</v>
      </c>
      <c r="T287" s="285">
        <v>8469.3363599999993</v>
      </c>
      <c r="V287" s="129" t="s">
        <v>23</v>
      </c>
      <c r="W287" s="285">
        <v>4481.2926070000003</v>
      </c>
    </row>
    <row r="288" spans="2:23" ht="15.75">
      <c r="B288" s="132" t="s">
        <v>24</v>
      </c>
      <c r="C288" s="15">
        <f t="shared" ref="C288:N288" si="33">+SUM(C284:C286)-C287</f>
        <v>15752</v>
      </c>
      <c r="D288" s="15">
        <f t="shared" si="33"/>
        <v>12091</v>
      </c>
      <c r="E288" s="15">
        <f t="shared" si="33"/>
        <v>2899</v>
      </c>
      <c r="F288" s="15">
        <f t="shared" si="33"/>
        <v>2151</v>
      </c>
      <c r="G288" s="15">
        <f t="shared" si="33"/>
        <v>2077</v>
      </c>
      <c r="H288" s="15">
        <f t="shared" si="33"/>
        <v>2010</v>
      </c>
      <c r="I288" s="15">
        <f t="shared" si="33"/>
        <v>2892</v>
      </c>
      <c r="J288" s="15">
        <f t="shared" si="33"/>
        <v>2752</v>
      </c>
      <c r="K288" s="15">
        <f t="shared" si="33"/>
        <v>2672</v>
      </c>
      <c r="L288" s="15">
        <f t="shared" si="33"/>
        <v>2556</v>
      </c>
      <c r="M288" s="15">
        <f t="shared" si="33"/>
        <v>2496</v>
      </c>
      <c r="N288" s="15">
        <f t="shared" si="33"/>
        <v>1800</v>
      </c>
      <c r="O288" s="301">
        <v>1051</v>
      </c>
      <c r="P288" s="301">
        <v>-362.79854900000009</v>
      </c>
      <c r="Q288" s="301">
        <f>+Q284+Q285+Q286-Q287</f>
        <v>1171.461867</v>
      </c>
      <c r="R288" s="301">
        <v>758.53813300000002</v>
      </c>
      <c r="S288" s="301">
        <v>998</v>
      </c>
      <c r="T288" s="301">
        <v>6657.2962939999998</v>
      </c>
      <c r="V288" s="129" t="s">
        <v>26</v>
      </c>
      <c r="W288" s="285">
        <v>46.526553999999997</v>
      </c>
    </row>
    <row r="289" spans="2:23" ht="15.75">
      <c r="B289" s="130" t="s">
        <v>25</v>
      </c>
      <c r="C289" s="17">
        <f t="shared" ref="C289:N289" si="34">+C288+C282</f>
        <v>15759</v>
      </c>
      <c r="D289" s="17">
        <f t="shared" si="34"/>
        <v>12105</v>
      </c>
      <c r="E289" s="17">
        <f t="shared" si="34"/>
        <v>2911</v>
      </c>
      <c r="F289" s="17">
        <f t="shared" si="34"/>
        <v>2153</v>
      </c>
      <c r="G289" s="17">
        <f t="shared" si="34"/>
        <v>2092</v>
      </c>
      <c r="H289" s="17">
        <f t="shared" si="34"/>
        <v>2029</v>
      </c>
      <c r="I289" s="17">
        <f t="shared" si="34"/>
        <v>3052</v>
      </c>
      <c r="J289" s="17">
        <f t="shared" si="34"/>
        <v>2834</v>
      </c>
      <c r="K289" s="17">
        <f t="shared" si="34"/>
        <v>2759</v>
      </c>
      <c r="L289" s="17">
        <f t="shared" si="34"/>
        <v>2749</v>
      </c>
      <c r="M289" s="17">
        <f t="shared" si="34"/>
        <v>2501</v>
      </c>
      <c r="N289" s="17">
        <f t="shared" si="34"/>
        <v>1829</v>
      </c>
      <c r="O289" s="286">
        <v>1070</v>
      </c>
      <c r="P289" s="286">
        <v>-230.36245500000007</v>
      </c>
      <c r="Q289" s="286">
        <f>+Q282+Q288</f>
        <v>1115.944309</v>
      </c>
      <c r="R289" s="286">
        <v>811.05569100000002</v>
      </c>
      <c r="S289" s="286">
        <v>1086</v>
      </c>
      <c r="T289" s="286">
        <v>6787.2206029999998</v>
      </c>
      <c r="V289" s="130" t="s">
        <v>677</v>
      </c>
      <c r="W289" s="286">
        <v>2006.5997249999991</v>
      </c>
    </row>
    <row r="290" spans="2:23" ht="15.75">
      <c r="B290" s="10"/>
      <c r="C290" s="131"/>
      <c r="D290" s="131"/>
      <c r="E290" s="131"/>
      <c r="F290" s="131"/>
      <c r="G290" s="131"/>
      <c r="H290" s="131"/>
      <c r="I290" s="131"/>
      <c r="J290" s="131"/>
      <c r="K290" s="131"/>
      <c r="L290" s="131"/>
      <c r="M290" s="131"/>
      <c r="N290" s="131"/>
      <c r="O290" s="9"/>
      <c r="P290" s="9"/>
      <c r="Q290" s="9"/>
      <c r="R290" s="9"/>
      <c r="S290" s="9"/>
      <c r="T290" s="745"/>
      <c r="V290" s="744"/>
      <c r="W290" s="745"/>
    </row>
    <row r="291" spans="2:23" ht="15.75">
      <c r="B291" s="129" t="s">
        <v>26</v>
      </c>
      <c r="C291" s="13">
        <v>50</v>
      </c>
      <c r="D291" s="13">
        <v>61</v>
      </c>
      <c r="E291" s="13">
        <v>20</v>
      </c>
      <c r="F291" s="13">
        <v>18</v>
      </c>
      <c r="G291" s="13">
        <v>17</v>
      </c>
      <c r="H291" s="13">
        <v>19</v>
      </c>
      <c r="I291" s="13">
        <v>20</v>
      </c>
      <c r="J291" s="13">
        <v>31</v>
      </c>
      <c r="K291" s="13">
        <v>34</v>
      </c>
      <c r="L291" s="13">
        <v>35</v>
      </c>
      <c r="M291" s="13">
        <v>35</v>
      </c>
      <c r="N291" s="13">
        <v>38</v>
      </c>
      <c r="O291" s="285">
        <v>41</v>
      </c>
      <c r="P291" s="285">
        <v>38.307843999999996</v>
      </c>
      <c r="Q291" s="285">
        <v>36.904197000000003</v>
      </c>
      <c r="R291" s="285">
        <v>41.095802999999997</v>
      </c>
      <c r="S291" s="285">
        <v>30</v>
      </c>
      <c r="T291" s="285">
        <v>114.575053</v>
      </c>
      <c r="V291" s="744"/>
      <c r="W291" s="285"/>
    </row>
    <row r="292" spans="2:23" ht="15.75">
      <c r="B292" s="129" t="s">
        <v>27</v>
      </c>
      <c r="C292" s="13">
        <v>0</v>
      </c>
      <c r="D292" s="13">
        <v>0</v>
      </c>
      <c r="E292" s="13">
        <v>0</v>
      </c>
      <c r="F292" s="13">
        <v>0</v>
      </c>
      <c r="G292" s="13">
        <v>0</v>
      </c>
      <c r="H292" s="13">
        <v>0</v>
      </c>
      <c r="I292" s="13">
        <v>0</v>
      </c>
      <c r="J292" s="13">
        <v>0</v>
      </c>
      <c r="K292" s="13">
        <v>0</v>
      </c>
      <c r="L292" s="13">
        <v>0</v>
      </c>
      <c r="M292" s="13">
        <v>0</v>
      </c>
      <c r="N292" s="13">
        <v>0</v>
      </c>
      <c r="O292" s="285">
        <v>0</v>
      </c>
      <c r="P292" s="285"/>
      <c r="Q292" s="285"/>
      <c r="R292" s="285"/>
      <c r="S292" s="285">
        <v>0</v>
      </c>
      <c r="T292" s="285"/>
      <c r="V292" s="129" t="s">
        <v>27</v>
      </c>
      <c r="W292" s="285">
        <v>0</v>
      </c>
    </row>
    <row r="293" spans="2:23" ht="15.75">
      <c r="B293" s="129" t="s">
        <v>28</v>
      </c>
      <c r="C293" s="13">
        <v>-85</v>
      </c>
      <c r="D293" s="13">
        <v>45</v>
      </c>
      <c r="E293" s="13">
        <v>0</v>
      </c>
      <c r="F293" s="13">
        <v>12</v>
      </c>
      <c r="G293" s="13">
        <v>1</v>
      </c>
      <c r="H293" s="13">
        <v>1</v>
      </c>
      <c r="I293" s="13">
        <v>0</v>
      </c>
      <c r="J293" s="13">
        <v>4</v>
      </c>
      <c r="K293" s="13">
        <v>69</v>
      </c>
      <c r="L293" s="13">
        <v>14</v>
      </c>
      <c r="M293" s="13">
        <v>2</v>
      </c>
      <c r="N293" s="13">
        <v>-26</v>
      </c>
      <c r="O293" s="285">
        <v>29</v>
      </c>
      <c r="P293" s="285">
        <v>-20.576566</v>
      </c>
      <c r="Q293" s="285">
        <v>-31.001110000000001</v>
      </c>
      <c r="R293" s="285">
        <v>-21.998889999999999</v>
      </c>
      <c r="S293" s="285">
        <v>-11</v>
      </c>
      <c r="T293" s="285">
        <v>-78.663625999999994</v>
      </c>
      <c r="V293" s="129" t="s">
        <v>28</v>
      </c>
      <c r="W293" s="285">
        <v>28.112607000000001</v>
      </c>
    </row>
    <row r="294" spans="2:23" ht="15.75">
      <c r="B294" s="130" t="s">
        <v>29</v>
      </c>
      <c r="C294" s="18">
        <f t="shared" ref="C294:M294" si="35">+C289-C291+C292+C293</f>
        <v>15624</v>
      </c>
      <c r="D294" s="18">
        <f t="shared" si="35"/>
        <v>12089</v>
      </c>
      <c r="E294" s="18">
        <f t="shared" si="35"/>
        <v>2891</v>
      </c>
      <c r="F294" s="18">
        <f t="shared" si="35"/>
        <v>2147</v>
      </c>
      <c r="G294" s="18">
        <f t="shared" si="35"/>
        <v>2076</v>
      </c>
      <c r="H294" s="18">
        <f t="shared" si="35"/>
        <v>2011</v>
      </c>
      <c r="I294" s="18">
        <f t="shared" si="35"/>
        <v>3032</v>
      </c>
      <c r="J294" s="18">
        <f t="shared" si="35"/>
        <v>2807</v>
      </c>
      <c r="K294" s="18">
        <f t="shared" si="35"/>
        <v>2794</v>
      </c>
      <c r="L294" s="18">
        <f t="shared" si="35"/>
        <v>2728</v>
      </c>
      <c r="M294" s="18">
        <f t="shared" si="35"/>
        <v>2468</v>
      </c>
      <c r="N294" s="18">
        <f>+N289-N291+N292+N293</f>
        <v>1765</v>
      </c>
      <c r="O294" s="287">
        <v>1058</v>
      </c>
      <c r="P294" s="287">
        <v>-289.24686500000007</v>
      </c>
      <c r="Q294" s="287">
        <f>+Q289-Q291+Q292+Q293</f>
        <v>1048.039002</v>
      </c>
      <c r="R294" s="287">
        <v>747.96099800000002</v>
      </c>
      <c r="S294" s="287">
        <v>1045</v>
      </c>
      <c r="T294" s="287">
        <v>6593.9819240000006</v>
      </c>
      <c r="V294" s="130" t="s">
        <v>29</v>
      </c>
      <c r="W294" s="287">
        <v>2034.7123319999992</v>
      </c>
    </row>
    <row r="295" spans="2:23" ht="15.75">
      <c r="B295" s="129"/>
      <c r="C295" s="13"/>
      <c r="D295" s="13"/>
      <c r="E295" s="13"/>
      <c r="F295" s="13"/>
      <c r="G295" s="13"/>
      <c r="H295" s="13"/>
      <c r="I295" s="13"/>
      <c r="J295" s="13"/>
      <c r="K295" s="13"/>
      <c r="L295" s="13"/>
      <c r="M295" s="13"/>
      <c r="N295" s="13"/>
      <c r="O295" s="285"/>
      <c r="P295" s="285"/>
      <c r="Q295" s="285"/>
      <c r="R295" s="285"/>
      <c r="S295" s="285">
        <v>0</v>
      </c>
      <c r="T295" s="285"/>
      <c r="V295" s="129"/>
      <c r="W295" s="285"/>
    </row>
    <row r="296" spans="2:23" ht="15.75">
      <c r="B296" s="129" t="s">
        <v>30</v>
      </c>
      <c r="C296" s="13">
        <v>-5609</v>
      </c>
      <c r="D296" s="13">
        <v>-3906</v>
      </c>
      <c r="E296" s="13">
        <v>-720</v>
      </c>
      <c r="F296" s="13">
        <v>-829</v>
      </c>
      <c r="G296" s="13">
        <v>-753</v>
      </c>
      <c r="H296" s="13">
        <v>-663</v>
      </c>
      <c r="I296" s="13">
        <v>-835</v>
      </c>
      <c r="J296" s="13">
        <v>-750</v>
      </c>
      <c r="K296" s="13">
        <v>-727</v>
      </c>
      <c r="L296" s="13">
        <v>-506</v>
      </c>
      <c r="M296" s="13">
        <v>-619</v>
      </c>
      <c r="N296" s="13">
        <v>-606</v>
      </c>
      <c r="O296" s="285">
        <v>-549</v>
      </c>
      <c r="P296" s="285">
        <v>-619.42520399999989</v>
      </c>
      <c r="Q296" s="285">
        <f>328.430663-Q285</f>
        <v>-590.04452600000002</v>
      </c>
      <c r="R296" s="285">
        <v>-532.95547399999998</v>
      </c>
      <c r="S296" s="285">
        <v>-509</v>
      </c>
      <c r="T296" s="285">
        <v>-1942.4228720000001</v>
      </c>
      <c r="V296" s="129" t="s">
        <v>30</v>
      </c>
      <c r="W296" s="285">
        <v>-468.56694099999993</v>
      </c>
    </row>
    <row r="297" spans="2:23" ht="15.75">
      <c r="B297" s="130" t="s">
        <v>31</v>
      </c>
      <c r="C297" s="18">
        <f t="shared" ref="C297:M297" si="36">+C294+C296</f>
        <v>10015</v>
      </c>
      <c r="D297" s="18">
        <f t="shared" si="36"/>
        <v>8183</v>
      </c>
      <c r="E297" s="18">
        <f t="shared" si="36"/>
        <v>2171</v>
      </c>
      <c r="F297" s="18">
        <f t="shared" si="36"/>
        <v>1318</v>
      </c>
      <c r="G297" s="18">
        <f t="shared" si="36"/>
        <v>1323</v>
      </c>
      <c r="H297" s="18">
        <f t="shared" si="36"/>
        <v>1348</v>
      </c>
      <c r="I297" s="18">
        <f t="shared" si="36"/>
        <v>2197</v>
      </c>
      <c r="J297" s="18">
        <f t="shared" si="36"/>
        <v>2057</v>
      </c>
      <c r="K297" s="18">
        <f t="shared" si="36"/>
        <v>2067</v>
      </c>
      <c r="L297" s="18">
        <f t="shared" si="36"/>
        <v>2222</v>
      </c>
      <c r="M297" s="18">
        <f t="shared" si="36"/>
        <v>1849</v>
      </c>
      <c r="N297" s="18">
        <f>+N294+N296</f>
        <v>1159</v>
      </c>
      <c r="O297" s="287">
        <v>509</v>
      </c>
      <c r="P297" s="287">
        <v>-908.67206899999996</v>
      </c>
      <c r="Q297" s="287">
        <f>+Q294+Q296</f>
        <v>457.99447599999996</v>
      </c>
      <c r="R297" s="287">
        <v>215.00552400000004</v>
      </c>
      <c r="S297" s="287">
        <v>536</v>
      </c>
      <c r="T297" s="287">
        <v>4651.5590520000005</v>
      </c>
      <c r="V297" s="130" t="s">
        <v>31</v>
      </c>
      <c r="W297" s="287">
        <v>1566.1453909999991</v>
      </c>
    </row>
    <row r="298" spans="2:23" ht="15.75">
      <c r="B298" s="10"/>
      <c r="C298" s="131"/>
      <c r="D298" s="131"/>
      <c r="E298" s="131"/>
      <c r="F298" s="131"/>
      <c r="G298" s="131"/>
      <c r="H298" s="131"/>
      <c r="I298" s="131"/>
      <c r="J298" s="131"/>
      <c r="K298" s="131"/>
      <c r="L298" s="131"/>
      <c r="M298" s="131"/>
      <c r="N298" s="131"/>
      <c r="O298" s="9"/>
      <c r="P298" s="9"/>
      <c r="Q298" s="9"/>
      <c r="R298" s="9"/>
      <c r="S298" s="9"/>
      <c r="T298" s="745"/>
      <c r="V298" s="10"/>
      <c r="W298" s="745"/>
    </row>
    <row r="299" spans="2:23" ht="15.75">
      <c r="B299" s="129" t="s">
        <v>32</v>
      </c>
      <c r="C299" s="13">
        <v>2385</v>
      </c>
      <c r="D299" s="13">
        <v>2087</v>
      </c>
      <c r="E299" s="13">
        <v>587</v>
      </c>
      <c r="F299" s="13">
        <v>256</v>
      </c>
      <c r="G299" s="13">
        <v>357</v>
      </c>
      <c r="H299" s="13">
        <v>364</v>
      </c>
      <c r="I299" s="13">
        <v>593</v>
      </c>
      <c r="J299" s="13">
        <v>595</v>
      </c>
      <c r="K299" s="13">
        <v>558</v>
      </c>
      <c r="L299" s="13">
        <v>679</v>
      </c>
      <c r="M299" s="13">
        <v>500</v>
      </c>
      <c r="N299" s="13">
        <v>312</v>
      </c>
      <c r="O299" s="285">
        <v>194</v>
      </c>
      <c r="P299" s="285">
        <v>-245.34145799999999</v>
      </c>
      <c r="Q299" s="285">
        <v>-123.658509</v>
      </c>
      <c r="R299" s="285">
        <v>-58.341491000000005</v>
      </c>
      <c r="S299" s="285">
        <v>244</v>
      </c>
      <c r="T299" s="285">
        <v>-1306.2234840000001</v>
      </c>
      <c r="V299" s="129" t="s">
        <v>32</v>
      </c>
      <c r="W299" s="285">
        <v>425.46900399999998</v>
      </c>
    </row>
    <row r="300" spans="2:23" ht="15.75">
      <c r="B300" s="130" t="s">
        <v>35</v>
      </c>
      <c r="C300" s="18">
        <f t="shared" ref="C300:N300" si="37">+C297-C299</f>
        <v>7630</v>
      </c>
      <c r="D300" s="18">
        <f t="shared" si="37"/>
        <v>6096</v>
      </c>
      <c r="E300" s="18">
        <f t="shared" si="37"/>
        <v>1584</v>
      </c>
      <c r="F300" s="18">
        <f t="shared" si="37"/>
        <v>1062</v>
      </c>
      <c r="G300" s="18">
        <f t="shared" si="37"/>
        <v>966</v>
      </c>
      <c r="H300" s="18">
        <f t="shared" si="37"/>
        <v>984</v>
      </c>
      <c r="I300" s="18">
        <f t="shared" si="37"/>
        <v>1604</v>
      </c>
      <c r="J300" s="18">
        <f t="shared" si="37"/>
        <v>1462</v>
      </c>
      <c r="K300" s="18">
        <f t="shared" si="37"/>
        <v>1509</v>
      </c>
      <c r="L300" s="18">
        <f t="shared" si="37"/>
        <v>1543</v>
      </c>
      <c r="M300" s="18">
        <f t="shared" si="37"/>
        <v>1349</v>
      </c>
      <c r="N300" s="18">
        <f t="shared" si="37"/>
        <v>847</v>
      </c>
      <c r="O300" s="287">
        <v>315</v>
      </c>
      <c r="P300" s="287">
        <v>-663.33061099999998</v>
      </c>
      <c r="Q300" s="287">
        <f>+Q297+Q299</f>
        <v>334.33596699999998</v>
      </c>
      <c r="R300" s="287">
        <v>156.66403300000002</v>
      </c>
      <c r="S300" s="287">
        <v>780</v>
      </c>
      <c r="T300" s="287">
        <v>3345.3355680000004</v>
      </c>
      <c r="V300" s="130" t="s">
        <v>35</v>
      </c>
      <c r="W300" s="287">
        <v>1140.6763869999991</v>
      </c>
    </row>
    <row r="301" spans="2:23" ht="15.75">
      <c r="O301" s="302"/>
      <c r="P301" s="135"/>
      <c r="Q301" s="135"/>
      <c r="R301" s="135"/>
      <c r="T301" s="744"/>
      <c r="V301" s="744"/>
      <c r="W301" s="812"/>
    </row>
    <row r="302" spans="2:23" ht="15.75">
      <c r="O302" s="302"/>
      <c r="P302" s="135"/>
      <c r="Q302" s="135"/>
      <c r="R302" s="135"/>
      <c r="T302" s="744"/>
      <c r="V302" s="130" t="s">
        <v>1299</v>
      </c>
      <c r="W302" s="287">
        <v>2175</v>
      </c>
    </row>
    <row r="303" spans="2:23" ht="15.75">
      <c r="B303" s="165" t="s">
        <v>482</v>
      </c>
      <c r="C303" s="5"/>
      <c r="D303" s="5"/>
      <c r="E303" s="5"/>
      <c r="F303" s="5"/>
      <c r="G303" s="5"/>
      <c r="H303" s="20"/>
      <c r="I303" s="20"/>
      <c r="J303" s="20"/>
      <c r="K303" s="20"/>
      <c r="L303" s="20"/>
      <c r="M303" s="20"/>
      <c r="N303" s="20"/>
      <c r="O303" s="267"/>
      <c r="P303" s="135"/>
      <c r="Q303" s="135"/>
      <c r="R303" s="135"/>
      <c r="T303" s="744"/>
    </row>
    <row r="304" spans="2:23">
      <c r="B304" s="99" t="s">
        <v>474</v>
      </c>
      <c r="C304" s="5"/>
      <c r="D304" s="5"/>
      <c r="E304" s="5"/>
      <c r="F304" s="5"/>
      <c r="G304" s="5"/>
      <c r="H304" s="22"/>
      <c r="I304" s="22"/>
      <c r="J304" s="22"/>
      <c r="K304" s="22"/>
      <c r="L304" s="22"/>
      <c r="M304" s="22"/>
      <c r="N304" s="22"/>
      <c r="O304" s="268"/>
      <c r="P304" s="135"/>
      <c r="Q304" s="135"/>
      <c r="R304" s="135"/>
      <c r="T304" s="744"/>
    </row>
    <row r="305" spans="2:23" ht="15.75">
      <c r="B305" s="23"/>
      <c r="C305" s="5"/>
      <c r="D305" s="5"/>
      <c r="E305" s="5"/>
      <c r="F305" s="5"/>
      <c r="G305" s="5"/>
      <c r="H305" s="23"/>
      <c r="I305" s="23"/>
      <c r="J305" s="23"/>
      <c r="K305" s="23"/>
      <c r="L305" s="23"/>
      <c r="M305" s="23"/>
      <c r="N305" s="23"/>
      <c r="O305" s="269"/>
      <c r="P305" s="135"/>
      <c r="Q305" s="135"/>
      <c r="R305" s="135"/>
      <c r="T305" s="744"/>
    </row>
    <row r="306" spans="2:23">
      <c r="B306" s="190"/>
      <c r="C306" s="90">
        <v>2016</v>
      </c>
      <c r="D306" s="90">
        <v>2017</v>
      </c>
      <c r="E306" s="90" t="s">
        <v>3</v>
      </c>
      <c r="F306" s="90" t="s">
        <v>4</v>
      </c>
      <c r="G306" s="90" t="s">
        <v>5</v>
      </c>
      <c r="H306" s="90" t="s">
        <v>6</v>
      </c>
      <c r="I306" s="90" t="s">
        <v>7</v>
      </c>
      <c r="J306" s="90" t="s">
        <v>8</v>
      </c>
      <c r="K306" s="90" t="s">
        <v>9</v>
      </c>
      <c r="L306" s="90" t="s">
        <v>10</v>
      </c>
      <c r="M306" s="90" t="s">
        <v>11</v>
      </c>
      <c r="N306" s="90" t="s">
        <v>12</v>
      </c>
      <c r="O306" s="306" t="s">
        <v>626</v>
      </c>
      <c r="P306" s="306" t="s">
        <v>958</v>
      </c>
      <c r="Q306" s="306" t="s">
        <v>1014</v>
      </c>
      <c r="R306" s="387" t="s">
        <v>1048</v>
      </c>
      <c r="S306" s="387" t="s">
        <v>1187</v>
      </c>
      <c r="T306" s="754" t="s">
        <v>1239</v>
      </c>
      <c r="V306" s="190"/>
      <c r="W306" s="826" t="s">
        <v>1292</v>
      </c>
    </row>
    <row r="307" spans="2:23">
      <c r="B307" s="191" t="s">
        <v>37</v>
      </c>
      <c r="C307" s="191"/>
      <c r="D307" s="191"/>
      <c r="E307" s="191"/>
      <c r="F307" s="191"/>
      <c r="G307" s="191"/>
      <c r="H307" s="191"/>
      <c r="I307" s="191"/>
      <c r="J307" s="191"/>
      <c r="K307" s="191"/>
      <c r="L307" s="191"/>
      <c r="M307" s="191"/>
      <c r="N307" s="191"/>
      <c r="O307" s="307"/>
      <c r="P307" s="307"/>
      <c r="Q307" s="307"/>
      <c r="R307" s="307"/>
      <c r="S307" s="307"/>
      <c r="T307" s="750"/>
      <c r="V307" s="191" t="s">
        <v>37</v>
      </c>
      <c r="W307" s="827"/>
    </row>
    <row r="308" spans="2:23">
      <c r="B308" s="192" t="s">
        <v>38</v>
      </c>
      <c r="C308" s="193"/>
      <c r="D308" s="193"/>
      <c r="E308" s="193"/>
      <c r="F308" s="193"/>
      <c r="G308" s="193"/>
      <c r="H308" s="193"/>
      <c r="I308" s="193"/>
      <c r="J308" s="193"/>
      <c r="K308" s="193"/>
      <c r="L308" s="193"/>
      <c r="M308" s="193"/>
      <c r="N308" s="193"/>
      <c r="O308" s="210"/>
      <c r="P308" s="210"/>
      <c r="Q308" s="210"/>
      <c r="R308" s="210"/>
      <c r="S308" s="210"/>
      <c r="T308" s="748"/>
      <c r="V308" s="192" t="s">
        <v>38</v>
      </c>
      <c r="W308" s="805"/>
    </row>
    <row r="309" spans="2:23" ht="15.75">
      <c r="B309" s="194" t="s">
        <v>39</v>
      </c>
      <c r="C309" s="50">
        <v>15394</v>
      </c>
      <c r="D309" s="50">
        <v>17639</v>
      </c>
      <c r="E309" s="50">
        <v>18705</v>
      </c>
      <c r="F309" s="50">
        <v>11239</v>
      </c>
      <c r="G309" s="50">
        <v>7968</v>
      </c>
      <c r="H309" s="50">
        <v>10916</v>
      </c>
      <c r="I309" s="50">
        <v>11448</v>
      </c>
      <c r="J309" s="50">
        <v>11565</v>
      </c>
      <c r="K309" s="50">
        <v>6960</v>
      </c>
      <c r="L309" s="50">
        <v>11688</v>
      </c>
      <c r="M309" s="50">
        <v>13229</v>
      </c>
      <c r="N309" s="50">
        <v>9632</v>
      </c>
      <c r="O309" s="299">
        <v>9546</v>
      </c>
      <c r="P309" s="299">
        <v>6624.6703779999998</v>
      </c>
      <c r="Q309" s="299">
        <v>9336.2129459999996</v>
      </c>
      <c r="R309" s="299">
        <v>10018</v>
      </c>
      <c r="S309" s="299">
        <v>8143</v>
      </c>
      <c r="T309" s="299">
        <v>12852.719831</v>
      </c>
      <c r="V309" s="194" t="s">
        <v>39</v>
      </c>
      <c r="W309" s="299">
        <v>14181.789519</v>
      </c>
    </row>
    <row r="310" spans="2:23" ht="15.75">
      <c r="B310" s="194" t="s">
        <v>536</v>
      </c>
      <c r="C310" s="50">
        <v>42568</v>
      </c>
      <c r="D310" s="50">
        <v>31078</v>
      </c>
      <c r="E310" s="50">
        <v>31940</v>
      </c>
      <c r="F310" s="50">
        <v>31103</v>
      </c>
      <c r="G310" s="50">
        <v>33366</v>
      </c>
      <c r="H310" s="50">
        <v>37959</v>
      </c>
      <c r="I310" s="50">
        <v>36697</v>
      </c>
      <c r="J310" s="50">
        <v>39189</v>
      </c>
      <c r="K310" s="50">
        <v>39422</v>
      </c>
      <c r="L310" s="50">
        <v>41920</v>
      </c>
      <c r="M310" s="50">
        <v>37880</v>
      </c>
      <c r="N310" s="50">
        <v>41718</v>
      </c>
      <c r="O310" s="299">
        <v>37840</v>
      </c>
      <c r="P310" s="299">
        <v>43580.052444000001</v>
      </c>
      <c r="Q310" s="299">
        <f>37606.959357+2540.845442</f>
        <v>40147.804798999998</v>
      </c>
      <c r="R310" s="299">
        <v>40435</v>
      </c>
      <c r="S310" s="299">
        <v>34656</v>
      </c>
      <c r="T310" s="299">
        <v>31695.668985</v>
      </c>
      <c r="V310" s="194" t="s">
        <v>40</v>
      </c>
      <c r="W310" s="299">
        <v>31888.870512000001</v>
      </c>
    </row>
    <row r="311" spans="2:23" ht="15.75">
      <c r="B311" s="194" t="s">
        <v>537</v>
      </c>
      <c r="C311" s="50">
        <v>4</v>
      </c>
      <c r="D311" s="50">
        <v>51</v>
      </c>
      <c r="E311" s="50">
        <v>145</v>
      </c>
      <c r="F311" s="50">
        <v>752</v>
      </c>
      <c r="G311" s="50">
        <v>1735</v>
      </c>
      <c r="H311" s="50">
        <v>2763</v>
      </c>
      <c r="I311" s="50">
        <v>4113</v>
      </c>
      <c r="J311" s="50">
        <v>2286</v>
      </c>
      <c r="K311" s="50">
        <v>3716</v>
      </c>
      <c r="L311" s="50">
        <v>5316</v>
      </c>
      <c r="M311" s="50">
        <v>7382</v>
      </c>
      <c r="N311" s="50">
        <v>8408</v>
      </c>
      <c r="O311" s="299">
        <v>3734</v>
      </c>
      <c r="P311" s="299">
        <v>4976.1125540000003</v>
      </c>
      <c r="Q311" s="299">
        <v>6475.7951880000001</v>
      </c>
      <c r="R311" s="299">
        <v>4050</v>
      </c>
      <c r="S311" s="299">
        <v>5441</v>
      </c>
      <c r="T311" s="299">
        <v>2865.5190339999999</v>
      </c>
      <c r="V311" s="194" t="s">
        <v>41</v>
      </c>
      <c r="W311" s="299">
        <v>1297.6537519999999</v>
      </c>
    </row>
    <row r="312" spans="2:23" ht="15.75">
      <c r="B312" s="194" t="s">
        <v>538</v>
      </c>
      <c r="C312" s="50">
        <v>199</v>
      </c>
      <c r="D312" s="50">
        <v>267</v>
      </c>
      <c r="E312" s="50">
        <v>163</v>
      </c>
      <c r="F312" s="50">
        <v>654</v>
      </c>
      <c r="G312" s="50">
        <v>552</v>
      </c>
      <c r="H312" s="50">
        <v>434</v>
      </c>
      <c r="I312" s="50">
        <v>339</v>
      </c>
      <c r="J312" s="50">
        <v>271</v>
      </c>
      <c r="K312" s="50">
        <v>171</v>
      </c>
      <c r="L312" s="50">
        <v>439</v>
      </c>
      <c r="M312" s="50">
        <v>502</v>
      </c>
      <c r="N312" s="50">
        <v>409</v>
      </c>
      <c r="O312" s="299">
        <v>254</v>
      </c>
      <c r="P312" s="299">
        <v>627.04787099999999</v>
      </c>
      <c r="Q312" s="299">
        <v>945.61449800000003</v>
      </c>
      <c r="R312" s="299">
        <v>669</v>
      </c>
      <c r="S312" s="299">
        <v>528</v>
      </c>
      <c r="T312" s="299">
        <v>351.639974</v>
      </c>
      <c r="V312" s="194" t="s">
        <v>43</v>
      </c>
      <c r="W312" s="299">
        <v>228.16422</v>
      </c>
    </row>
    <row r="313" spans="2:23" ht="15.75">
      <c r="B313" s="194" t="s">
        <v>113</v>
      </c>
      <c r="C313" s="50">
        <v>0</v>
      </c>
      <c r="D313" s="50">
        <v>0</v>
      </c>
      <c r="E313" s="50">
        <v>0</v>
      </c>
      <c r="F313" s="50">
        <v>0</v>
      </c>
      <c r="G313" s="50">
        <v>0</v>
      </c>
      <c r="H313" s="50">
        <v>0</v>
      </c>
      <c r="I313" s="50">
        <v>0</v>
      </c>
      <c r="J313" s="50">
        <v>0</v>
      </c>
      <c r="K313" s="50">
        <v>0</v>
      </c>
      <c r="L313" s="50">
        <v>0</v>
      </c>
      <c r="M313" s="50">
        <v>0</v>
      </c>
      <c r="N313" s="50">
        <v>0</v>
      </c>
      <c r="O313" s="299">
        <v>0</v>
      </c>
      <c r="P313" s="299">
        <v>0</v>
      </c>
      <c r="Q313" s="299">
        <v>0</v>
      </c>
      <c r="R313" s="299">
        <v>0</v>
      </c>
      <c r="S313" s="299">
        <v>0</v>
      </c>
      <c r="T313" s="299">
        <v>0</v>
      </c>
      <c r="V313" s="194" t="s">
        <v>113</v>
      </c>
      <c r="W313" s="299">
        <v>0</v>
      </c>
    </row>
    <row r="314" spans="2:23" ht="15.75">
      <c r="B314" s="194" t="s">
        <v>540</v>
      </c>
      <c r="C314" s="50">
        <v>0</v>
      </c>
      <c r="D314" s="50">
        <v>0</v>
      </c>
      <c r="E314" s="50">
        <v>0</v>
      </c>
      <c r="F314" s="50">
        <v>0</v>
      </c>
      <c r="G314" s="50">
        <v>0</v>
      </c>
      <c r="H314" s="50">
        <v>0</v>
      </c>
      <c r="I314" s="50">
        <v>0</v>
      </c>
      <c r="J314" s="50">
        <v>0</v>
      </c>
      <c r="K314" s="50">
        <v>0</v>
      </c>
      <c r="L314" s="50">
        <v>0</v>
      </c>
      <c r="M314" s="50">
        <v>0</v>
      </c>
      <c r="N314" s="50">
        <v>0</v>
      </c>
      <c r="O314" s="299">
        <v>0</v>
      </c>
      <c r="P314" s="299">
        <v>0</v>
      </c>
      <c r="Q314" s="299">
        <v>0</v>
      </c>
      <c r="R314" s="299">
        <v>0</v>
      </c>
      <c r="S314" s="299">
        <v>0</v>
      </c>
      <c r="T314" s="299">
        <v>0</v>
      </c>
      <c r="V314" s="194" t="s">
        <v>44</v>
      </c>
      <c r="W314" s="299"/>
    </row>
    <row r="315" spans="2:23">
      <c r="B315" s="65" t="s">
        <v>45</v>
      </c>
      <c r="C315" s="174">
        <v>58165</v>
      </c>
      <c r="D315" s="174">
        <v>49035</v>
      </c>
      <c r="E315" s="174">
        <v>50953</v>
      </c>
      <c r="F315" s="174">
        <v>43748</v>
      </c>
      <c r="G315" s="174">
        <v>43621</v>
      </c>
      <c r="H315" s="174">
        <v>52072</v>
      </c>
      <c r="I315" s="174">
        <v>52597</v>
      </c>
      <c r="J315" s="174">
        <v>53311</v>
      </c>
      <c r="K315" s="174">
        <v>50269</v>
      </c>
      <c r="L315" s="174">
        <v>59363</v>
      </c>
      <c r="M315" s="174">
        <v>58993</v>
      </c>
      <c r="N315" s="174">
        <v>60167</v>
      </c>
      <c r="O315" s="212">
        <v>51374</v>
      </c>
      <c r="P315" s="212">
        <f>SUM(P309:P314)</f>
        <v>55807.883247000005</v>
      </c>
      <c r="Q315" s="212">
        <f>SUM(Q309:Q314)</f>
        <v>56905.427430999996</v>
      </c>
      <c r="R315" s="212">
        <v>55172</v>
      </c>
      <c r="S315" s="212">
        <v>48768</v>
      </c>
      <c r="T315" s="212">
        <v>47765.547823999994</v>
      </c>
      <c r="V315" s="65" t="s">
        <v>45</v>
      </c>
      <c r="W315" s="815">
        <v>47596.478002999997</v>
      </c>
    </row>
    <row r="316" spans="2:23">
      <c r="B316" s="192" t="s">
        <v>46</v>
      </c>
      <c r="C316" s="193"/>
      <c r="D316" s="193"/>
      <c r="E316" s="193"/>
      <c r="F316" s="193"/>
      <c r="G316" s="193"/>
      <c r="H316" s="193"/>
      <c r="I316" s="193"/>
      <c r="J316" s="193"/>
      <c r="K316" s="193"/>
      <c r="L316" s="193"/>
      <c r="M316" s="193"/>
      <c r="N316" s="193"/>
      <c r="O316" s="210"/>
      <c r="P316" s="210"/>
      <c r="Q316" s="210"/>
      <c r="R316" s="210"/>
      <c r="S316" s="210">
        <v>0</v>
      </c>
      <c r="T316" s="748"/>
      <c r="V316" s="192" t="s">
        <v>46</v>
      </c>
      <c r="W316" s="805"/>
    </row>
    <row r="317" spans="2:23" ht="15.75">
      <c r="B317" s="194" t="s">
        <v>47</v>
      </c>
      <c r="C317" s="50">
        <v>0</v>
      </c>
      <c r="D317" s="50">
        <v>0</v>
      </c>
      <c r="E317" s="50">
        <v>0</v>
      </c>
      <c r="F317" s="50">
        <v>0</v>
      </c>
      <c r="G317" s="50">
        <v>0</v>
      </c>
      <c r="H317" s="50">
        <v>0</v>
      </c>
      <c r="I317" s="50">
        <v>0</v>
      </c>
      <c r="J317" s="50">
        <v>0</v>
      </c>
      <c r="K317" s="50">
        <v>0</v>
      </c>
      <c r="L317" s="50">
        <v>0</v>
      </c>
      <c r="M317" s="50">
        <v>0</v>
      </c>
      <c r="N317" s="50">
        <v>0</v>
      </c>
      <c r="O317" s="299">
        <v>0</v>
      </c>
      <c r="P317" s="299">
        <v>0</v>
      </c>
      <c r="Q317" s="299">
        <v>0</v>
      </c>
      <c r="R317" s="299">
        <v>0</v>
      </c>
      <c r="S317" s="299">
        <v>0</v>
      </c>
      <c r="T317" s="299">
        <v>0</v>
      </c>
      <c r="V317" s="194" t="s">
        <v>47</v>
      </c>
      <c r="W317" s="299">
        <v>0</v>
      </c>
    </row>
    <row r="318" spans="2:23" ht="15.75">
      <c r="B318" s="194" t="s">
        <v>48</v>
      </c>
      <c r="C318" s="50">
        <v>0</v>
      </c>
      <c r="D318" s="50">
        <v>0</v>
      </c>
      <c r="E318" s="50">
        <v>0</v>
      </c>
      <c r="F318" s="50">
        <v>0</v>
      </c>
      <c r="G318" s="50">
        <v>0</v>
      </c>
      <c r="H318" s="50">
        <v>0</v>
      </c>
      <c r="I318" s="50">
        <v>0</v>
      </c>
      <c r="J318" s="50">
        <v>0</v>
      </c>
      <c r="K318" s="50">
        <v>0</v>
      </c>
      <c r="L318" s="50">
        <v>0</v>
      </c>
      <c r="M318" s="50">
        <v>0</v>
      </c>
      <c r="N318" s="50">
        <v>0</v>
      </c>
      <c r="O318" s="299">
        <v>0</v>
      </c>
      <c r="P318" s="299">
        <v>0</v>
      </c>
      <c r="Q318" s="299">
        <v>0</v>
      </c>
      <c r="R318" s="299">
        <v>0</v>
      </c>
      <c r="S318" s="299">
        <v>0</v>
      </c>
      <c r="T318" s="299">
        <v>0</v>
      </c>
      <c r="V318" s="194" t="s">
        <v>48</v>
      </c>
      <c r="W318" s="299">
        <v>0</v>
      </c>
    </row>
    <row r="319" spans="2:23" ht="28.5">
      <c r="B319" s="194" t="s">
        <v>94</v>
      </c>
      <c r="C319" s="50">
        <v>0</v>
      </c>
      <c r="D319" s="50">
        <v>0</v>
      </c>
      <c r="E319" s="50">
        <v>0</v>
      </c>
      <c r="F319" s="50">
        <v>0</v>
      </c>
      <c r="G319" s="50">
        <v>0</v>
      </c>
      <c r="H319" s="50">
        <v>0</v>
      </c>
      <c r="I319" s="50">
        <v>0</v>
      </c>
      <c r="J319" s="50">
        <v>0</v>
      </c>
      <c r="K319" s="50">
        <v>0</v>
      </c>
      <c r="L319" s="50">
        <v>0</v>
      </c>
      <c r="M319" s="50">
        <v>0</v>
      </c>
      <c r="N319" s="50">
        <v>0</v>
      </c>
      <c r="O319" s="299">
        <v>0</v>
      </c>
      <c r="P319" s="299">
        <v>0</v>
      </c>
      <c r="Q319" s="299">
        <v>0</v>
      </c>
      <c r="R319" s="299">
        <v>0</v>
      </c>
      <c r="S319" s="299">
        <v>0</v>
      </c>
      <c r="T319" s="299">
        <v>0</v>
      </c>
      <c r="V319" s="194" t="s">
        <v>94</v>
      </c>
      <c r="W319" s="299">
        <v>0</v>
      </c>
    </row>
    <row r="320" spans="2:23" ht="15.75">
      <c r="B320" s="194" t="s">
        <v>95</v>
      </c>
      <c r="C320" s="50">
        <v>0</v>
      </c>
      <c r="D320" s="50">
        <v>0</v>
      </c>
      <c r="E320" s="50">
        <v>0</v>
      </c>
      <c r="F320" s="50">
        <v>0</v>
      </c>
      <c r="G320" s="50">
        <v>0</v>
      </c>
      <c r="H320" s="50">
        <v>0</v>
      </c>
      <c r="I320" s="50">
        <v>0</v>
      </c>
      <c r="J320" s="50">
        <v>0</v>
      </c>
      <c r="K320" s="50">
        <v>0</v>
      </c>
      <c r="L320" s="50">
        <v>0</v>
      </c>
      <c r="M320" s="50">
        <v>0</v>
      </c>
      <c r="N320" s="50">
        <v>0</v>
      </c>
      <c r="O320" s="299">
        <v>0</v>
      </c>
      <c r="P320" s="299">
        <v>0</v>
      </c>
      <c r="Q320" s="299">
        <v>0</v>
      </c>
      <c r="R320" s="299">
        <v>0</v>
      </c>
      <c r="S320" s="299">
        <v>0</v>
      </c>
      <c r="T320" s="299">
        <v>0</v>
      </c>
      <c r="V320" s="194" t="s">
        <v>95</v>
      </c>
      <c r="W320" s="299">
        <v>0</v>
      </c>
    </row>
    <row r="321" spans="2:23" ht="15.75">
      <c r="B321" s="194" t="s">
        <v>40</v>
      </c>
      <c r="C321" s="50">
        <v>60824</v>
      </c>
      <c r="D321" s="50">
        <v>53099</v>
      </c>
      <c r="E321" s="50">
        <v>49057</v>
      </c>
      <c r="F321" s="50">
        <v>46294</v>
      </c>
      <c r="G321" s="50">
        <v>41324</v>
      </c>
      <c r="H321" s="50">
        <v>35803</v>
      </c>
      <c r="I321" s="50">
        <v>34533</v>
      </c>
      <c r="J321" s="50">
        <v>31945</v>
      </c>
      <c r="K321" s="50">
        <v>27240</v>
      </c>
      <c r="L321" s="50">
        <v>22783</v>
      </c>
      <c r="M321" s="50">
        <v>19872</v>
      </c>
      <c r="N321" s="50">
        <v>19483</v>
      </c>
      <c r="O321" s="299">
        <v>15985</v>
      </c>
      <c r="P321" s="299">
        <v>10261.749362</v>
      </c>
      <c r="Q321" s="299">
        <v>5178.3844600000002</v>
      </c>
      <c r="R321" s="299">
        <v>1273</v>
      </c>
      <c r="S321" s="299">
        <v>0</v>
      </c>
      <c r="T321" s="299">
        <v>0</v>
      </c>
      <c r="V321" s="194" t="s">
        <v>40</v>
      </c>
      <c r="W321" s="299">
        <v>0</v>
      </c>
    </row>
    <row r="322" spans="2:23" ht="15.75">
      <c r="B322" s="194" t="s">
        <v>51</v>
      </c>
      <c r="C322" s="50">
        <v>0</v>
      </c>
      <c r="D322" s="50">
        <v>0</v>
      </c>
      <c r="E322" s="50">
        <v>0</v>
      </c>
      <c r="F322" s="50">
        <v>0</v>
      </c>
      <c r="G322" s="50">
        <v>0</v>
      </c>
      <c r="H322" s="50">
        <v>0</v>
      </c>
      <c r="I322" s="50">
        <v>0</v>
      </c>
      <c r="J322" s="50">
        <v>0</v>
      </c>
      <c r="K322" s="50">
        <v>0</v>
      </c>
      <c r="L322" s="50">
        <v>0</v>
      </c>
      <c r="M322" s="50">
        <v>0</v>
      </c>
      <c r="N322" s="50">
        <v>0</v>
      </c>
      <c r="O322" s="299">
        <v>0</v>
      </c>
      <c r="P322" s="299">
        <v>0</v>
      </c>
      <c r="Q322" s="299">
        <v>0</v>
      </c>
      <c r="R322" s="299">
        <v>0</v>
      </c>
      <c r="S322" s="299">
        <v>0</v>
      </c>
      <c r="T322" s="299">
        <v>0</v>
      </c>
      <c r="V322" s="194" t="s">
        <v>42</v>
      </c>
      <c r="W322" s="299">
        <v>0</v>
      </c>
    </row>
    <row r="323" spans="2:23" ht="15.75">
      <c r="B323" s="194" t="s">
        <v>52</v>
      </c>
      <c r="C323" s="50">
        <v>61</v>
      </c>
      <c r="D323" s="50">
        <v>102</v>
      </c>
      <c r="E323" s="50">
        <v>91</v>
      </c>
      <c r="F323" s="50">
        <v>82</v>
      </c>
      <c r="G323" s="50">
        <v>74</v>
      </c>
      <c r="H323" s="50">
        <v>79</v>
      </c>
      <c r="I323" s="50">
        <v>192</v>
      </c>
      <c r="J323" s="50">
        <v>98</v>
      </c>
      <c r="K323" s="50">
        <v>106</v>
      </c>
      <c r="L323" s="50">
        <v>108</v>
      </c>
      <c r="M323" s="50">
        <v>109</v>
      </c>
      <c r="N323" s="50">
        <v>101</v>
      </c>
      <c r="O323" s="299">
        <v>94</v>
      </c>
      <c r="P323" s="299">
        <v>91.234666000000004</v>
      </c>
      <c r="Q323" s="299">
        <v>83.537306000000001</v>
      </c>
      <c r="R323" s="299">
        <v>80</v>
      </c>
      <c r="S323" s="299">
        <v>72</v>
      </c>
      <c r="T323" s="299">
        <v>63.840912000000003</v>
      </c>
      <c r="V323" s="194" t="s">
        <v>52</v>
      </c>
      <c r="W323" s="299">
        <v>65.056141999999994</v>
      </c>
    </row>
    <row r="324" spans="2:23" ht="15.75">
      <c r="B324" s="194" t="s">
        <v>53</v>
      </c>
      <c r="C324" s="50">
        <v>0</v>
      </c>
      <c r="D324" s="50">
        <v>0</v>
      </c>
      <c r="E324" s="50">
        <v>0</v>
      </c>
      <c r="F324" s="50">
        <v>0</v>
      </c>
      <c r="G324" s="50">
        <v>0</v>
      </c>
      <c r="H324" s="50">
        <v>0</v>
      </c>
      <c r="I324" s="50">
        <v>0</v>
      </c>
      <c r="J324" s="50">
        <v>0</v>
      </c>
      <c r="K324" s="50">
        <v>0</v>
      </c>
      <c r="L324" s="50">
        <v>0</v>
      </c>
      <c r="M324" s="50">
        <v>0</v>
      </c>
      <c r="N324" s="50">
        <v>0</v>
      </c>
      <c r="O324" s="299">
        <v>0</v>
      </c>
      <c r="P324" s="299">
        <v>0</v>
      </c>
      <c r="Q324" s="299">
        <v>0</v>
      </c>
      <c r="R324" s="299">
        <v>0</v>
      </c>
      <c r="S324" s="299">
        <v>0</v>
      </c>
      <c r="T324" s="299">
        <v>0</v>
      </c>
      <c r="V324" s="194" t="s">
        <v>53</v>
      </c>
      <c r="W324" s="299">
        <v>0</v>
      </c>
    </row>
    <row r="325" spans="2:23" ht="15.75">
      <c r="B325" s="194" t="s">
        <v>55</v>
      </c>
      <c r="C325" s="50">
        <v>108</v>
      </c>
      <c r="D325" s="50">
        <v>197</v>
      </c>
      <c r="E325" s="50">
        <v>188</v>
      </c>
      <c r="F325" s="50">
        <v>179</v>
      </c>
      <c r="G325" s="50">
        <v>177</v>
      </c>
      <c r="H325" s="50">
        <v>168</v>
      </c>
      <c r="I325" s="50">
        <v>182</v>
      </c>
      <c r="J325" s="50">
        <v>172</v>
      </c>
      <c r="K325" s="50">
        <v>162</v>
      </c>
      <c r="L325" s="50">
        <v>153</v>
      </c>
      <c r="M325" s="50">
        <v>155</v>
      </c>
      <c r="N325" s="50">
        <v>141</v>
      </c>
      <c r="O325" s="299">
        <v>129</v>
      </c>
      <c r="P325" s="299">
        <v>115.19507400000001</v>
      </c>
      <c r="Q325" s="299">
        <v>102.692087</v>
      </c>
      <c r="R325" s="299">
        <v>92</v>
      </c>
      <c r="S325" s="299">
        <v>82</v>
      </c>
      <c r="T325" s="299">
        <v>71.554449000000005</v>
      </c>
      <c r="V325" s="194" t="s">
        <v>55</v>
      </c>
      <c r="W325" s="299">
        <v>62.955249999999999</v>
      </c>
    </row>
    <row r="326" spans="2:23" ht="15.75">
      <c r="B326" s="194" t="s">
        <v>43</v>
      </c>
      <c r="C326" s="50">
        <v>0</v>
      </c>
      <c r="D326" s="50">
        <v>0</v>
      </c>
      <c r="E326" s="50">
        <v>0</v>
      </c>
      <c r="F326" s="50">
        <v>0</v>
      </c>
      <c r="G326" s="50">
        <v>0</v>
      </c>
      <c r="H326" s="50">
        <v>0</v>
      </c>
      <c r="I326" s="50">
        <v>0</v>
      </c>
      <c r="J326" s="50">
        <v>0</v>
      </c>
      <c r="K326" s="50">
        <v>0</v>
      </c>
      <c r="L326" s="50">
        <v>0</v>
      </c>
      <c r="M326" s="50">
        <v>0</v>
      </c>
      <c r="N326" s="50">
        <v>0</v>
      </c>
      <c r="O326" s="299">
        <v>0</v>
      </c>
      <c r="P326" s="299">
        <v>0</v>
      </c>
      <c r="Q326" s="299">
        <v>0</v>
      </c>
      <c r="R326" s="299">
        <v>0</v>
      </c>
      <c r="S326" s="299">
        <v>0</v>
      </c>
      <c r="T326" s="299">
        <v>0</v>
      </c>
      <c r="V326" s="194" t="s">
        <v>43</v>
      </c>
      <c r="W326" s="299">
        <v>0</v>
      </c>
    </row>
    <row r="327" spans="2:23" ht="15.75">
      <c r="B327" s="194" t="s">
        <v>56</v>
      </c>
      <c r="C327" s="50">
        <v>0</v>
      </c>
      <c r="D327" s="50">
        <v>0</v>
      </c>
      <c r="E327" s="50">
        <v>0</v>
      </c>
      <c r="F327" s="50">
        <v>0</v>
      </c>
      <c r="G327" s="50">
        <v>0</v>
      </c>
      <c r="H327" s="50">
        <v>0</v>
      </c>
      <c r="I327" s="50">
        <v>0</v>
      </c>
      <c r="J327" s="50">
        <v>0</v>
      </c>
      <c r="K327" s="50">
        <v>0</v>
      </c>
      <c r="L327" s="50">
        <v>0</v>
      </c>
      <c r="M327" s="50">
        <v>0</v>
      </c>
      <c r="N327" s="50">
        <v>0</v>
      </c>
      <c r="O327" s="299">
        <v>0</v>
      </c>
      <c r="P327" s="299">
        <v>0</v>
      </c>
      <c r="Q327" s="299">
        <v>0</v>
      </c>
      <c r="R327" s="299">
        <v>0</v>
      </c>
      <c r="S327" s="299">
        <v>0</v>
      </c>
      <c r="T327" s="299">
        <v>0</v>
      </c>
      <c r="V327" s="194" t="s">
        <v>56</v>
      </c>
      <c r="W327" s="299">
        <v>0</v>
      </c>
    </row>
    <row r="328" spans="2:23" ht="15.75">
      <c r="B328" s="194" t="s">
        <v>57</v>
      </c>
      <c r="C328" s="50">
        <v>0</v>
      </c>
      <c r="D328" s="50">
        <v>0</v>
      </c>
      <c r="E328" s="50">
        <v>0</v>
      </c>
      <c r="F328" s="50">
        <v>0</v>
      </c>
      <c r="G328" s="50">
        <v>0</v>
      </c>
      <c r="H328" s="50">
        <v>0</v>
      </c>
      <c r="I328" s="50">
        <v>-6</v>
      </c>
      <c r="J328" s="50">
        <v>187</v>
      </c>
      <c r="K328" s="50">
        <v>170</v>
      </c>
      <c r="L328" s="50">
        <v>154</v>
      </c>
      <c r="M328" s="50">
        <v>137</v>
      </c>
      <c r="N328" s="50">
        <v>121</v>
      </c>
      <c r="O328" s="299">
        <v>122</v>
      </c>
      <c r="P328" s="299">
        <v>104.53037</v>
      </c>
      <c r="Q328" s="299">
        <v>113.761526</v>
      </c>
      <c r="R328" s="299">
        <v>99</v>
      </c>
      <c r="S328" s="299">
        <v>111</v>
      </c>
      <c r="T328" s="299">
        <v>93.051058999999995</v>
      </c>
      <c r="V328" s="194" t="s">
        <v>57</v>
      </c>
      <c r="W328" s="299">
        <v>77.251846</v>
      </c>
    </row>
    <row r="329" spans="2:23" ht="15.75">
      <c r="B329" s="194" t="s">
        <v>44</v>
      </c>
      <c r="C329" s="50">
        <v>0</v>
      </c>
      <c r="D329" s="50">
        <v>0</v>
      </c>
      <c r="E329" s="50">
        <v>0</v>
      </c>
      <c r="F329" s="50">
        <v>0</v>
      </c>
      <c r="G329" s="50">
        <v>0</v>
      </c>
      <c r="H329" s="50">
        <v>0</v>
      </c>
      <c r="I329" s="50">
        <v>0</v>
      </c>
      <c r="J329" s="50">
        <v>0</v>
      </c>
      <c r="K329" s="50">
        <v>0</v>
      </c>
      <c r="L329" s="50">
        <v>0</v>
      </c>
      <c r="M329" s="50">
        <v>0</v>
      </c>
      <c r="N329" s="50">
        <v>0</v>
      </c>
      <c r="O329" s="299">
        <v>0</v>
      </c>
      <c r="P329" s="299">
        <v>0</v>
      </c>
      <c r="Q329" s="299">
        <v>0</v>
      </c>
      <c r="R329" s="299">
        <v>0</v>
      </c>
      <c r="S329" s="299">
        <v>0</v>
      </c>
      <c r="T329" s="299">
        <v>0</v>
      </c>
      <c r="V329" s="194" t="s">
        <v>44</v>
      </c>
      <c r="W329" s="299">
        <v>0</v>
      </c>
    </row>
    <row r="330" spans="2:23">
      <c r="B330" s="192" t="s">
        <v>59</v>
      </c>
      <c r="C330" s="175">
        <v>60993</v>
      </c>
      <c r="D330" s="175">
        <v>53398</v>
      </c>
      <c r="E330" s="175">
        <v>49336</v>
      </c>
      <c r="F330" s="175">
        <v>46555</v>
      </c>
      <c r="G330" s="175">
        <v>41575</v>
      </c>
      <c r="H330" s="175">
        <v>36050</v>
      </c>
      <c r="I330" s="175">
        <v>34901</v>
      </c>
      <c r="J330" s="175">
        <v>32402</v>
      </c>
      <c r="K330" s="175">
        <v>27678</v>
      </c>
      <c r="L330" s="175">
        <v>23198</v>
      </c>
      <c r="M330" s="175">
        <v>20273</v>
      </c>
      <c r="N330" s="175">
        <v>19846</v>
      </c>
      <c r="O330" s="213">
        <v>16330</v>
      </c>
      <c r="P330" s="213">
        <f>SUM(P317:P329)</f>
        <v>10572.709472</v>
      </c>
      <c r="Q330" s="213">
        <f>SUM(Q317:Q329)</f>
        <v>5478.375379000001</v>
      </c>
      <c r="R330" s="213">
        <v>1544</v>
      </c>
      <c r="S330" s="213">
        <v>265</v>
      </c>
      <c r="T330" s="213">
        <v>228.44641999999999</v>
      </c>
      <c r="V330" s="192" t="s">
        <v>59</v>
      </c>
      <c r="W330" s="817">
        <v>205.263238</v>
      </c>
    </row>
    <row r="331" spans="2:23">
      <c r="B331" s="65" t="s">
        <v>60</v>
      </c>
      <c r="C331" s="174">
        <v>119158</v>
      </c>
      <c r="D331" s="174">
        <v>102433</v>
      </c>
      <c r="E331" s="174">
        <v>100289</v>
      </c>
      <c r="F331" s="174">
        <v>90303</v>
      </c>
      <c r="G331" s="174">
        <v>85196</v>
      </c>
      <c r="H331" s="174">
        <v>88122</v>
      </c>
      <c r="I331" s="174">
        <v>87498</v>
      </c>
      <c r="J331" s="174">
        <v>85713</v>
      </c>
      <c r="K331" s="174">
        <v>77947</v>
      </c>
      <c r="L331" s="174">
        <v>82561</v>
      </c>
      <c r="M331" s="174">
        <v>79266</v>
      </c>
      <c r="N331" s="174">
        <v>80013</v>
      </c>
      <c r="O331" s="212">
        <v>67704</v>
      </c>
      <c r="P331" s="212">
        <f>+P315+P330</f>
        <v>66380.592719000007</v>
      </c>
      <c r="Q331" s="212">
        <f>+Q315+Q330</f>
        <v>62383.802809999994</v>
      </c>
      <c r="R331" s="212">
        <v>56716</v>
      </c>
      <c r="S331" s="212">
        <v>49033</v>
      </c>
      <c r="T331" s="212">
        <v>47993.994243999994</v>
      </c>
      <c r="V331" s="65" t="s">
        <v>60</v>
      </c>
      <c r="W331" s="815">
        <v>47801.741240999996</v>
      </c>
    </row>
    <row r="332" spans="2:23">
      <c r="B332" s="67"/>
      <c r="C332" s="195"/>
      <c r="D332" s="195"/>
      <c r="E332" s="195"/>
      <c r="F332" s="195"/>
      <c r="G332" s="195"/>
      <c r="H332" s="195"/>
      <c r="I332" s="195"/>
      <c r="J332" s="195"/>
      <c r="K332" s="195"/>
      <c r="L332" s="195"/>
      <c r="M332" s="195"/>
      <c r="N332" s="195"/>
      <c r="O332" s="214"/>
      <c r="P332" s="135"/>
      <c r="Q332" s="135"/>
      <c r="R332" s="135"/>
      <c r="T332" s="744"/>
      <c r="V332" s="67"/>
      <c r="W332" s="812"/>
    </row>
    <row r="333" spans="2:23">
      <c r="B333" s="191" t="s">
        <v>61</v>
      </c>
      <c r="C333" s="196"/>
      <c r="D333" s="196"/>
      <c r="E333" s="196"/>
      <c r="F333" s="196"/>
      <c r="G333" s="196"/>
      <c r="H333" s="196"/>
      <c r="I333" s="196"/>
      <c r="J333" s="196"/>
      <c r="K333" s="196"/>
      <c r="L333" s="196"/>
      <c r="M333" s="196"/>
      <c r="N333" s="196"/>
      <c r="O333" s="215"/>
      <c r="P333" s="215"/>
      <c r="Q333" s="215"/>
      <c r="R333" s="215"/>
      <c r="S333" s="215"/>
      <c r="T333" s="751"/>
      <c r="V333" s="191" t="s">
        <v>61</v>
      </c>
      <c r="W333" s="823"/>
    </row>
    <row r="334" spans="2:23">
      <c r="B334" s="192" t="s">
        <v>62</v>
      </c>
      <c r="C334" s="197"/>
      <c r="D334" s="197"/>
      <c r="E334" s="197"/>
      <c r="F334" s="197"/>
      <c r="G334" s="197"/>
      <c r="H334" s="197"/>
      <c r="I334" s="197"/>
      <c r="J334" s="197"/>
      <c r="K334" s="197"/>
      <c r="L334" s="197"/>
      <c r="M334" s="197"/>
      <c r="N334" s="197"/>
      <c r="O334" s="216"/>
      <c r="P334" s="216"/>
      <c r="Q334" s="216"/>
      <c r="R334" s="216"/>
      <c r="S334" s="216"/>
      <c r="T334" s="752"/>
      <c r="V334" s="192" t="s">
        <v>62</v>
      </c>
      <c r="W334" s="824"/>
    </row>
    <row r="335" spans="2:23" ht="15.75">
      <c r="B335" s="194" t="s">
        <v>557</v>
      </c>
      <c r="C335" s="50">
        <v>20132</v>
      </c>
      <c r="D335" s="50">
        <v>9900</v>
      </c>
      <c r="E335" s="50">
        <v>9414</v>
      </c>
      <c r="F335" s="50">
        <v>9935</v>
      </c>
      <c r="G335" s="50">
        <v>10072</v>
      </c>
      <c r="H335" s="50">
        <v>10556</v>
      </c>
      <c r="I335" s="50">
        <v>12512</v>
      </c>
      <c r="J335" s="50">
        <v>13982</v>
      </c>
      <c r="K335" s="50">
        <v>14140</v>
      </c>
      <c r="L335" s="50">
        <v>11925</v>
      </c>
      <c r="M335" s="50">
        <v>11868</v>
      </c>
      <c r="N335" s="50">
        <v>12247</v>
      </c>
      <c r="O335" s="299">
        <v>12833</v>
      </c>
      <c r="P335" s="299">
        <v>13142.165004</v>
      </c>
      <c r="Q335" s="299">
        <v>12788.459242000001</v>
      </c>
      <c r="R335" s="299">
        <v>12926</v>
      </c>
      <c r="S335" s="299">
        <v>11979</v>
      </c>
      <c r="T335" s="299">
        <v>17165.356041999999</v>
      </c>
      <c r="V335" s="194" t="s">
        <v>63</v>
      </c>
      <c r="W335" s="299">
        <v>12114.306224</v>
      </c>
    </row>
    <row r="336" spans="2:23" ht="15.75">
      <c r="B336" s="194" t="s">
        <v>558</v>
      </c>
      <c r="C336" s="50">
        <v>1111</v>
      </c>
      <c r="D336" s="50">
        <v>1391</v>
      </c>
      <c r="E336" s="50">
        <v>1181</v>
      </c>
      <c r="F336" s="50">
        <v>1409</v>
      </c>
      <c r="G336" s="50">
        <v>699</v>
      </c>
      <c r="H336" s="50">
        <v>1646</v>
      </c>
      <c r="I336" s="50">
        <v>1406</v>
      </c>
      <c r="J336" s="50">
        <v>2005</v>
      </c>
      <c r="K336" s="50">
        <v>811</v>
      </c>
      <c r="L336" s="50">
        <v>2416</v>
      </c>
      <c r="M336" s="50">
        <v>3039</v>
      </c>
      <c r="N336" s="50">
        <v>1702</v>
      </c>
      <c r="O336" s="299">
        <v>1497</v>
      </c>
      <c r="P336" s="299">
        <v>2702.855693</v>
      </c>
      <c r="Q336" s="299">
        <f>3592.262036-1.458163</f>
        <v>3590.8038730000003</v>
      </c>
      <c r="R336" s="299">
        <v>1806</v>
      </c>
      <c r="S336" s="299">
        <v>1951</v>
      </c>
      <c r="T336" s="299">
        <v>3057.4217720000001</v>
      </c>
      <c r="V336" s="194" t="s">
        <v>64</v>
      </c>
      <c r="W336" s="299">
        <v>6128.5586739999999</v>
      </c>
    </row>
    <row r="337" spans="2:23" ht="15.75">
      <c r="B337" s="194" t="s">
        <v>559</v>
      </c>
      <c r="C337" s="50">
        <v>25</v>
      </c>
      <c r="D337" s="50">
        <v>27</v>
      </c>
      <c r="E337" s="50">
        <v>29</v>
      </c>
      <c r="F337" s="50">
        <v>25</v>
      </c>
      <c r="G337" s="50">
        <v>25</v>
      </c>
      <c r="H337" s="50">
        <v>20</v>
      </c>
      <c r="I337" s="50">
        <v>18</v>
      </c>
      <c r="J337" s="50">
        <v>20</v>
      </c>
      <c r="K337" s="50">
        <v>22</v>
      </c>
      <c r="L337" s="50">
        <v>22</v>
      </c>
      <c r="M337" s="50">
        <v>20</v>
      </c>
      <c r="N337" s="50">
        <v>24</v>
      </c>
      <c r="O337" s="299">
        <v>28</v>
      </c>
      <c r="P337" s="299">
        <v>27.7438</v>
      </c>
      <c r="Q337" s="299">
        <v>25.718830000000001</v>
      </c>
      <c r="R337" s="299">
        <v>27</v>
      </c>
      <c r="S337" s="299">
        <v>28</v>
      </c>
      <c r="T337" s="299">
        <v>70.720622000000006</v>
      </c>
      <c r="V337" s="194" t="s">
        <v>66</v>
      </c>
      <c r="W337" s="299">
        <v>22.854851</v>
      </c>
    </row>
    <row r="338" spans="2:23" ht="15.75">
      <c r="B338" s="194" t="s">
        <v>41</v>
      </c>
      <c r="C338" s="50">
        <v>0</v>
      </c>
      <c r="D338" s="50">
        <v>4053</v>
      </c>
      <c r="E338" s="50">
        <v>5426</v>
      </c>
      <c r="F338" s="50">
        <v>2598</v>
      </c>
      <c r="G338" s="50">
        <v>3834</v>
      </c>
      <c r="H338" s="50">
        <v>5005</v>
      </c>
      <c r="I338" s="50">
        <v>6448</v>
      </c>
      <c r="J338" s="50">
        <v>2898</v>
      </c>
      <c r="K338" s="50">
        <v>4361</v>
      </c>
      <c r="L338" s="50">
        <v>6422</v>
      </c>
      <c r="M338" s="50">
        <v>7575</v>
      </c>
      <c r="N338" s="50">
        <v>8241</v>
      </c>
      <c r="O338" s="299">
        <v>3508</v>
      </c>
      <c r="P338" s="299">
        <v>4053.0872460000001</v>
      </c>
      <c r="Q338" s="299">
        <f>5281.759509+1.458163</f>
        <v>5283.2176720000007</v>
      </c>
      <c r="R338" s="299">
        <v>3008</v>
      </c>
      <c r="S338" s="299">
        <v>4769</v>
      </c>
      <c r="T338" s="299">
        <v>2098.483956</v>
      </c>
      <c r="V338" s="194" t="s">
        <v>41</v>
      </c>
      <c r="W338" s="299">
        <v>563.84482600000001</v>
      </c>
    </row>
    <row r="339" spans="2:23" ht="15.75">
      <c r="B339" s="194" t="s">
        <v>560</v>
      </c>
      <c r="C339" s="50">
        <v>3191</v>
      </c>
      <c r="D339" s="50">
        <v>2236</v>
      </c>
      <c r="E339" s="50">
        <v>1829</v>
      </c>
      <c r="F339" s="50">
        <v>0</v>
      </c>
      <c r="G339" s="50">
        <v>66</v>
      </c>
      <c r="H339" s="50">
        <v>1379</v>
      </c>
      <c r="I339" s="50">
        <v>955</v>
      </c>
      <c r="J339" s="50">
        <v>431</v>
      </c>
      <c r="K339" s="50">
        <v>280</v>
      </c>
      <c r="L339" s="50">
        <v>758</v>
      </c>
      <c r="M339" s="50">
        <v>140</v>
      </c>
      <c r="N339" s="50">
        <v>140</v>
      </c>
      <c r="O339" s="299">
        <v>108</v>
      </c>
      <c r="P339" s="299">
        <v>257.05323099999998</v>
      </c>
      <c r="Q339" s="299">
        <v>93.480264000000005</v>
      </c>
      <c r="R339" s="299">
        <v>21</v>
      </c>
      <c r="S339" s="299">
        <v>36</v>
      </c>
      <c r="T339" s="299">
        <v>202.369111</v>
      </c>
      <c r="V339" s="194" t="s">
        <v>67</v>
      </c>
      <c r="W339" s="299">
        <v>628.80564100000004</v>
      </c>
    </row>
    <row r="340" spans="2:23" ht="15.75">
      <c r="B340" s="194" t="s">
        <v>65</v>
      </c>
      <c r="C340" s="50">
        <v>72</v>
      </c>
      <c r="D340" s="50">
        <v>124</v>
      </c>
      <c r="E340" s="50">
        <v>84</v>
      </c>
      <c r="F340" s="50">
        <v>96</v>
      </c>
      <c r="G340" s="50">
        <v>117</v>
      </c>
      <c r="H340" s="50">
        <v>127</v>
      </c>
      <c r="I340" s="50">
        <v>84</v>
      </c>
      <c r="J340" s="50">
        <v>2593</v>
      </c>
      <c r="K340" s="50">
        <v>104</v>
      </c>
      <c r="L340" s="50">
        <v>1497</v>
      </c>
      <c r="M340" s="50">
        <v>1463</v>
      </c>
      <c r="N340" s="50">
        <v>96</v>
      </c>
      <c r="O340" s="299">
        <v>106</v>
      </c>
      <c r="P340" s="299">
        <v>538.99136799999997</v>
      </c>
      <c r="Q340" s="299">
        <v>508.37379099999998</v>
      </c>
      <c r="R340" s="299">
        <v>100</v>
      </c>
      <c r="S340" s="299">
        <v>139</v>
      </c>
      <c r="T340" s="299">
        <v>1118.1063429999999</v>
      </c>
      <c r="V340" s="194" t="s">
        <v>65</v>
      </c>
      <c r="W340" s="299">
        <v>1043.770372</v>
      </c>
    </row>
    <row r="341" spans="2:23" ht="15.75">
      <c r="B341" s="194" t="s">
        <v>562</v>
      </c>
      <c r="C341" s="50">
        <v>569</v>
      </c>
      <c r="D341" s="50">
        <v>0</v>
      </c>
      <c r="E341" s="50">
        <v>0</v>
      </c>
      <c r="F341" s="50">
        <v>0</v>
      </c>
      <c r="G341" s="50">
        <v>0</v>
      </c>
      <c r="H341" s="50">
        <v>0</v>
      </c>
      <c r="I341" s="50">
        <v>0</v>
      </c>
      <c r="J341" s="50">
        <v>0</v>
      </c>
      <c r="K341" s="50">
        <v>0</v>
      </c>
      <c r="L341" s="50">
        <v>0</v>
      </c>
      <c r="M341" s="50">
        <v>0</v>
      </c>
      <c r="N341" s="50">
        <v>0</v>
      </c>
      <c r="O341" s="299">
        <v>0</v>
      </c>
      <c r="P341" s="299">
        <v>0</v>
      </c>
      <c r="Q341" s="299">
        <v>0</v>
      </c>
      <c r="R341" s="299">
        <v>0</v>
      </c>
      <c r="S341" s="299">
        <v>0</v>
      </c>
      <c r="T341" s="299">
        <v>0</v>
      </c>
      <c r="V341" s="194" t="s">
        <v>68</v>
      </c>
      <c r="W341" s="299">
        <v>0</v>
      </c>
    </row>
    <row r="342" spans="2:23" ht="15.75">
      <c r="B342" s="194" t="s">
        <v>625</v>
      </c>
      <c r="C342" s="50">
        <v>0</v>
      </c>
      <c r="D342" s="50">
        <v>0</v>
      </c>
      <c r="E342" s="50">
        <v>0</v>
      </c>
      <c r="F342" s="50">
        <v>0</v>
      </c>
      <c r="G342" s="50">
        <v>0</v>
      </c>
      <c r="H342" s="50">
        <v>0</v>
      </c>
      <c r="I342" s="50">
        <v>0</v>
      </c>
      <c r="J342" s="50">
        <v>0</v>
      </c>
      <c r="K342" s="50">
        <v>0</v>
      </c>
      <c r="L342" s="50">
        <v>0</v>
      </c>
      <c r="M342" s="50">
        <v>0</v>
      </c>
      <c r="N342" s="50">
        <v>0</v>
      </c>
      <c r="O342" s="299">
        <v>0</v>
      </c>
      <c r="P342" s="299">
        <v>0</v>
      </c>
      <c r="Q342" s="299">
        <v>0</v>
      </c>
      <c r="R342" s="299">
        <v>0</v>
      </c>
      <c r="S342" s="299">
        <v>0</v>
      </c>
      <c r="T342" s="299">
        <v>0</v>
      </c>
      <c r="V342" s="194" t="s">
        <v>625</v>
      </c>
      <c r="W342" s="299">
        <v>0</v>
      </c>
    </row>
    <row r="343" spans="2:23">
      <c r="B343" s="192" t="s">
        <v>70</v>
      </c>
      <c r="C343" s="175">
        <v>25100</v>
      </c>
      <c r="D343" s="175">
        <v>17731</v>
      </c>
      <c r="E343" s="175">
        <v>17963</v>
      </c>
      <c r="F343" s="175">
        <v>14063</v>
      </c>
      <c r="G343" s="175">
        <v>14813</v>
      </c>
      <c r="H343" s="175">
        <v>18733</v>
      </c>
      <c r="I343" s="175">
        <v>21423</v>
      </c>
      <c r="J343" s="175">
        <v>21929</v>
      </c>
      <c r="K343" s="175">
        <v>19718</v>
      </c>
      <c r="L343" s="175">
        <v>23040</v>
      </c>
      <c r="M343" s="175">
        <v>24105</v>
      </c>
      <c r="N343" s="175">
        <v>22450</v>
      </c>
      <c r="O343" s="213">
        <v>18080</v>
      </c>
      <c r="P343" s="213">
        <f>SUM(P335:P342)</f>
        <v>20721.896342</v>
      </c>
      <c r="Q343" s="213">
        <f>SUM(Q335:Q342)</f>
        <v>22290.053672000009</v>
      </c>
      <c r="R343" s="213">
        <v>17888</v>
      </c>
      <c r="S343" s="213">
        <v>18902</v>
      </c>
      <c r="T343" s="213">
        <v>23712.457846000001</v>
      </c>
      <c r="V343" s="192" t="s">
        <v>70</v>
      </c>
      <c r="W343" s="817">
        <v>20502.140587999998</v>
      </c>
    </row>
    <row r="344" spans="2:23">
      <c r="B344" s="198" t="s">
        <v>71</v>
      </c>
      <c r="C344" s="199"/>
      <c r="D344" s="199"/>
      <c r="E344" s="199"/>
      <c r="F344" s="199"/>
      <c r="G344" s="199"/>
      <c r="H344" s="199"/>
      <c r="I344" s="199"/>
      <c r="J344" s="199"/>
      <c r="K344" s="199"/>
      <c r="L344" s="199"/>
      <c r="M344" s="199"/>
      <c r="N344" s="199"/>
      <c r="O344" s="217"/>
      <c r="P344" s="217"/>
      <c r="Q344" s="217"/>
      <c r="R344" s="217"/>
      <c r="S344" s="217"/>
      <c r="T344" s="753"/>
      <c r="V344" s="198" t="s">
        <v>71</v>
      </c>
      <c r="W344" s="820"/>
    </row>
    <row r="345" spans="2:23" ht="15.75">
      <c r="B345" s="194" t="s">
        <v>63</v>
      </c>
      <c r="C345" s="50">
        <v>46896</v>
      </c>
      <c r="D345" s="50">
        <v>39599</v>
      </c>
      <c r="E345" s="50">
        <v>36378</v>
      </c>
      <c r="F345" s="50">
        <v>36685</v>
      </c>
      <c r="G345" s="50">
        <v>30663</v>
      </c>
      <c r="H345" s="50">
        <v>30914</v>
      </c>
      <c r="I345" s="50">
        <v>33681</v>
      </c>
      <c r="J345" s="50">
        <v>33751</v>
      </c>
      <c r="K345" s="50">
        <v>27483</v>
      </c>
      <c r="L345" s="50">
        <v>30216</v>
      </c>
      <c r="M345" s="50">
        <v>25453</v>
      </c>
      <c r="N345" s="50">
        <v>25681</v>
      </c>
      <c r="O345" s="299">
        <v>18268</v>
      </c>
      <c r="P345" s="299">
        <v>18591.780223000002</v>
      </c>
      <c r="Q345" s="299">
        <v>13874.242792999999</v>
      </c>
      <c r="R345" s="299">
        <v>14219</v>
      </c>
      <c r="S345" s="299">
        <v>7207</v>
      </c>
      <c r="T345" s="299">
        <v>1526.1915349999999</v>
      </c>
      <c r="V345" s="194" t="s">
        <v>63</v>
      </c>
      <c r="W345" s="299">
        <v>2985.8829639999999</v>
      </c>
    </row>
    <row r="346" spans="2:23" ht="15.75">
      <c r="B346" s="194" t="s">
        <v>64</v>
      </c>
      <c r="C346" s="50">
        <v>0</v>
      </c>
      <c r="D346" s="50">
        <v>0</v>
      </c>
      <c r="E346" s="50">
        <v>0</v>
      </c>
      <c r="F346" s="50">
        <v>0</v>
      </c>
      <c r="G346" s="50">
        <v>0</v>
      </c>
      <c r="H346" s="50">
        <v>0</v>
      </c>
      <c r="I346" s="50">
        <v>0</v>
      </c>
      <c r="J346" s="50">
        <v>124</v>
      </c>
      <c r="K346" s="50">
        <v>112</v>
      </c>
      <c r="L346" s="50">
        <v>94</v>
      </c>
      <c r="M346" s="50">
        <v>77</v>
      </c>
      <c r="N346" s="50">
        <v>65</v>
      </c>
      <c r="O346" s="299">
        <v>55</v>
      </c>
      <c r="P346" s="299">
        <v>43.459302999999998</v>
      </c>
      <c r="Q346" s="299">
        <v>42.813394000000002</v>
      </c>
      <c r="R346" s="299">
        <v>40</v>
      </c>
      <c r="S346" s="299">
        <v>48</v>
      </c>
      <c r="T346" s="299">
        <v>38.684803000000002</v>
      </c>
      <c r="V346" s="194" t="s">
        <v>64</v>
      </c>
      <c r="W346" s="299">
        <v>30.512238</v>
      </c>
    </row>
    <row r="347" spans="2:23" ht="15.75">
      <c r="B347" s="194" t="s">
        <v>72</v>
      </c>
      <c r="C347" s="50">
        <v>0</v>
      </c>
      <c r="D347" s="50">
        <v>0</v>
      </c>
      <c r="E347" s="50">
        <v>0</v>
      </c>
      <c r="F347" s="50">
        <v>0</v>
      </c>
      <c r="G347" s="50">
        <v>0</v>
      </c>
      <c r="H347" s="50">
        <v>0</v>
      </c>
      <c r="I347" s="50">
        <v>0</v>
      </c>
      <c r="J347" s="50">
        <v>0</v>
      </c>
      <c r="K347" s="50">
        <v>0</v>
      </c>
      <c r="L347" s="50">
        <v>0</v>
      </c>
      <c r="M347" s="50">
        <v>0</v>
      </c>
      <c r="N347" s="50">
        <v>0</v>
      </c>
      <c r="O347" s="299">
        <v>0</v>
      </c>
      <c r="P347" s="299">
        <v>0</v>
      </c>
      <c r="Q347" s="299">
        <v>0</v>
      </c>
      <c r="R347" s="299">
        <v>0</v>
      </c>
      <c r="S347" s="299">
        <v>0</v>
      </c>
      <c r="T347" s="299">
        <v>0</v>
      </c>
      <c r="V347" s="194" t="s">
        <v>72</v>
      </c>
      <c r="W347" s="299">
        <v>0</v>
      </c>
    </row>
    <row r="348" spans="2:23" ht="15.75">
      <c r="B348" s="194" t="s">
        <v>66</v>
      </c>
      <c r="C348" s="50">
        <v>0</v>
      </c>
      <c r="D348" s="50">
        <v>0</v>
      </c>
      <c r="E348" s="50">
        <v>0</v>
      </c>
      <c r="F348" s="50">
        <v>0</v>
      </c>
      <c r="G348" s="50">
        <v>0</v>
      </c>
      <c r="H348" s="50">
        <v>0</v>
      </c>
      <c r="I348" s="50">
        <v>0</v>
      </c>
      <c r="J348" s="50">
        <v>0</v>
      </c>
      <c r="K348" s="50">
        <v>0</v>
      </c>
      <c r="L348" s="50">
        <v>0</v>
      </c>
      <c r="M348" s="50">
        <v>0</v>
      </c>
      <c r="N348" s="50">
        <v>0</v>
      </c>
      <c r="O348" s="299">
        <v>0</v>
      </c>
      <c r="P348" s="299">
        <v>0</v>
      </c>
      <c r="Q348" s="299">
        <v>0</v>
      </c>
      <c r="R348" s="299">
        <v>0</v>
      </c>
      <c r="S348" s="299">
        <v>0</v>
      </c>
      <c r="T348" s="299">
        <v>0</v>
      </c>
      <c r="V348" s="194" t="s">
        <v>66</v>
      </c>
      <c r="W348" s="299">
        <v>0</v>
      </c>
    </row>
    <row r="349" spans="2:23" ht="15.75">
      <c r="B349" s="194" t="s">
        <v>67</v>
      </c>
      <c r="C349" s="50">
        <v>0</v>
      </c>
      <c r="D349" s="50">
        <v>0</v>
      </c>
      <c r="E349" s="50">
        <v>0</v>
      </c>
      <c r="F349" s="50">
        <v>0</v>
      </c>
      <c r="G349" s="50">
        <v>0</v>
      </c>
      <c r="H349" s="50">
        <v>0</v>
      </c>
      <c r="I349" s="50">
        <v>0</v>
      </c>
      <c r="J349" s="50">
        <v>0</v>
      </c>
      <c r="K349" s="50">
        <v>0</v>
      </c>
      <c r="L349" s="50">
        <v>0</v>
      </c>
      <c r="M349" s="50">
        <v>0</v>
      </c>
      <c r="N349" s="50">
        <v>0</v>
      </c>
      <c r="O349" s="299">
        <v>0</v>
      </c>
      <c r="P349" s="299">
        <v>0</v>
      </c>
      <c r="Q349" s="299">
        <v>0</v>
      </c>
      <c r="R349" s="299">
        <v>0</v>
      </c>
      <c r="S349" s="299">
        <v>0</v>
      </c>
      <c r="T349" s="299">
        <v>0</v>
      </c>
      <c r="V349" s="194" t="s">
        <v>67</v>
      </c>
      <c r="W349" s="299">
        <v>0</v>
      </c>
    </row>
    <row r="350" spans="2:23" ht="15.75">
      <c r="B350" s="194" t="s">
        <v>68</v>
      </c>
      <c r="C350" s="50">
        <v>0</v>
      </c>
      <c r="D350" s="50">
        <v>0</v>
      </c>
      <c r="E350" s="50">
        <v>0</v>
      </c>
      <c r="F350" s="50">
        <v>0</v>
      </c>
      <c r="G350" s="50">
        <v>0</v>
      </c>
      <c r="H350" s="50">
        <v>0</v>
      </c>
      <c r="I350" s="50">
        <v>0</v>
      </c>
      <c r="J350" s="50">
        <v>0</v>
      </c>
      <c r="K350" s="50">
        <v>0</v>
      </c>
      <c r="L350" s="50">
        <v>0</v>
      </c>
      <c r="M350" s="50">
        <v>0</v>
      </c>
      <c r="N350" s="50">
        <v>0</v>
      </c>
      <c r="O350" s="299">
        <v>0</v>
      </c>
      <c r="P350" s="299">
        <v>0</v>
      </c>
      <c r="Q350" s="299">
        <v>0</v>
      </c>
      <c r="R350" s="299">
        <v>0</v>
      </c>
      <c r="S350" s="299">
        <v>0</v>
      </c>
      <c r="T350" s="299">
        <v>0</v>
      </c>
      <c r="V350" s="194" t="s">
        <v>68</v>
      </c>
      <c r="W350" s="299">
        <v>0</v>
      </c>
    </row>
    <row r="351" spans="2:23" ht="15.75">
      <c r="B351" s="194" t="s">
        <v>97</v>
      </c>
      <c r="C351" s="50">
        <v>23228</v>
      </c>
      <c r="D351" s="50">
        <v>21494</v>
      </c>
      <c r="E351" s="50">
        <v>20755</v>
      </c>
      <c r="F351" s="50">
        <v>20101</v>
      </c>
      <c r="G351" s="50">
        <v>19300</v>
      </c>
      <c r="H351" s="50">
        <v>18450</v>
      </c>
      <c r="I351" s="50">
        <v>17573</v>
      </c>
      <c r="J351" s="50">
        <v>16958</v>
      </c>
      <c r="K351" s="50">
        <v>16174</v>
      </c>
      <c r="L351" s="50">
        <v>15043</v>
      </c>
      <c r="M351" s="50">
        <v>14115</v>
      </c>
      <c r="N351" s="50">
        <v>13618</v>
      </c>
      <c r="O351" s="299">
        <v>12787</v>
      </c>
      <c r="P351" s="299">
        <v>12047.511995999999</v>
      </c>
      <c r="Q351" s="299">
        <v>10866.412129</v>
      </c>
      <c r="R351" s="299">
        <v>9641</v>
      </c>
      <c r="S351" s="299">
        <v>7216</v>
      </c>
      <c r="T351" s="299">
        <v>6488.8747430000003</v>
      </c>
      <c r="V351" s="194" t="s">
        <v>97</v>
      </c>
      <c r="W351" s="299">
        <v>6914.3437469999999</v>
      </c>
    </row>
    <row r="352" spans="2:23">
      <c r="B352" s="192" t="s">
        <v>73</v>
      </c>
      <c r="C352" s="175">
        <v>70124</v>
      </c>
      <c r="D352" s="175">
        <v>61093</v>
      </c>
      <c r="E352" s="175">
        <v>57133</v>
      </c>
      <c r="F352" s="175">
        <v>56786</v>
      </c>
      <c r="G352" s="175">
        <v>49963</v>
      </c>
      <c r="H352" s="175">
        <v>49364</v>
      </c>
      <c r="I352" s="175">
        <v>51254</v>
      </c>
      <c r="J352" s="175">
        <v>50833</v>
      </c>
      <c r="K352" s="175">
        <v>43769</v>
      </c>
      <c r="L352" s="175">
        <v>45353</v>
      </c>
      <c r="M352" s="175">
        <v>39645</v>
      </c>
      <c r="N352" s="175">
        <v>39364</v>
      </c>
      <c r="O352" s="213">
        <v>31110</v>
      </c>
      <c r="P352" s="213">
        <f>SUM(P345:P351)</f>
        <v>30682.751521999999</v>
      </c>
      <c r="Q352" s="213">
        <f>SUM(Q345:Q351)</f>
        <v>24783.468315999999</v>
      </c>
      <c r="R352" s="213">
        <v>23900</v>
      </c>
      <c r="S352" s="213">
        <v>14471</v>
      </c>
      <c r="T352" s="213">
        <v>8053.7510810000003</v>
      </c>
      <c r="V352" s="192" t="s">
        <v>73</v>
      </c>
      <c r="W352" s="817">
        <v>9930.7389489999987</v>
      </c>
    </row>
    <row r="353" spans="2:23">
      <c r="B353" s="65" t="s">
        <v>74</v>
      </c>
      <c r="C353" s="174">
        <v>95224</v>
      </c>
      <c r="D353" s="174">
        <v>78824</v>
      </c>
      <c r="E353" s="174">
        <v>75096</v>
      </c>
      <c r="F353" s="174">
        <v>70849</v>
      </c>
      <c r="G353" s="174">
        <v>64776</v>
      </c>
      <c r="H353" s="174">
        <v>68097</v>
      </c>
      <c r="I353" s="174">
        <v>72677</v>
      </c>
      <c r="J353" s="174">
        <v>72762</v>
      </c>
      <c r="K353" s="174">
        <v>63487</v>
      </c>
      <c r="L353" s="174">
        <v>68393</v>
      </c>
      <c r="M353" s="174">
        <v>63750</v>
      </c>
      <c r="N353" s="174">
        <v>61814</v>
      </c>
      <c r="O353" s="212">
        <v>49190</v>
      </c>
      <c r="P353" s="212">
        <f>+P343+P352</f>
        <v>51404.647863999999</v>
      </c>
      <c r="Q353" s="212">
        <f>+Q343+Q352</f>
        <v>47073.521988000008</v>
      </c>
      <c r="R353" s="212">
        <v>41788</v>
      </c>
      <c r="S353" s="212">
        <v>33373</v>
      </c>
      <c r="T353" s="212">
        <v>31766.208927</v>
      </c>
      <c r="V353" s="65" t="s">
        <v>74</v>
      </c>
      <c r="W353" s="815">
        <v>30432.879536999997</v>
      </c>
    </row>
    <row r="354" spans="2:23">
      <c r="B354" s="67"/>
      <c r="C354" s="195"/>
      <c r="D354" s="195"/>
      <c r="E354" s="195"/>
      <c r="F354" s="195"/>
      <c r="G354" s="195"/>
      <c r="H354" s="195"/>
      <c r="I354" s="195"/>
      <c r="J354" s="195"/>
      <c r="K354" s="195"/>
      <c r="L354" s="195"/>
      <c r="M354" s="195"/>
      <c r="N354" s="195"/>
      <c r="O354" s="214"/>
      <c r="P354" s="214"/>
      <c r="Q354" s="214"/>
      <c r="R354" s="214"/>
      <c r="S354" s="214">
        <v>0</v>
      </c>
      <c r="T354" s="749"/>
      <c r="V354" s="67"/>
      <c r="W354" s="821"/>
    </row>
    <row r="355" spans="2:23">
      <c r="B355" s="198" t="s">
        <v>75</v>
      </c>
      <c r="C355" s="199"/>
      <c r="D355" s="199"/>
      <c r="E355" s="199"/>
      <c r="F355" s="199"/>
      <c r="G355" s="199"/>
      <c r="H355" s="199"/>
      <c r="I355" s="199"/>
      <c r="J355" s="199"/>
      <c r="K355" s="199"/>
      <c r="L355" s="199"/>
      <c r="M355" s="199"/>
      <c r="N355" s="199"/>
      <c r="O355" s="217"/>
      <c r="P355" s="217"/>
      <c r="Q355" s="217"/>
      <c r="R355" s="217"/>
      <c r="S355" s="217">
        <v>0</v>
      </c>
      <c r="T355" s="753"/>
      <c r="V355" s="198" t="s">
        <v>75</v>
      </c>
      <c r="W355" s="820"/>
    </row>
    <row r="356" spans="2:23" ht="15.75">
      <c r="B356" s="194" t="s">
        <v>76</v>
      </c>
      <c r="C356" s="50">
        <v>12982</v>
      </c>
      <c r="D356" s="50">
        <v>12982</v>
      </c>
      <c r="E356" s="50">
        <v>12982</v>
      </c>
      <c r="F356" s="50">
        <v>12982</v>
      </c>
      <c r="G356" s="50">
        <v>12982</v>
      </c>
      <c r="H356" s="50">
        <v>12982</v>
      </c>
      <c r="I356" s="50">
        <v>12982</v>
      </c>
      <c r="J356" s="50">
        <v>9650</v>
      </c>
      <c r="K356" s="50">
        <v>9650</v>
      </c>
      <c r="L356" s="50">
        <v>9650</v>
      </c>
      <c r="M356" s="50">
        <v>9650</v>
      </c>
      <c r="N356" s="50">
        <v>9650</v>
      </c>
      <c r="O356" s="299">
        <v>9650</v>
      </c>
      <c r="P356" s="299">
        <v>9650.4594660000002</v>
      </c>
      <c r="Q356" s="299">
        <v>9650.4594660000002</v>
      </c>
      <c r="R356" s="299">
        <v>9650.4594660000002</v>
      </c>
      <c r="S356" s="299">
        <v>9650.4594660000002</v>
      </c>
      <c r="T356" s="299">
        <v>9650.4594660000002</v>
      </c>
      <c r="V356" s="194" t="s">
        <v>76</v>
      </c>
      <c r="W356" s="299">
        <v>9650.4594660000002</v>
      </c>
    </row>
    <row r="357" spans="2:23" ht="15.75">
      <c r="B357" s="194" t="s">
        <v>77</v>
      </c>
      <c r="C357" s="50">
        <v>0</v>
      </c>
      <c r="D357" s="50">
        <v>0</v>
      </c>
      <c r="E357" s="50">
        <v>0</v>
      </c>
      <c r="F357" s="50">
        <v>0</v>
      </c>
      <c r="G357" s="50">
        <v>0</v>
      </c>
      <c r="H357" s="50">
        <v>0</v>
      </c>
      <c r="I357" s="50">
        <v>0</v>
      </c>
      <c r="J357" s="50">
        <v>0</v>
      </c>
      <c r="K357" s="50">
        <v>0</v>
      </c>
      <c r="L357" s="50">
        <v>0</v>
      </c>
      <c r="M357" s="50">
        <v>0</v>
      </c>
      <c r="N357" s="50">
        <v>0</v>
      </c>
      <c r="O357" s="299">
        <v>0</v>
      </c>
      <c r="P357" s="299">
        <v>0</v>
      </c>
      <c r="Q357" s="299">
        <v>0</v>
      </c>
      <c r="R357" s="299">
        <v>0</v>
      </c>
      <c r="S357" s="299">
        <v>0</v>
      </c>
      <c r="T357" s="299">
        <v>0</v>
      </c>
      <c r="V357" s="194" t="s">
        <v>77</v>
      </c>
      <c r="W357" s="299">
        <v>0</v>
      </c>
    </row>
    <row r="358" spans="2:23" ht="15.75">
      <c r="B358" s="194" t="s">
        <v>78</v>
      </c>
      <c r="C358" s="50">
        <v>0</v>
      </c>
      <c r="D358" s="50">
        <v>0</v>
      </c>
      <c r="E358" s="50">
        <v>0</v>
      </c>
      <c r="F358" s="50">
        <v>0</v>
      </c>
      <c r="G358" s="50">
        <v>0</v>
      </c>
      <c r="H358" s="50">
        <v>0</v>
      </c>
      <c r="I358" s="50">
        <v>0</v>
      </c>
      <c r="J358" s="50">
        <v>0</v>
      </c>
      <c r="K358" s="50">
        <v>0</v>
      </c>
      <c r="L358" s="50">
        <v>0</v>
      </c>
      <c r="M358" s="50">
        <v>0</v>
      </c>
      <c r="N358" s="50">
        <v>0</v>
      </c>
      <c r="O358" s="299">
        <v>0</v>
      </c>
      <c r="P358" s="299">
        <v>0</v>
      </c>
      <c r="Q358" s="299">
        <v>0</v>
      </c>
      <c r="R358" s="299">
        <v>0</v>
      </c>
      <c r="S358" s="299">
        <v>0</v>
      </c>
      <c r="T358" s="299">
        <v>0</v>
      </c>
      <c r="V358" s="194" t="s">
        <v>78</v>
      </c>
      <c r="W358" s="299">
        <v>0</v>
      </c>
    </row>
    <row r="359" spans="2:23" ht="15.75">
      <c r="B359" s="194" t="s">
        <v>79</v>
      </c>
      <c r="C359" s="50">
        <v>3322</v>
      </c>
      <c r="D359" s="50">
        <v>4531</v>
      </c>
      <c r="E359" s="50">
        <v>10627</v>
      </c>
      <c r="F359" s="50">
        <v>3826</v>
      </c>
      <c r="G359" s="50">
        <v>3826</v>
      </c>
      <c r="H359" s="50">
        <v>2447</v>
      </c>
      <c r="I359" s="50">
        <v>235</v>
      </c>
      <c r="J359" s="50">
        <v>235</v>
      </c>
      <c r="K359" s="50">
        <v>235</v>
      </c>
      <c r="L359" s="50">
        <v>-1600</v>
      </c>
      <c r="M359" s="50">
        <v>4517</v>
      </c>
      <c r="N359" s="50">
        <v>6353</v>
      </c>
      <c r="O359" s="299">
        <v>6353</v>
      </c>
      <c r="P359" s="299">
        <v>3478.084613</v>
      </c>
      <c r="Q359" s="299">
        <v>5325.4853899999998</v>
      </c>
      <c r="R359" s="299">
        <v>4787</v>
      </c>
      <c r="S359" s="299">
        <v>4787</v>
      </c>
      <c r="T359" s="299">
        <v>2452.3902840000001</v>
      </c>
      <c r="V359" s="194" t="s">
        <v>79</v>
      </c>
      <c r="W359" s="299">
        <v>6577.7258519999996</v>
      </c>
    </row>
    <row r="360" spans="2:23" ht="15.75">
      <c r="B360" s="194" t="s">
        <v>80</v>
      </c>
      <c r="C360" s="50">
        <v>7630</v>
      </c>
      <c r="D360" s="50">
        <v>6096</v>
      </c>
      <c r="E360" s="50">
        <v>1584</v>
      </c>
      <c r="F360" s="50">
        <v>2646</v>
      </c>
      <c r="G360" s="50">
        <v>3612</v>
      </c>
      <c r="H360" s="50">
        <v>4596</v>
      </c>
      <c r="I360" s="50">
        <v>1604</v>
      </c>
      <c r="J360" s="50">
        <v>3066</v>
      </c>
      <c r="K360" s="50">
        <v>4575</v>
      </c>
      <c r="L360" s="50">
        <v>6118</v>
      </c>
      <c r="M360" s="50">
        <v>1349</v>
      </c>
      <c r="N360" s="50">
        <v>2196</v>
      </c>
      <c r="O360" s="299">
        <v>2511</v>
      </c>
      <c r="P360" s="299">
        <v>1847.4007770000001</v>
      </c>
      <c r="Q360" s="299">
        <v>334.33596699999998</v>
      </c>
      <c r="R360" s="299">
        <v>491</v>
      </c>
      <c r="S360" s="299">
        <v>1223</v>
      </c>
      <c r="T360" s="299">
        <v>4125.3355680000004</v>
      </c>
      <c r="V360" s="194" t="s">
        <v>80</v>
      </c>
      <c r="W360" s="299">
        <v>1140.676387</v>
      </c>
    </row>
    <row r="361" spans="2:23" ht="15.75">
      <c r="B361" s="194" t="s">
        <v>81</v>
      </c>
      <c r="C361" s="50">
        <v>0</v>
      </c>
      <c r="D361" s="50">
        <v>0</v>
      </c>
      <c r="E361" s="50">
        <v>0</v>
      </c>
      <c r="F361" s="50">
        <v>0</v>
      </c>
      <c r="G361" s="50">
        <v>0</v>
      </c>
      <c r="H361" s="50">
        <v>0</v>
      </c>
      <c r="I361" s="50">
        <v>0</v>
      </c>
      <c r="J361" s="50">
        <v>0</v>
      </c>
      <c r="K361" s="50">
        <v>0</v>
      </c>
      <c r="L361" s="50">
        <v>0</v>
      </c>
      <c r="M361" s="50">
        <v>0</v>
      </c>
      <c r="N361" s="50">
        <v>0</v>
      </c>
      <c r="O361" s="299">
        <v>0</v>
      </c>
      <c r="P361" s="299">
        <v>0</v>
      </c>
      <c r="Q361" s="299">
        <v>0</v>
      </c>
      <c r="R361" s="299">
        <v>0</v>
      </c>
      <c r="S361" s="299">
        <v>0</v>
      </c>
      <c r="T361" s="299">
        <v>0</v>
      </c>
      <c r="V361" s="194" t="s">
        <v>81</v>
      </c>
      <c r="W361" s="299">
        <v>0</v>
      </c>
    </row>
    <row r="362" spans="2:23">
      <c r="B362" s="192" t="s">
        <v>84</v>
      </c>
      <c r="C362" s="175">
        <v>23934</v>
      </c>
      <c r="D362" s="175">
        <v>23609</v>
      </c>
      <c r="E362" s="175">
        <v>25193</v>
      </c>
      <c r="F362" s="175">
        <v>19454</v>
      </c>
      <c r="G362" s="175">
        <v>20420</v>
      </c>
      <c r="H362" s="175">
        <v>20025</v>
      </c>
      <c r="I362" s="175">
        <v>14821</v>
      </c>
      <c r="J362" s="175">
        <v>12951</v>
      </c>
      <c r="K362" s="175">
        <v>14460</v>
      </c>
      <c r="L362" s="175">
        <v>14168</v>
      </c>
      <c r="M362" s="175">
        <v>15516</v>
      </c>
      <c r="N362" s="175">
        <v>18199</v>
      </c>
      <c r="O362" s="213">
        <v>18514</v>
      </c>
      <c r="P362" s="213">
        <f>SUM(P356:P361)</f>
        <v>14975.944856</v>
      </c>
      <c r="Q362" s="213">
        <f>SUM(Q356:Q361)</f>
        <v>15310.280823000001</v>
      </c>
      <c r="R362" s="213">
        <v>14928.459466</v>
      </c>
      <c r="S362" s="213">
        <v>15660.459466</v>
      </c>
      <c r="T362" s="213">
        <v>16228.185318000002</v>
      </c>
      <c r="V362" s="192" t="s">
        <v>84</v>
      </c>
      <c r="W362" s="817">
        <v>17368.861702999999</v>
      </c>
    </row>
    <row r="363" spans="2:23">
      <c r="B363" s="65" t="s">
        <v>85</v>
      </c>
      <c r="C363" s="174">
        <v>119158</v>
      </c>
      <c r="D363" s="174">
        <v>102433</v>
      </c>
      <c r="E363" s="174">
        <v>100289</v>
      </c>
      <c r="F363" s="174">
        <v>90303</v>
      </c>
      <c r="G363" s="174">
        <v>85196</v>
      </c>
      <c r="H363" s="174">
        <v>88122</v>
      </c>
      <c r="I363" s="174">
        <v>87498</v>
      </c>
      <c r="J363" s="174">
        <v>85713</v>
      </c>
      <c r="K363" s="174">
        <v>77947</v>
      </c>
      <c r="L363" s="174">
        <v>82561</v>
      </c>
      <c r="M363" s="174">
        <v>79266</v>
      </c>
      <c r="N363" s="174">
        <v>80013</v>
      </c>
      <c r="O363" s="212">
        <v>67704</v>
      </c>
      <c r="P363" s="212">
        <f>+P353+P362</f>
        <v>66380.592720000001</v>
      </c>
      <c r="Q363" s="212">
        <f>+Q353+Q362</f>
        <v>62383.802811000009</v>
      </c>
      <c r="R363" s="212">
        <v>56716.459466</v>
      </c>
      <c r="S363" s="212">
        <v>49033.459466</v>
      </c>
      <c r="T363" s="212">
        <v>47994.394245000003</v>
      </c>
      <c r="V363" s="65" t="s">
        <v>85</v>
      </c>
      <c r="W363" s="815">
        <v>47801.741239999996</v>
      </c>
    </row>
    <row r="364" spans="2:23" ht="15.75">
      <c r="B364" s="5"/>
      <c r="C364" s="188">
        <v>0</v>
      </c>
      <c r="D364" s="188">
        <v>0</v>
      </c>
      <c r="E364" s="188">
        <v>0</v>
      </c>
      <c r="F364" s="188">
        <v>0</v>
      </c>
      <c r="G364" s="188">
        <v>0</v>
      </c>
      <c r="H364" s="188">
        <v>0</v>
      </c>
      <c r="I364" s="188">
        <v>0</v>
      </c>
      <c r="J364" s="188">
        <v>0</v>
      </c>
      <c r="K364" s="188">
        <v>0</v>
      </c>
      <c r="L364" s="188">
        <v>0</v>
      </c>
      <c r="M364" s="188">
        <v>0</v>
      </c>
      <c r="N364" s="188">
        <v>0</v>
      </c>
      <c r="O364" s="308"/>
      <c r="R364" s="308"/>
      <c r="S364" s="308"/>
    </row>
    <row r="365" spans="2:23">
      <c r="R365" s="135"/>
    </row>
    <row r="366" spans="2:23">
      <c r="R366" s="135"/>
    </row>
    <row r="367" spans="2:23">
      <c r="R367" s="135"/>
    </row>
    <row r="368" spans="2:23">
      <c r="R368" s="135"/>
    </row>
    <row r="369" spans="18:18">
      <c r="R369" s="135"/>
    </row>
    <row r="370" spans="18:18">
      <c r="R370" s="135"/>
    </row>
    <row r="371" spans="18:18">
      <c r="R371" s="135"/>
    </row>
    <row r="372" spans="18:18">
      <c r="R372" s="135"/>
    </row>
    <row r="373" spans="18:18">
      <c r="R373" s="135"/>
    </row>
    <row r="374" spans="18:18">
      <c r="R374" s="135"/>
    </row>
    <row r="375" spans="18:18">
      <c r="R375" s="135"/>
    </row>
    <row r="376" spans="18:18">
      <c r="R376" s="135"/>
    </row>
    <row r="377" spans="18:18">
      <c r="R377" s="135"/>
    </row>
    <row r="378" spans="18:18">
      <c r="R378" s="135"/>
    </row>
    <row r="379" spans="18:18">
      <c r="R379" s="135"/>
    </row>
    <row r="380" spans="18:18">
      <c r="R380" s="135"/>
    </row>
    <row r="381" spans="18:18">
      <c r="R381" s="135"/>
    </row>
    <row r="382" spans="18:18">
      <c r="R382" s="135"/>
    </row>
    <row r="383" spans="18:18">
      <c r="R383" s="135"/>
    </row>
    <row r="384" spans="18:18">
      <c r="R384" s="135"/>
    </row>
    <row r="385" spans="18:18">
      <c r="R385" s="135"/>
    </row>
    <row r="386" spans="18:18">
      <c r="R386" s="135"/>
    </row>
    <row r="387" spans="18:18">
      <c r="R387" s="135"/>
    </row>
    <row r="388" spans="18:18">
      <c r="R388" s="135"/>
    </row>
    <row r="389" spans="18:18">
      <c r="R389" s="135"/>
    </row>
    <row r="390" spans="18:18">
      <c r="R390" s="135"/>
    </row>
    <row r="391" spans="18:18">
      <c r="R391" s="135"/>
    </row>
    <row r="392" spans="18:18">
      <c r="R392" s="135"/>
    </row>
    <row r="393" spans="18:18">
      <c r="R393" s="135"/>
    </row>
    <row r="394" spans="18:18">
      <c r="R394" s="135"/>
    </row>
    <row r="395" spans="18:18">
      <c r="R395" s="135"/>
    </row>
    <row r="396" spans="18:18">
      <c r="R396" s="135"/>
    </row>
    <row r="397" spans="18:18">
      <c r="R397" s="135"/>
    </row>
    <row r="398" spans="18:18">
      <c r="R398" s="135"/>
    </row>
    <row r="399" spans="18:18">
      <c r="R399" s="135"/>
    </row>
    <row r="400" spans="18:18">
      <c r="R400" s="135"/>
    </row>
    <row r="401" spans="18:18">
      <c r="R401" s="135"/>
    </row>
    <row r="402" spans="18:18">
      <c r="R402" s="135"/>
    </row>
    <row r="403" spans="18:18">
      <c r="R403" s="135"/>
    </row>
    <row r="404" spans="18:18">
      <c r="R404" s="135"/>
    </row>
    <row r="405" spans="18:18">
      <c r="R405" s="135"/>
    </row>
    <row r="406" spans="18:18">
      <c r="R406" s="135"/>
    </row>
    <row r="407" spans="18:18">
      <c r="R407" s="135"/>
    </row>
    <row r="408" spans="18:18">
      <c r="R408" s="135"/>
    </row>
    <row r="409" spans="18:18">
      <c r="R409" s="135"/>
    </row>
    <row r="410" spans="18:18">
      <c r="R410" s="135"/>
    </row>
    <row r="411" spans="18:18">
      <c r="R411" s="135"/>
    </row>
    <row r="412" spans="18:18">
      <c r="R412" s="135"/>
    </row>
    <row r="413" spans="18:18">
      <c r="R413" s="135"/>
    </row>
    <row r="414" spans="18:18">
      <c r="R414" s="135"/>
    </row>
    <row r="415" spans="18:18">
      <c r="R415" s="135"/>
    </row>
    <row r="416" spans="18:18">
      <c r="R416" s="135"/>
    </row>
    <row r="417" spans="18:18">
      <c r="R417" s="135"/>
    </row>
    <row r="418" spans="18:18">
      <c r="R418" s="135"/>
    </row>
    <row r="419" spans="18:18">
      <c r="R419" s="135"/>
    </row>
    <row r="420" spans="18:18">
      <c r="R420" s="135"/>
    </row>
    <row r="421" spans="18:18">
      <c r="R421" s="135"/>
    </row>
  </sheetData>
  <hyperlinks>
    <hyperlink ref="A1" location="'Table of Contents'!A1" display="Return to Table of Contents" xr:uid="{00000000-0004-0000-0800-000000000000}"/>
  </hyperlinks>
  <pageMargins left="0.7" right="0.7" top="0.75" bottom="0.75" header="0.3" footer="0.3"/>
  <pageSetup orientation="portrait" r:id="rId1"/>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2.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4699902-4F03-4A42-9870-AE91B8BB3760}">
  <ds:schemaRef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http://purl.org/dc/terms/"/>
    <ds:schemaRef ds:uri="5404eb88-a663-4133-8ebe-e567804cd15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vt:i4>
      </vt:variant>
    </vt:vector>
  </HeadingPairs>
  <TitlesOfParts>
    <vt:vector size="20" baseType="lpstr">
      <vt:lpstr>Table of Contents</vt:lpstr>
      <vt:lpstr>FS Consolidated</vt:lpstr>
      <vt:lpstr>FS ET Colombia</vt:lpstr>
      <vt:lpstr>FS ET Br</vt:lpstr>
      <vt:lpstr>RBSE</vt:lpstr>
      <vt:lpstr>FS ET Per</vt:lpstr>
      <vt:lpstr>FS ET Ch</vt:lpstr>
      <vt:lpstr>FS Road Col</vt:lpstr>
      <vt:lpstr>FS Road Ch</vt:lpstr>
      <vt:lpstr>Consolidated Debt Credits</vt:lpstr>
      <vt:lpstr>Consolidated Debt Bonds</vt:lpstr>
      <vt:lpstr>CAPEX</vt:lpstr>
      <vt:lpstr>Energy Regulation</vt:lpstr>
      <vt:lpstr>Roads Regulation</vt:lpstr>
      <vt:lpstr>Roads Traffic</vt:lpstr>
      <vt:lpstr>Dividends</vt:lpstr>
      <vt:lpstr>Projects</vt:lpstr>
      <vt:lpstr>Energy Concessions Term</vt:lpstr>
      <vt:lpstr>Participation in subsidiaries</vt:lpstr>
      <vt:lpstr>'Consolidated Debt Bonds'!Área_de_impresión</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ALEJANDRO MORENO VASQUEZ</cp:lastModifiedBy>
  <dcterms:created xsi:type="dcterms:W3CDTF">2020-09-01T20:14:00Z</dcterms:created>
  <dcterms:modified xsi:type="dcterms:W3CDTF">2022-05-11T20:33:16Z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